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art Here" sheetId="1" state="visible" r:id="rId3"/>
    <sheet name="Assumptions" sheetId="2" state="visible" r:id="rId4"/>
    <sheet name="Forecast" sheetId="3" state="visible" r:id="rId5"/>
    <sheet name="Lists" sheetId="4" state="visible" r:id="rId6"/>
    <sheet name="Checks" sheetId="5" state="visible" r:id="rId7"/>
  </sheets>
  <definedNames>
    <definedName function="false" hidden="false" localSheetId="2" name="_xlnm.Print_Titles" vbProcedure="false">Forecast!$4:$4</definedName>
    <definedName function="false" hidden="false" localSheetId="3" name="_xlnm.Print_Titles" vbProcedure="false">Lists!$4:$4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<sst xmlns="http://schemas.openxmlformats.org/spreadsheetml/2006/main" count="155" uniqueCount="134">
  <si>
    <t xml:space="preserve">A 12-month SaaS forecast: customers, MRR, expenses, burn, ending cash and runway. Change the yellow cells on Assumptions.</t>
  </si>
  <si>
    <t xml:space="preserve">KEY METRICS</t>
  </si>
  <si>
    <t xml:space="preserve">HOW TO USE THIS TEMPLATE</t>
  </si>
  <si>
    <t xml:space="preserve">Metric</t>
  </si>
  <si>
    <t xml:space="preserve">Value</t>
  </si>
  <si>
    <t xml:space="preserve">Notes</t>
  </si>
  <si>
    <t xml:space="preserve">Starting Cash</t>
  </si>
  <si>
    <t xml:space="preserve">From Assumptions.</t>
  </si>
  <si>
    <t xml:space="preserve">Pale yellow: type your own data here.</t>
  </si>
  <si>
    <t xml:space="preserve">Ending Cash (Month 12)</t>
  </si>
  <si>
    <t xml:space="preserve">Cash left after 12 months.</t>
  </si>
  <si>
    <t xml:space="preserve">Green: formulas that update on their own. Don't type over them.</t>
  </si>
  <si>
    <t xml:space="preserve">Lowest Cash Balance</t>
  </si>
  <si>
    <t xml:space="preserve">The tightest month in the forecast.</t>
  </si>
  <si>
    <t xml:space="preserve">▾</t>
  </si>
  <si>
    <t xml:space="preserve">Dropdown arrow: pick from the list. Edit the choices on the Lists tab.</t>
  </si>
  <si>
    <t xml:space="preserve">MRR in Month 12</t>
  </si>
  <si>
    <t xml:space="preserve">Monthly recurring revenue at the end of the year.</t>
  </si>
  <si>
    <t xml:space="preserve">!</t>
  </si>
  <si>
    <t xml:space="preserve">Checks tab: Review means something needs a look.</t>
  </si>
  <si>
    <t xml:space="preserve">Customers in Month 12</t>
  </si>
  <si>
    <t xml:space="preserve">Paying customers at the end of the year.</t>
  </si>
  <si>
    <t xml:space="preserve">→</t>
  </si>
  <si>
    <t xml:space="preserve">Step-by-step guide: arumsoft.com/resources</t>
  </si>
  <si>
    <t xml:space="preserve">Avg Burn, Last 3 Months</t>
  </si>
  <si>
    <t xml:space="preserve">Average monthly burn over the last three months.</t>
  </si>
  <si>
    <t xml:space="preserve">Checks needing review</t>
  </si>
  <si>
    <t xml:space="preserve">Runway After Month 12</t>
  </si>
  <si>
    <t xml:space="preserve">Month 12 ending cash divided by the average burn.</t>
  </si>
  <si>
    <t xml:space="preserve">Cash Runs Out</t>
  </si>
  <si>
    <t xml:space="preserve">First month that ends below zero. Never means cash lasts all 12 months.</t>
  </si>
  <si>
    <t xml:space="preserve">WORKBOOK NAVIGATION</t>
  </si>
  <si>
    <t xml:space="preserve">CASH BY MONTH</t>
  </si>
  <si>
    <t xml:space="preserve">Sheet (click to open)</t>
  </si>
  <si>
    <t xml:space="preserve">What it's for</t>
  </si>
  <si>
    <t xml:space="preserve">Month</t>
  </si>
  <si>
    <t xml:space="preserve">Ending Cash</t>
  </si>
  <si>
    <t xml:space="preserve">MRR</t>
  </si>
  <si>
    <t xml:space="preserve">Assumptions</t>
  </si>
  <si>
    <t xml:space="preserve">Customers, pricing, churn, expenses and one-offs.</t>
  </si>
  <si>
    <t xml:space="preserve">Forecast</t>
  </si>
  <si>
    <t xml:space="preserve">The 12-month cash flow, burn and runway.</t>
  </si>
  <si>
    <t xml:space="preserve">Lists</t>
  </si>
  <si>
    <t xml:space="preserve">Expense types for the dropdown.</t>
  </si>
  <si>
    <t xml:space="preserve">Checks</t>
  </si>
  <si>
    <t xml:space="preserve">Review forecast flags.</t>
  </si>
  <si>
    <t xml:space="preserve">Every number on the Forecast sheet comes from this page. Change a yellow cell and the whole 12 months update.</t>
  </si>
  <si>
    <t xml:space="preserve">COMPANY AND TIMING</t>
  </si>
  <si>
    <t xml:space="preserve">Company name</t>
  </si>
  <si>
    <t xml:space="preserve">Brightpath Software</t>
  </si>
  <si>
    <t xml:space="preserve">First forecast month</t>
  </si>
  <si>
    <t xml:space="preserve">Type the 1st of the month, for example 2026-11-01.</t>
  </si>
  <si>
    <t xml:space="preserve">Starting cash</t>
  </si>
  <si>
    <t xml:space="preserve">Cash in the bank at the start of the first month.</t>
  </si>
  <si>
    <t xml:space="preserve">CUSTOMERS AND REVENUE</t>
  </si>
  <si>
    <t xml:space="preserve">Starting customers</t>
  </si>
  <si>
    <t xml:space="preserve">Paying customers at the start of the first month.</t>
  </si>
  <si>
    <t xml:space="preserve">New customers in month 1</t>
  </si>
  <si>
    <t xml:space="preserve">Growth in new customers per month</t>
  </si>
  <si>
    <t xml:space="preserve">6% means each month brings 6% more new customers than the last.</t>
  </si>
  <si>
    <t xml:space="preserve">Monthly churn</t>
  </si>
  <si>
    <t xml:space="preserve">Share of customers at the start of each month who cancel.</t>
  </si>
  <si>
    <t xml:space="preserve">ARPU (monthly revenue per customer)</t>
  </si>
  <si>
    <t xml:space="preserve">Average monthly subscription price after discounts.</t>
  </si>
  <si>
    <t xml:space="preserve">ARPU change per month</t>
  </si>
  <si>
    <t xml:space="preserve">Price increases or upsells. Use 0% to keep it flat.</t>
  </si>
  <si>
    <t xml:space="preserve">Other income per month</t>
  </si>
  <si>
    <t xml:space="preserve">Services, interest or other regular income.</t>
  </si>
  <si>
    <t xml:space="preserve">MONTHLY EXPENSES</t>
  </si>
  <si>
    <t xml:space="preserve">Category</t>
  </si>
  <si>
    <t xml:space="preserve">Type</t>
  </si>
  <si>
    <t xml:space="preserve">Monthly Amount</t>
  </si>
  <si>
    <t xml:space="preserve">% of Revenue</t>
  </si>
  <si>
    <t xml:space="preserve">Growth / Month</t>
  </si>
  <si>
    <t xml:space="preserve">Starts in Month</t>
  </si>
  <si>
    <t xml:space="preserve">Salaries and payroll</t>
  </si>
  <si>
    <t xml:space="preserve">Fixed</t>
  </si>
  <si>
    <t xml:space="preserve">New hire: engineer</t>
  </si>
  <si>
    <t xml:space="preserve">New hire: sales</t>
  </si>
  <si>
    <t xml:space="preserve">Contractors</t>
  </si>
  <si>
    <t xml:space="preserve">Hosting and infrastructure</t>
  </si>
  <si>
    <t xml:space="preserve">% of revenue</t>
  </si>
  <si>
    <t xml:space="preserve">Payment processing</t>
  </si>
  <si>
    <t xml:space="preserve">Software and tools</t>
  </si>
  <si>
    <t xml:space="preserve">Marketing and ads</t>
  </si>
  <si>
    <t xml:space="preserve">Rent and office</t>
  </si>
  <si>
    <t xml:space="preserve">Legal and accounting</t>
  </si>
  <si>
    <t xml:space="preserve">Insurance and other</t>
  </si>
  <si>
    <t xml:space="preserve">ONE-OFF CASH ITEMS BY MONTH</t>
  </si>
  <si>
    <t xml:space="preserve">Item</t>
  </si>
  <si>
    <t xml:space="preserve">Funding received</t>
  </si>
  <si>
    <t xml:space="preserve">Other one-off income</t>
  </si>
  <si>
    <t xml:space="preserve">One-off expenses</t>
  </si>
  <si>
    <t xml:space="preserve">Leave a cell blank for months with nothing to add. One-off expenses are things like equipment, a deposit or an annual software bill.</t>
  </si>
  <si>
    <t xml:space="preserve">12-month cash flow. Everything here is calculated from the Assumptions sheet.</t>
  </si>
  <si>
    <t xml:space="preserve">12-Month Total</t>
  </si>
  <si>
    <t xml:space="preserve">CUSTOMERS</t>
  </si>
  <si>
    <t xml:space="preserve">New customers</t>
  </si>
  <si>
    <t xml:space="preserve">Churned customers</t>
  </si>
  <si>
    <t xml:space="preserve">Ending customers</t>
  </si>
  <si>
    <t xml:space="preserve">ARPU</t>
  </si>
  <si>
    <t xml:space="preserve">MRR (ending customers × ARPU)</t>
  </si>
  <si>
    <t xml:space="preserve">CASH IN</t>
  </si>
  <si>
    <t xml:space="preserve">Subscription revenue</t>
  </si>
  <si>
    <t xml:space="preserve">Other income</t>
  </si>
  <si>
    <t xml:space="preserve">Total cash in</t>
  </si>
  <si>
    <t xml:space="preserve">CASH OUT</t>
  </si>
  <si>
    <t xml:space="preserve">Total cash out</t>
  </si>
  <si>
    <t xml:space="preserve">RESULT</t>
  </si>
  <si>
    <t xml:space="preserve">Net cash flow</t>
  </si>
  <si>
    <t xml:space="preserve">Net burn (spending above income, before funding)</t>
  </si>
  <si>
    <t xml:space="preserve">Ending cash</t>
  </si>
  <si>
    <t xml:space="preserve">Runway at this burn (months)</t>
  </si>
  <si>
    <t xml:space="preserve">Cash below zero this month</t>
  </si>
  <si>
    <t xml:space="preserve">Dropdown choices used across the workbook. Add, rename or remove items here and the dropdowns update.</t>
  </si>
  <si>
    <t xml:space="preserve">Expense Types</t>
  </si>
  <si>
    <t xml:space="preserve">Fixed: a monthly amount that can grow by a set % each month. % of revenue: a share of that month's subscription revenue.</t>
  </si>
  <si>
    <t xml:space="preserve">Quick review flags for the forecast.</t>
  </si>
  <si>
    <t xml:space="preserve">Check</t>
  </si>
  <si>
    <t xml:space="preserve">Status</t>
  </si>
  <si>
    <t xml:space="preserve">Where to Fix</t>
  </si>
  <si>
    <t xml:space="preserve">First forecast month is the 1st of a month</t>
  </si>
  <si>
    <t xml:space="preserve">Assumptions: First forecast month</t>
  </si>
  <si>
    <t xml:space="preserve">Churn is between 0% and 100%</t>
  </si>
  <si>
    <t xml:space="preserve">Assumptions: Monthly churn</t>
  </si>
  <si>
    <t xml:space="preserve">ARPU is above zero</t>
  </si>
  <si>
    <t xml:space="preserve">Assumptions: ARPU</t>
  </si>
  <si>
    <t xml:space="preserve">Every expense line has a type and an amount</t>
  </si>
  <si>
    <t xml:space="preserve">Assumptions: Monthly expenses</t>
  </si>
  <si>
    <t xml:space="preserve">Cash stays above zero for all 12 months</t>
  </si>
  <si>
    <t xml:space="preserve">Forecast: Ending cash</t>
  </si>
  <si>
    <t xml:space="preserve">At least 6 months of runway after month 12</t>
  </si>
  <si>
    <t xml:space="preserve">Assumptions: costs, growth or funding</t>
  </si>
  <si>
    <t xml:space="preserve">OK means the check passed. Review means something needs a look: open the sheet named in Where to Fix.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</si>
</sst>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\$#,##0;[RED]&quot;-$&quot;#,##0;\–"/>
    <numFmt numFmtId="166" formatCode="#,##0"/>
    <numFmt numFmtId="167" formatCode="0"/>
    <numFmt numFmtId="168" formatCode="0.0&quot; months&quot;"/>
    <numFmt numFmtId="169" formatCode="mmm\ yyyy"/>
    <numFmt numFmtId="170" formatCode="\$#,##0"/>
    <numFmt numFmtId="171" formatCode="0.0%"/>
    <numFmt numFmtId="172" formatCode="\$#,##0.00;[RED]&quot;-$&quot;#,##0.00;\–"/>
    <numFmt numFmtId="173" formatCode="0.0"/>
  </numFmts>
  <fonts count="23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1"/>
      <color theme="1"/>
      <name val="Calibri"/>
      <family val="2"/>
      <charset val="1"/>
    </font>
    <font>
      <sz val="10"/>
      <color rgb="FF6B7280"/>
      <name val="Arial"/>
      <family val="0"/>
      <charset val="1"/>
    </font>
    <font>
      <b val="true"/>
      <sz val="9"/>
      <color rgb="FF0F4C3A"/>
      <name val="Arial"/>
      <family val="0"/>
      <charset val="1"/>
    </font>
    <font>
      <b val="true"/>
      <sz val="9"/>
      <color rgb="FF6B7280"/>
      <name val="Arial"/>
      <family val="0"/>
      <charset val="1"/>
    </font>
    <font>
      <b val="true"/>
      <sz val="10"/>
      <color rgb="FF1F2937"/>
      <name val="Arial"/>
      <family val="0"/>
      <charset val="1"/>
    </font>
    <font>
      <b val="true"/>
      <sz val="13"/>
      <color rgb="FF166534"/>
      <name val="Arial"/>
      <family val="0"/>
      <charset val="1"/>
    </font>
    <font>
      <sz val="9"/>
      <color rgb="FF6B7280"/>
      <name val="Arial"/>
      <family val="0"/>
      <charset val="1"/>
    </font>
    <font>
      <sz val="9"/>
      <color rgb="FF1F2937"/>
      <name val="Arial"/>
      <family val="0"/>
      <charset val="1"/>
    </font>
    <font>
      <b val="true"/>
      <sz val="10"/>
      <color rgb="FF6B7280"/>
      <name val="Arial"/>
      <family val="0"/>
      <charset val="1"/>
    </font>
    <font>
      <b val="true"/>
      <sz val="10"/>
      <color rgb="FF92400E"/>
      <name val="Arial"/>
      <family val="0"/>
      <charset val="1"/>
    </font>
    <font>
      <b val="true"/>
      <sz val="10"/>
      <color rgb="FF177A5A"/>
      <name val="Arial"/>
      <family val="0"/>
      <charset val="1"/>
    </font>
    <font>
      <b val="true"/>
      <u val="single"/>
      <sz val="9"/>
      <color rgb="FF177A5A"/>
      <name val="Arial"/>
      <family val="0"/>
      <charset val="1"/>
    </font>
    <font>
      <b val="true"/>
      <u val="single"/>
      <sz val="10"/>
      <color rgb="FF177A5A"/>
      <name val="Arial"/>
      <family val="0"/>
      <charset val="1"/>
    </font>
    <font>
      <sz val="10"/>
      <color rgb="FF1F2937"/>
      <name val="Arial"/>
      <family val="0"/>
      <charset val="1"/>
    </font>
    <font>
      <b val="true"/>
      <sz val="10"/>
      <color rgb="FF166534"/>
      <name val="Arial"/>
      <family val="0"/>
      <charset val="1"/>
    </font>
    <font>
      <sz val="10"/>
      <color rgb="FF000000"/>
      <name val="Calibri"/>
      <family val="2"/>
    </font>
    <font>
      <b val="true"/>
      <sz val="10"/>
      <color rgb="FFFFFFFF"/>
      <name val="Arial"/>
      <family val="0"/>
      <charset val="1"/>
    </font>
    <font>
      <sz val="10"/>
      <color rgb="FF166534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F4C3A"/>
        <bgColor rgb="FF166534"/>
      </patternFill>
    </fill>
    <fill>
      <patternFill patternType="solid">
        <fgColor rgb="FFF4F7F6"/>
        <bgColor rgb="FFECFDF5"/>
      </patternFill>
    </fill>
    <fill>
      <patternFill patternType="solid">
        <fgColor rgb="FFECFDF5"/>
        <bgColor rgb="FFF4F7F6"/>
      </patternFill>
    </fill>
    <fill>
      <patternFill patternType="solid">
        <fgColor rgb="FFFFF7ED"/>
        <bgColor rgb="FFF4F7F6"/>
      </patternFill>
    </fill>
    <fill>
      <patternFill patternType="solid">
        <fgColor rgb="FF177A5A"/>
        <bgColor rgb="FF008080"/>
      </patternFill>
    </fill>
    <fill>
      <patternFill patternType="solid">
        <fgColor rgb="FFFFFFFF"/>
        <bgColor rgb="FFFFF7ED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77A5A"/>
      </bottom>
      <diagonal/>
    </border>
    <border diagonalUp="false" diagonalDown="false">
      <left/>
      <right/>
      <top/>
      <bottom style="thin">
        <color rgb="FFE5E7EB"/>
      </bottom>
      <diagonal/>
    </border>
    <border diagonalUp="false" diagonalDown="false">
      <left style="thin">
        <color rgb="FFB5E3C9"/>
      </left>
      <right style="thin">
        <color rgb="FFB5E3C9"/>
      </right>
      <top style="thin">
        <color rgb="FFB5E3C9"/>
      </top>
      <bottom style="thin">
        <color rgb="FFB5E3C9"/>
      </bottom>
      <diagonal/>
    </border>
    <border diagonalUp="false" diagonalDown="false">
      <left style="thin">
        <color rgb="FFC9D0D5"/>
      </left>
      <right style="thin">
        <color rgb="FFC9D0D5"/>
      </right>
      <top style="thin">
        <color rgb="FFC9D0D5"/>
      </top>
      <bottom style="thin">
        <color rgb="FFC9D0D5"/>
      </bottom>
      <diagonal/>
    </border>
    <border diagonalUp="false" diagonalDown="false"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 diagonalUp="false" diagonalDown="false">
      <left style="thin">
        <color rgb="FF177A5A"/>
      </left>
      <right style="thin">
        <color rgb="FF177A5A"/>
      </right>
      <top style="thin">
        <color rgb="FF177A5A"/>
      </top>
      <bottom style="thin">
        <color rgb="FF177A5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0" fillId="4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5" fillId="5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4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4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10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10" fillId="4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0" fillId="4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8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9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5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18" fillId="5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5" fontId="18" fillId="5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8" fillId="5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18" fillId="5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18" fillId="5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1" fillId="6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6" borderId="6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8" fillId="5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1" fillId="6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21" fillId="6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21" fillId="6" borderId="6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2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9" fillId="7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9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22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19" fillId="7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9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22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22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3" fontId="19" fillId="7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22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9" fillId="7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1" fillId="6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8" fillId="7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7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color rgb="FF991B1B"/>
      </font>
      <fill>
        <patternFill>
          <bgColor rgb="FFFEE2E2"/>
        </patternFill>
      </fill>
    </dxf>
    <dxf>
      <font>
        <b val="1"/>
        <color rgb="FF991B1B"/>
      </font>
      <fill>
        <patternFill>
          <bgColor rgb="FFFEE2E2"/>
        </patternFill>
      </fill>
    </dxf>
    <dxf>
      <font>
        <b val="1"/>
        <color rgb="FF92400E"/>
      </font>
      <fill>
        <patternFill>
          <bgColor rgb="FFFFF7ED"/>
        </patternFill>
      </fill>
    </dxf>
    <dxf>
      <font>
        <b val="1"/>
        <color rgb="FF166534"/>
      </font>
      <fill>
        <patternFill>
          <bgColor rgb="FFECFDF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91B1B"/>
      <rgbColor rgb="FF166534"/>
      <rgbColor rgb="FF000080"/>
      <rgbColor rgb="FF808000"/>
      <rgbColor rgb="FF800080"/>
      <rgbColor rgb="FF177A5A"/>
      <rgbColor rgb="FFD9D9D9"/>
      <rgbColor rgb="FF878787"/>
      <rgbColor rgb="FF9999FF"/>
      <rgbColor rgb="FF993366"/>
      <rgbColor rgb="FFFFF7ED"/>
      <rgbColor rgb="FFECFDF5"/>
      <rgbColor rgb="FF660066"/>
      <rgbColor rgb="FFFF8080"/>
      <rgbColor rgb="FF0066CC"/>
      <rgbColor rgb="FFC9D0D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7F6"/>
      <rgbColor rgb="FFB5E3C9"/>
      <rgbColor rgb="FFE5E7EB"/>
      <rgbColor rgb="FF99CCFF"/>
      <rgbColor rgb="FFFF99CC"/>
      <rgbColor rgb="FFCC99FF"/>
      <rgbColor rgb="FFFEE2E2"/>
      <rgbColor rgb="FF3B6EA8"/>
      <rgbColor rgb="FF33CCCC"/>
      <rgbColor rgb="FF99CC00"/>
      <rgbColor rgb="FFFFCC00"/>
      <rgbColor rgb="FFFF9900"/>
      <rgbColor rgb="FFFF6600"/>
      <rgbColor rgb="FF6B7280"/>
      <rgbColor rgb="FF9CA3AF"/>
      <rgbColor rgb="FF0F4C3A"/>
      <rgbColor rgb="FF339966"/>
      <rgbColor rgb="FF003300"/>
      <rgbColor rgb="FF333300"/>
      <rgbColor rgb="FF92400E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177a5a"/>
            </a:solidFill>
            <a:ln w="9360">
              <a:solidFill>
                <a:srgbClr val="177a5a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'Start Here'!$E$17:$E$28</c:f>
              <c:strCache>
                <c:ptCount val="12"/>
                <c:pt idx="0">
                  <c:v>Nov 2026</c:v>
                </c:pt>
                <c:pt idx="1">
                  <c:v>Dec 2026</c:v>
                </c:pt>
                <c:pt idx="2">
                  <c:v>Jan 2027</c:v>
                </c:pt>
                <c:pt idx="3">
                  <c:v>Feb 2027</c:v>
                </c:pt>
                <c:pt idx="4">
                  <c:v>Mar 2027</c:v>
                </c:pt>
                <c:pt idx="5">
                  <c:v>Apr 2027</c:v>
                </c:pt>
                <c:pt idx="6">
                  <c:v>May 2027</c:v>
                </c:pt>
                <c:pt idx="7">
                  <c:v>Jun 2027</c:v>
                </c:pt>
                <c:pt idx="8">
                  <c:v>Jul 2027</c:v>
                </c:pt>
                <c:pt idx="9">
                  <c:v>Aug 2027</c:v>
                </c:pt>
                <c:pt idx="10">
                  <c:v>Sep 2027</c:v>
                </c:pt>
                <c:pt idx="11">
                  <c:v>Oct 2027</c:v>
                </c:pt>
              </c:strCache>
            </c:strRef>
          </c:cat>
          <c:val>
            <c:numRef>
              <c:f>'Start Here'!$G$17:$G$28</c:f>
              <c:numCache>
                <c:formatCode>\$#,##0;[RED]"-$"#,##0;\–</c:formatCode>
                <c:ptCount val="12"/>
                <c:pt idx="0">
                  <c:v>611159.2</c:v>
                </c:pt>
                <c:pt idx="1">
                  <c:v>575011.38</c:v>
                </c:pt>
                <c:pt idx="2">
                  <c:v>535686.49</c:v>
                </c:pt>
                <c:pt idx="3">
                  <c:v>494424.53</c:v>
                </c:pt>
                <c:pt idx="4">
                  <c:v>456359.82</c:v>
                </c:pt>
                <c:pt idx="5">
                  <c:v>421628.36</c:v>
                </c:pt>
                <c:pt idx="6">
                  <c:v>381977.87</c:v>
                </c:pt>
                <c:pt idx="7">
                  <c:v>346048.83</c:v>
                </c:pt>
                <c:pt idx="8">
                  <c:v>309705.73</c:v>
                </c:pt>
                <c:pt idx="9">
                  <c:v>282206.41</c:v>
                </c:pt>
                <c:pt idx="10">
                  <c:v>259312.15</c:v>
                </c:pt>
                <c:pt idx="11">
                  <c:v>241287.67</c:v>
                </c:pt>
              </c:numCache>
            </c:numRef>
          </c:val>
        </c:ser>
        <c:gapWidth val="60"/>
        <c:overlap val="0"/>
        <c:axId val="61758225"/>
        <c:axId val="57960218"/>
      </c:barChart>
      <c:catAx>
        <c:axId val="61758225"/>
        <c:scaling>
          <c:orientation val="minMax"/>
        </c:scaling>
        <c:delete val="0"/>
        <c:axPos val="b"/>
        <c:numFmt formatCode="mmm\ yy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7960218"/>
        <c:crosses val="autoZero"/>
        <c:auto val="1"/>
        <c:lblAlgn val="ctr"/>
        <c:lblOffset val="100"/>
        <c:noMultiLvlLbl val="0"/>
      </c:catAx>
      <c:valAx>
        <c:axId val="57960218"/>
        <c:scaling>
          <c:orientation val="minMax"/>
        </c:scaling>
        <c:delete val="0"/>
        <c:axPos val="l"/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175822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29</xdr:row>
      <xdr:rowOff>0</xdr:rowOff>
    </xdr:from>
    <xdr:to>
      <xdr:col>8</xdr:col>
      <xdr:colOff>411480</xdr:colOff>
      <xdr:row>43</xdr:row>
      <xdr:rowOff>32760</xdr:rowOff>
    </xdr:to>
    <xdr:graphicFrame>
      <xdr:nvGraphicFramePr>
        <xdr:cNvPr id="0" name="Chart 1"/>
        <xdr:cNvGraphicFramePr/>
      </xdr:nvGraphicFramePr>
      <xdr:xfrm>
        <a:off x="6555240" y="8163000"/>
        <a:ext cx="449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arumsoft.com/resources/excel/startup-cash-flow-forecast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4C3A"/>
    <pageSetUpPr fitToPage="true"/>
  </sheetPr>
  <dimension ref="A1:H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8"/>
    <col collapsed="false" customWidth="true" hidden="false" outlineLevel="0" max="3" min="3" style="0" width="44"/>
    <col collapsed="false" customWidth="true" hidden="false" outlineLevel="0" max="4" min="4" style="0" width="3"/>
    <col collapsed="false" customWidth="true" hidden="false" outlineLevel="0" max="5" min="5" style="0" width="4"/>
    <col collapsed="false" customWidth="true" hidden="false" outlineLevel="0" max="6" min="6" style="0" width="22"/>
    <col collapsed="false" customWidth="true" hidden="false" outlineLevel="0" max="8" min="7" style="0" width="16"/>
  </cols>
  <sheetData>
    <row r="1" customFormat="false" ht="33.75" hidden="false" customHeight="true" outlineLevel="0" collapsed="false">
      <c r="A1" s="1" t="str">
        <f aca="false">IF(Assumptions!$B$5="","Startup Cash Flow Forecast",Assumptions!$B$5&amp;": Cash Flow Forecast")</f>
        <v>Brightpath Software: Cash Flow Forecast</v>
      </c>
      <c r="B1" s="2"/>
      <c r="C1" s="2"/>
      <c r="D1" s="2"/>
      <c r="E1" s="2"/>
      <c r="F1" s="2"/>
      <c r="G1" s="2"/>
      <c r="H1" s="2"/>
    </row>
    <row r="2" customFormat="false" ht="21.75" hidden="false" customHeight="true" outlineLevel="0" collapsed="false">
      <c r="A2" s="3" t="s">
        <v>0</v>
      </c>
      <c r="B2" s="3"/>
      <c r="C2" s="3"/>
      <c r="D2" s="3"/>
      <c r="E2" s="3"/>
      <c r="F2" s="3"/>
      <c r="G2" s="3"/>
      <c r="H2" s="3"/>
    </row>
    <row r="3" customFormat="false" ht="9.75" hidden="false" customHeight="true" outlineLevel="0" collapsed="false"/>
    <row r="4" customFormat="false" ht="21.75" hidden="false" customHeight="true" outlineLevel="0" collapsed="false">
      <c r="A4" s="4" t="s">
        <v>1</v>
      </c>
      <c r="B4" s="5"/>
      <c r="C4" s="5"/>
      <c r="E4" s="4" t="s">
        <v>2</v>
      </c>
      <c r="F4" s="5"/>
      <c r="G4" s="5"/>
      <c r="H4" s="5"/>
    </row>
    <row r="5" customFormat="false" ht="15" hidden="false" customHeight="true" outlineLevel="0" collapsed="false">
      <c r="A5" s="6" t="s">
        <v>3</v>
      </c>
      <c r="B5" s="7" t="s">
        <v>4</v>
      </c>
      <c r="C5" s="6" t="s">
        <v>5</v>
      </c>
    </row>
    <row r="6" customFormat="false" ht="30" hidden="false" customHeight="true" outlineLevel="0" collapsed="false">
      <c r="A6" s="8" t="s">
        <v>6</v>
      </c>
      <c r="B6" s="9" t="n">
        <f aca="false">N(Assumptions!$B$7)</f>
        <v>650000</v>
      </c>
      <c r="C6" s="10" t="s">
        <v>7</v>
      </c>
      <c r="E6" s="11"/>
      <c r="F6" s="12" t="s">
        <v>8</v>
      </c>
      <c r="G6" s="12"/>
      <c r="H6" s="12"/>
    </row>
    <row r="7" customFormat="false" ht="30" hidden="false" customHeight="true" outlineLevel="0" collapsed="false">
      <c r="A7" s="8" t="s">
        <v>9</v>
      </c>
      <c r="B7" s="9" t="n">
        <f aca="false">Forecast!$M$37</f>
        <v>241287.67</v>
      </c>
      <c r="C7" s="10" t="s">
        <v>10</v>
      </c>
      <c r="E7" s="13"/>
      <c r="F7" s="12" t="s">
        <v>11</v>
      </c>
      <c r="G7" s="12"/>
      <c r="H7" s="12"/>
    </row>
    <row r="8" customFormat="false" ht="30" hidden="false" customHeight="true" outlineLevel="0" collapsed="false">
      <c r="A8" s="8" t="s">
        <v>12</v>
      </c>
      <c r="B8" s="9" t="n">
        <f aca="false">MIN(Forecast!$B$37:$M$37)</f>
        <v>241287.67</v>
      </c>
      <c r="C8" s="10" t="s">
        <v>13</v>
      </c>
      <c r="E8" s="14" t="s">
        <v>14</v>
      </c>
      <c r="F8" s="12" t="s">
        <v>15</v>
      </c>
      <c r="G8" s="12"/>
      <c r="H8" s="12"/>
    </row>
    <row r="9" customFormat="false" ht="30" hidden="false" customHeight="true" outlineLevel="0" collapsed="false">
      <c r="A9" s="8" t="s">
        <v>16</v>
      </c>
      <c r="B9" s="9" t="n">
        <f aca="false">Forecast!$M$11</f>
        <v>77835.24</v>
      </c>
      <c r="C9" s="10" t="s">
        <v>17</v>
      </c>
      <c r="E9" s="15" t="s">
        <v>18</v>
      </c>
      <c r="F9" s="12" t="s">
        <v>19</v>
      </c>
      <c r="G9" s="12"/>
      <c r="H9" s="12"/>
    </row>
    <row r="10" customFormat="false" ht="30" hidden="false" customHeight="true" outlineLevel="0" collapsed="false">
      <c r="A10" s="8" t="s">
        <v>20</v>
      </c>
      <c r="B10" s="16" t="n">
        <f aca="false">Forecast!$M$9</f>
        <v>614</v>
      </c>
      <c r="C10" s="10" t="s">
        <v>21</v>
      </c>
      <c r="E10" s="17" t="s">
        <v>22</v>
      </c>
      <c r="F10" s="18" t="s">
        <v>23</v>
      </c>
      <c r="G10" s="18"/>
      <c r="H10" s="18"/>
    </row>
    <row r="11" customFormat="false" ht="30" hidden="false" customHeight="true" outlineLevel="0" collapsed="false">
      <c r="A11" s="8" t="s">
        <v>24</v>
      </c>
      <c r="B11" s="9" t="n">
        <f aca="false">AVERAGE(Forecast!$K$35:$M$35)</f>
        <v>22806.02</v>
      </c>
      <c r="C11" s="10" t="s">
        <v>25</v>
      </c>
      <c r="F11" s="19" t="s">
        <v>26</v>
      </c>
      <c r="G11" s="20" t="n">
        <f aca="false">COUNTIF(Checks!$B$5:$B$10,"Review")</f>
        <v>0</v>
      </c>
      <c r="H11" s="21" t="str">
        <f aca="false">IF(G11=0,"All clear","Open the Checks tab")</f>
        <v>All clear</v>
      </c>
    </row>
    <row r="12" customFormat="false" ht="30" hidden="false" customHeight="true" outlineLevel="0" collapsed="false">
      <c r="A12" s="8" t="s">
        <v>27</v>
      </c>
      <c r="B12" s="22" t="n">
        <f aca="false">IF(AVERAGE(Forecast!$K$35:$M$35)&lt;=0,"No burn",Forecast!$M$37/AVERAGE(Forecast!$K$35:$M$35))</f>
        <v>10.5799990528816</v>
      </c>
      <c r="C12" s="10" t="s">
        <v>28</v>
      </c>
    </row>
    <row r="13" customFormat="false" ht="30" hidden="false" customHeight="true" outlineLevel="0" collapsed="false">
      <c r="A13" s="8" t="s">
        <v>29</v>
      </c>
      <c r="B13" s="23" t="str">
        <f aca="false">IF(COUNT(Forecast!$B$39:$M$39)=0,"Never",MIN(Forecast!$B$39:$M$39))</f>
        <v>Never</v>
      </c>
      <c r="C13" s="10" t="s">
        <v>30</v>
      </c>
    </row>
    <row r="14" customFormat="false" ht="15" hidden="false" customHeight="true" outlineLevel="0" collapsed="false"/>
    <row r="15" customFormat="false" ht="21.75" hidden="false" customHeight="true" outlineLevel="0" collapsed="false">
      <c r="A15" s="4" t="s">
        <v>31</v>
      </c>
      <c r="B15" s="5"/>
      <c r="C15" s="5"/>
      <c r="E15" s="4" t="s">
        <v>32</v>
      </c>
      <c r="F15" s="5"/>
      <c r="G15" s="5"/>
      <c r="H15" s="5"/>
    </row>
    <row r="16" customFormat="false" ht="15" hidden="false" customHeight="false" outlineLevel="0" collapsed="false">
      <c r="A16" s="6" t="s">
        <v>33</v>
      </c>
      <c r="B16" s="6" t="s">
        <v>34</v>
      </c>
      <c r="E16" s="6" t="s">
        <v>35</v>
      </c>
      <c r="G16" s="7" t="s">
        <v>36</v>
      </c>
      <c r="H16" s="7" t="s">
        <v>37</v>
      </c>
    </row>
    <row r="17" customFormat="false" ht="19.5" hidden="false" customHeight="true" outlineLevel="0" collapsed="false">
      <c r="A17" s="24" t="s">
        <v>38</v>
      </c>
      <c r="B17" s="25" t="s">
        <v>39</v>
      </c>
      <c r="C17" s="25"/>
      <c r="E17" s="26" t="n">
        <f aca="false">Forecast!B$4</f>
        <v>46327</v>
      </c>
      <c r="F17" s="26"/>
      <c r="G17" s="27" t="n">
        <f aca="false">Forecast!B$37</f>
        <v>611159.2</v>
      </c>
      <c r="H17" s="27" t="n">
        <f aca="false">Forecast!B$11</f>
        <v>29280</v>
      </c>
    </row>
    <row r="18" customFormat="false" ht="19.5" hidden="false" customHeight="true" outlineLevel="0" collapsed="false">
      <c r="A18" s="24" t="s">
        <v>40</v>
      </c>
      <c r="B18" s="25" t="s">
        <v>41</v>
      </c>
      <c r="C18" s="25"/>
      <c r="E18" s="26" t="n">
        <f aca="false">Forecast!C$4</f>
        <v>46357</v>
      </c>
      <c r="F18" s="26"/>
      <c r="G18" s="27" t="n">
        <f aca="false">Forecast!C$37</f>
        <v>575011.38</v>
      </c>
      <c r="H18" s="27" t="n">
        <f aca="false">Forecast!C$11</f>
        <v>32562</v>
      </c>
    </row>
    <row r="19" customFormat="false" ht="19.5" hidden="false" customHeight="true" outlineLevel="0" collapsed="false">
      <c r="A19" s="24" t="s">
        <v>42</v>
      </c>
      <c r="B19" s="25" t="s">
        <v>43</v>
      </c>
      <c r="C19" s="25"/>
      <c r="E19" s="26" t="n">
        <f aca="false">Forecast!D$4</f>
        <v>46388</v>
      </c>
      <c r="F19" s="26"/>
      <c r="G19" s="27" t="n">
        <f aca="false">Forecast!D$37</f>
        <v>535686.49</v>
      </c>
      <c r="H19" s="27" t="n">
        <f aca="false">Forecast!D$11</f>
        <v>35997.29</v>
      </c>
    </row>
    <row r="20" customFormat="false" ht="19.5" hidden="false" customHeight="true" outlineLevel="0" collapsed="false">
      <c r="A20" s="24" t="s">
        <v>44</v>
      </c>
      <c r="B20" s="25" t="s">
        <v>45</v>
      </c>
      <c r="C20" s="25"/>
      <c r="E20" s="26" t="n">
        <f aca="false">Forecast!E$4</f>
        <v>46419</v>
      </c>
      <c r="F20" s="26"/>
      <c r="G20" s="27" t="n">
        <f aca="false">Forecast!E$37</f>
        <v>494424.53</v>
      </c>
      <c r="H20" s="27" t="n">
        <f aca="false">Forecast!E$11</f>
        <v>39709.74</v>
      </c>
    </row>
    <row r="21" customFormat="false" ht="19.5" hidden="false" customHeight="true" outlineLevel="0" collapsed="false">
      <c r="E21" s="26" t="n">
        <f aca="false">Forecast!F$4</f>
        <v>46447</v>
      </c>
      <c r="F21" s="26"/>
      <c r="G21" s="27" t="n">
        <f aca="false">Forecast!F$37</f>
        <v>456359.82</v>
      </c>
      <c r="H21" s="27" t="n">
        <f aca="false">Forecast!F$11</f>
        <v>43580.83</v>
      </c>
    </row>
    <row r="22" customFormat="false" ht="19.5" hidden="false" customHeight="true" outlineLevel="0" collapsed="false">
      <c r="E22" s="26" t="n">
        <f aca="false">Forecast!G$4</f>
        <v>46478</v>
      </c>
      <c r="F22" s="26"/>
      <c r="G22" s="27" t="n">
        <f aca="false">Forecast!G$37</f>
        <v>421628.36</v>
      </c>
      <c r="H22" s="27" t="n">
        <f aca="false">Forecast!G$11</f>
        <v>47612.67</v>
      </c>
    </row>
    <row r="23" customFormat="false" ht="19.5" hidden="false" customHeight="true" outlineLevel="0" collapsed="false">
      <c r="E23" s="26" t="n">
        <f aca="false">Forecast!H$4</f>
        <v>46508</v>
      </c>
      <c r="F23" s="26"/>
      <c r="G23" s="27" t="n">
        <f aca="false">Forecast!H$37</f>
        <v>381977.87</v>
      </c>
      <c r="H23" s="27" t="n">
        <f aca="false">Forecast!H$11</f>
        <v>51931.03</v>
      </c>
    </row>
    <row r="24" customFormat="false" ht="19.5" hidden="false" customHeight="true" outlineLevel="0" collapsed="false">
      <c r="E24" s="26" t="n">
        <f aca="false">Forecast!I$4</f>
        <v>46539</v>
      </c>
      <c r="F24" s="26"/>
      <c r="G24" s="27" t="n">
        <f aca="false">Forecast!I$37</f>
        <v>346048.83</v>
      </c>
      <c r="H24" s="27" t="n">
        <f aca="false">Forecast!I$11</f>
        <v>56415.64</v>
      </c>
    </row>
    <row r="25" customFormat="false" ht="19.5" hidden="false" customHeight="true" outlineLevel="0" collapsed="false">
      <c r="E25" s="26" t="n">
        <f aca="false">Forecast!J$4</f>
        <v>46569</v>
      </c>
      <c r="F25" s="26"/>
      <c r="G25" s="27" t="n">
        <f aca="false">Forecast!J$37</f>
        <v>309705.73</v>
      </c>
      <c r="H25" s="27" t="n">
        <f aca="false">Forecast!J$11</f>
        <v>61318.46</v>
      </c>
    </row>
    <row r="26" customFormat="false" ht="19.5" hidden="false" customHeight="true" outlineLevel="0" collapsed="false">
      <c r="E26" s="26" t="n">
        <f aca="false">Forecast!K$4</f>
        <v>46600</v>
      </c>
      <c r="F26" s="26"/>
      <c r="G26" s="27" t="n">
        <f aca="false">Forecast!K$37</f>
        <v>282206.41</v>
      </c>
      <c r="H26" s="27" t="n">
        <f aca="false">Forecast!K$11</f>
        <v>66519.91</v>
      </c>
    </row>
    <row r="27" customFormat="false" ht="19.5" hidden="false" customHeight="true" outlineLevel="0" collapsed="false">
      <c r="E27" s="26" t="n">
        <f aca="false">Forecast!L$4</f>
        <v>46631</v>
      </c>
      <c r="F27" s="26"/>
      <c r="G27" s="27" t="n">
        <f aca="false">Forecast!L$37</f>
        <v>259312.15</v>
      </c>
      <c r="H27" s="27" t="n">
        <f aca="false">Forecast!L$11</f>
        <v>72024.12</v>
      </c>
    </row>
    <row r="28" customFormat="false" ht="19.5" hidden="false" customHeight="true" outlineLevel="0" collapsed="false">
      <c r="E28" s="26" t="n">
        <f aca="false">Forecast!M$4</f>
        <v>46661</v>
      </c>
      <c r="F28" s="26"/>
      <c r="G28" s="27" t="n">
        <f aca="false">Forecast!M$37</f>
        <v>241287.67</v>
      </c>
      <c r="H28" s="27" t="n">
        <f aca="false">Forecast!M$11</f>
        <v>77835.24</v>
      </c>
    </row>
  </sheetData>
  <mergeCells count="22">
    <mergeCell ref="A2:H2"/>
    <mergeCell ref="F6:H6"/>
    <mergeCell ref="F7:H7"/>
    <mergeCell ref="F8:H8"/>
    <mergeCell ref="F9:H9"/>
    <mergeCell ref="F10:H10"/>
    <mergeCell ref="B17:C17"/>
    <mergeCell ref="E17:F17"/>
    <mergeCell ref="B18:C18"/>
    <mergeCell ref="E18:F18"/>
    <mergeCell ref="B19:C19"/>
    <mergeCell ref="E19:F19"/>
    <mergeCell ref="B20:C20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</mergeCells>
  <hyperlinks>
    <hyperlink ref="F10" r:id="rId1" display="Step-by-step guide: arumsoft.com/resources"/>
    <hyperlink ref="F11" location="'Checks'!A1" display="Checks needing review"/>
    <hyperlink ref="A17" location="'Assumptions'!A1" display="Assumptions"/>
    <hyperlink ref="A18" location="'Forecast'!A1" display="Forecast"/>
    <hyperlink ref="A19" location="'Lists'!A1" display="Lists"/>
    <hyperlink ref="A20" location="'Checks'!A1" display="Checks"/>
  </hyperlink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7A5A"/>
    <pageSetUpPr fitToPage="true"/>
  </sheetPr>
  <dimension ref="A1:M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3" min="2" style="0" width="14"/>
    <col collapsed="false" customWidth="true" hidden="false" outlineLevel="0" max="13" min="4" style="0" width="13"/>
  </cols>
  <sheetData>
    <row r="1" customFormat="false" ht="33.75" hidden="false" customHeight="true" outlineLevel="0" collapsed="false">
      <c r="A1" s="1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21.75" hidden="false" customHeight="true" outlineLevel="0" collapsed="false">
      <c r="A2" s="28" t="s">
        <v>46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customFormat="false" ht="9.75" hidden="false" customHeight="true" outlineLevel="0" collapsed="false"/>
    <row r="4" customFormat="false" ht="21.75" hidden="false" customHeight="true" outlineLevel="0" collapsed="false">
      <c r="A4" s="4" t="s">
        <v>47</v>
      </c>
      <c r="B4" s="5"/>
    </row>
    <row r="5" customFormat="false" ht="19.5" hidden="false" customHeight="true" outlineLevel="0" collapsed="false">
      <c r="A5" s="8" t="s">
        <v>48</v>
      </c>
      <c r="B5" s="30" t="s">
        <v>49</v>
      </c>
    </row>
    <row r="6" customFormat="false" ht="19.5" hidden="false" customHeight="true" outlineLevel="0" collapsed="false">
      <c r="A6" s="8" t="s">
        <v>50</v>
      </c>
      <c r="B6" s="31" t="n">
        <v>46327</v>
      </c>
      <c r="C6" s="32" t="s">
        <v>51</v>
      </c>
    </row>
    <row r="7" customFormat="false" ht="19.5" hidden="false" customHeight="true" outlineLevel="0" collapsed="false">
      <c r="A7" s="8" t="s">
        <v>52</v>
      </c>
      <c r="B7" s="33" t="n">
        <v>650000</v>
      </c>
      <c r="C7" s="32" t="s">
        <v>53</v>
      </c>
    </row>
    <row r="9" customFormat="false" ht="21.75" hidden="false" customHeight="true" outlineLevel="0" collapsed="false">
      <c r="A9" s="4" t="s">
        <v>54</v>
      </c>
      <c r="B9" s="5"/>
    </row>
    <row r="10" customFormat="false" ht="19.5" hidden="false" customHeight="true" outlineLevel="0" collapsed="false">
      <c r="A10" s="8" t="s">
        <v>55</v>
      </c>
      <c r="B10" s="34" t="n">
        <v>220</v>
      </c>
      <c r="C10" s="32" t="s">
        <v>56</v>
      </c>
    </row>
    <row r="11" customFormat="false" ht="19.5" hidden="false" customHeight="true" outlineLevel="0" collapsed="false">
      <c r="A11" s="8" t="s">
        <v>57</v>
      </c>
      <c r="B11" s="34" t="n">
        <v>30</v>
      </c>
    </row>
    <row r="12" customFormat="false" ht="19.5" hidden="false" customHeight="true" outlineLevel="0" collapsed="false">
      <c r="A12" s="8" t="s">
        <v>58</v>
      </c>
      <c r="B12" s="35" t="n">
        <v>0.06</v>
      </c>
      <c r="C12" s="32" t="s">
        <v>59</v>
      </c>
    </row>
    <row r="13" customFormat="false" ht="19.5" hidden="false" customHeight="true" outlineLevel="0" collapsed="false">
      <c r="A13" s="8" t="s">
        <v>60</v>
      </c>
      <c r="B13" s="35" t="n">
        <v>0.025</v>
      </c>
      <c r="C13" s="32" t="s">
        <v>61</v>
      </c>
    </row>
    <row r="14" customFormat="false" ht="19.5" hidden="false" customHeight="true" outlineLevel="0" collapsed="false">
      <c r="A14" s="8" t="s">
        <v>62</v>
      </c>
      <c r="B14" s="36" t="n">
        <v>120</v>
      </c>
      <c r="C14" s="32" t="s">
        <v>63</v>
      </c>
    </row>
    <row r="15" customFormat="false" ht="19.5" hidden="false" customHeight="true" outlineLevel="0" collapsed="false">
      <c r="A15" s="8" t="s">
        <v>64</v>
      </c>
      <c r="B15" s="35" t="n">
        <v>0.005</v>
      </c>
      <c r="C15" s="32" t="s">
        <v>65</v>
      </c>
    </row>
    <row r="16" customFormat="false" ht="19.5" hidden="false" customHeight="true" outlineLevel="0" collapsed="false">
      <c r="A16" s="8" t="s">
        <v>66</v>
      </c>
      <c r="B16" s="33" t="n">
        <v>1500</v>
      </c>
      <c r="C16" s="32" t="s">
        <v>67</v>
      </c>
    </row>
    <row r="18" customFormat="false" ht="21.75" hidden="false" customHeight="true" outlineLevel="0" collapsed="false">
      <c r="A18" s="4" t="s">
        <v>68</v>
      </c>
      <c r="B18" s="5"/>
      <c r="C18" s="5"/>
      <c r="D18" s="5"/>
      <c r="E18" s="5"/>
      <c r="F18" s="5"/>
    </row>
    <row r="19" customFormat="false" ht="30" hidden="false" customHeight="true" outlineLevel="0" collapsed="false">
      <c r="A19" s="37" t="s">
        <v>69</v>
      </c>
      <c r="B19" s="37" t="s">
        <v>70</v>
      </c>
      <c r="C19" s="38" t="s">
        <v>71</v>
      </c>
      <c r="D19" s="38" t="s">
        <v>72</v>
      </c>
      <c r="E19" s="38" t="s">
        <v>73</v>
      </c>
      <c r="F19" s="38" t="s">
        <v>74</v>
      </c>
    </row>
    <row r="20" customFormat="false" ht="18.75" hidden="false" customHeight="true" outlineLevel="0" collapsed="false">
      <c r="A20" s="30" t="s">
        <v>75</v>
      </c>
      <c r="B20" s="30" t="s">
        <v>76</v>
      </c>
      <c r="C20" s="33" t="n">
        <v>48000</v>
      </c>
      <c r="D20" s="35"/>
      <c r="E20" s="35" t="n">
        <v>0</v>
      </c>
      <c r="F20" s="39" t="n">
        <v>1</v>
      </c>
    </row>
    <row r="21" customFormat="false" ht="18.75" hidden="false" customHeight="true" outlineLevel="0" collapsed="false">
      <c r="A21" s="30" t="s">
        <v>77</v>
      </c>
      <c r="B21" s="30" t="s">
        <v>76</v>
      </c>
      <c r="C21" s="33" t="n">
        <v>11000</v>
      </c>
      <c r="D21" s="35"/>
      <c r="E21" s="35" t="n">
        <v>0</v>
      </c>
      <c r="F21" s="39" t="n">
        <v>4</v>
      </c>
    </row>
    <row r="22" customFormat="false" ht="18.75" hidden="false" customHeight="true" outlineLevel="0" collapsed="false">
      <c r="A22" s="30" t="s">
        <v>78</v>
      </c>
      <c r="B22" s="30" t="s">
        <v>76</v>
      </c>
      <c r="C22" s="33" t="n">
        <v>8500</v>
      </c>
      <c r="D22" s="35"/>
      <c r="E22" s="35" t="n">
        <v>0</v>
      </c>
      <c r="F22" s="39" t="n">
        <v>7</v>
      </c>
    </row>
    <row r="23" customFormat="false" ht="18.75" hidden="false" customHeight="true" outlineLevel="0" collapsed="false">
      <c r="A23" s="30" t="s">
        <v>79</v>
      </c>
      <c r="B23" s="30" t="s">
        <v>76</v>
      </c>
      <c r="C23" s="33" t="n">
        <v>4000</v>
      </c>
      <c r="D23" s="35"/>
      <c r="E23" s="35" t="n">
        <v>0</v>
      </c>
      <c r="F23" s="39" t="n">
        <v>1</v>
      </c>
    </row>
    <row r="24" customFormat="false" ht="18.75" hidden="false" customHeight="true" outlineLevel="0" collapsed="false">
      <c r="A24" s="30" t="s">
        <v>80</v>
      </c>
      <c r="B24" s="30" t="s">
        <v>81</v>
      </c>
      <c r="C24" s="33"/>
      <c r="D24" s="35" t="n">
        <v>0.08</v>
      </c>
      <c r="E24" s="35"/>
      <c r="F24" s="39" t="n">
        <v>1</v>
      </c>
    </row>
    <row r="25" customFormat="false" ht="18.75" hidden="false" customHeight="true" outlineLevel="0" collapsed="false">
      <c r="A25" s="30" t="s">
        <v>82</v>
      </c>
      <c r="B25" s="30" t="s">
        <v>81</v>
      </c>
      <c r="C25" s="33"/>
      <c r="D25" s="35" t="n">
        <v>0.03</v>
      </c>
      <c r="E25" s="35"/>
      <c r="F25" s="39" t="n">
        <v>1</v>
      </c>
    </row>
    <row r="26" customFormat="false" ht="18.75" hidden="false" customHeight="true" outlineLevel="0" collapsed="false">
      <c r="A26" s="30" t="s">
        <v>83</v>
      </c>
      <c r="B26" s="30" t="s">
        <v>76</v>
      </c>
      <c r="C26" s="33" t="n">
        <v>1800</v>
      </c>
      <c r="D26" s="35"/>
      <c r="E26" s="35" t="n">
        <v>0.01</v>
      </c>
      <c r="F26" s="39" t="n">
        <v>1</v>
      </c>
    </row>
    <row r="27" customFormat="false" ht="18.75" hidden="false" customHeight="true" outlineLevel="0" collapsed="false">
      <c r="A27" s="30" t="s">
        <v>84</v>
      </c>
      <c r="B27" s="30" t="s">
        <v>76</v>
      </c>
      <c r="C27" s="33" t="n">
        <v>7000</v>
      </c>
      <c r="D27" s="35"/>
      <c r="E27" s="35" t="n">
        <v>0.03</v>
      </c>
      <c r="F27" s="39" t="n">
        <v>1</v>
      </c>
    </row>
    <row r="28" customFormat="false" ht="18.75" hidden="false" customHeight="true" outlineLevel="0" collapsed="false">
      <c r="A28" s="30" t="s">
        <v>85</v>
      </c>
      <c r="B28" s="30" t="s">
        <v>76</v>
      </c>
      <c r="C28" s="33" t="n">
        <v>3500</v>
      </c>
      <c r="D28" s="35"/>
      <c r="E28" s="35" t="n">
        <v>0</v>
      </c>
      <c r="F28" s="39" t="n">
        <v>1</v>
      </c>
    </row>
    <row r="29" customFormat="false" ht="18.75" hidden="false" customHeight="true" outlineLevel="0" collapsed="false">
      <c r="A29" s="30" t="s">
        <v>86</v>
      </c>
      <c r="B29" s="30" t="s">
        <v>76</v>
      </c>
      <c r="C29" s="33" t="n">
        <v>1200</v>
      </c>
      <c r="D29" s="35"/>
      <c r="E29" s="35" t="n">
        <v>0</v>
      </c>
      <c r="F29" s="39" t="n">
        <v>1</v>
      </c>
    </row>
    <row r="30" customFormat="false" ht="18.75" hidden="false" customHeight="true" outlineLevel="0" collapsed="false">
      <c r="A30" s="30" t="s">
        <v>87</v>
      </c>
      <c r="B30" s="30" t="s">
        <v>76</v>
      </c>
      <c r="C30" s="33" t="n">
        <v>900</v>
      </c>
      <c r="D30" s="35"/>
      <c r="E30" s="35" t="n">
        <v>0</v>
      </c>
      <c r="F30" s="39" t="n">
        <v>1</v>
      </c>
    </row>
    <row r="31" customFormat="false" ht="18.75" hidden="false" customHeight="true" outlineLevel="0" collapsed="false">
      <c r="A31" s="30"/>
      <c r="B31" s="30"/>
      <c r="C31" s="33"/>
      <c r="D31" s="35"/>
      <c r="E31" s="35"/>
      <c r="F31" s="39"/>
    </row>
    <row r="34" customFormat="false" ht="21.75" hidden="false" customHeight="true" outlineLevel="0" collapsed="false">
      <c r="A34" s="4" t="s">
        <v>88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customFormat="false" ht="21.75" hidden="false" customHeight="true" outlineLevel="0" collapsed="false">
      <c r="A35" s="40" t="s">
        <v>89</v>
      </c>
      <c r="B35" s="41" t="n">
        <f aca="false">EDATE(Assumptions!$B$6,0)</f>
        <v>46327</v>
      </c>
      <c r="C35" s="41" t="n">
        <f aca="false">EDATE(Assumptions!$B$6,1)</f>
        <v>46357</v>
      </c>
      <c r="D35" s="41" t="n">
        <f aca="false">EDATE(Assumptions!$B$6,2)</f>
        <v>46388</v>
      </c>
      <c r="E35" s="41" t="n">
        <f aca="false">EDATE(Assumptions!$B$6,3)</f>
        <v>46419</v>
      </c>
      <c r="F35" s="41" t="n">
        <f aca="false">EDATE(Assumptions!$B$6,4)</f>
        <v>46447</v>
      </c>
      <c r="G35" s="41" t="n">
        <f aca="false">EDATE(Assumptions!$B$6,5)</f>
        <v>46478</v>
      </c>
      <c r="H35" s="41" t="n">
        <f aca="false">EDATE(Assumptions!$B$6,6)</f>
        <v>46508</v>
      </c>
      <c r="I35" s="41" t="n">
        <f aca="false">EDATE(Assumptions!$B$6,7)</f>
        <v>46539</v>
      </c>
      <c r="J35" s="41" t="n">
        <f aca="false">EDATE(Assumptions!$B$6,8)</f>
        <v>46569</v>
      </c>
      <c r="K35" s="41" t="n">
        <f aca="false">EDATE(Assumptions!$B$6,9)</f>
        <v>46600</v>
      </c>
      <c r="L35" s="41" t="n">
        <f aca="false">EDATE(Assumptions!$B$6,10)</f>
        <v>46631</v>
      </c>
      <c r="M35" s="41" t="n">
        <f aca="false">EDATE(Assumptions!$B$6,11)</f>
        <v>46661</v>
      </c>
    </row>
    <row r="36" customFormat="false" ht="19.5" hidden="false" customHeight="true" outlineLevel="0" collapsed="false">
      <c r="A36" s="42" t="s">
        <v>90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</row>
    <row r="37" customFormat="false" ht="19.5" hidden="false" customHeight="true" outlineLevel="0" collapsed="false">
      <c r="A37" s="42" t="s">
        <v>91</v>
      </c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</row>
    <row r="38" customFormat="false" ht="19.5" hidden="false" customHeight="true" outlineLevel="0" collapsed="false">
      <c r="A38" s="42" t="s">
        <v>92</v>
      </c>
      <c r="B38" s="33"/>
      <c r="C38" s="33"/>
      <c r="D38" s="33" t="n">
        <v>6000</v>
      </c>
      <c r="E38" s="33"/>
      <c r="F38" s="33"/>
      <c r="G38" s="33"/>
      <c r="H38" s="33"/>
      <c r="I38" s="33"/>
      <c r="J38" s="33" t="n">
        <v>4500</v>
      </c>
      <c r="K38" s="33"/>
      <c r="L38" s="33"/>
      <c r="M38" s="33"/>
    </row>
    <row r="40" customFormat="false" ht="15" hidden="false" customHeight="false" outlineLevel="0" collapsed="false">
      <c r="A40" s="43" t="s">
        <v>93</v>
      </c>
    </row>
  </sheetData>
  <dataValidations count="4">
    <dataValidation allowBlank="true" error="Choose a value from the dropdown. You can edit the choices on the Lists sheet." errorStyle="stop" errorTitle="Pick from the list" operator="between" showDropDown="false" showErrorMessage="true" showInputMessage="false" sqref="B20:B31" type="list">
      <formula1>Lists!$A$5:$A$6</formula1>
      <formula2>0</formula2>
    </dataValidation>
    <dataValidation allowBlank="true" error="Enter a month number from 1 to 12." errorStyle="stop" errorTitle="Check this value" operator="between" showDropDown="false" showErrorMessage="true" showInputMessage="false" sqref="F20:F31" type="whole">
      <formula1>1</formula1>
      <formula2>12</formula2>
    </dataValidation>
    <dataValidation allowBlank="true" error="Enter a date, for example 2026-11-01." errorStyle="stop" errorTitle="Check this value" operator="greaterThan" showDropDown="false" showErrorMessage="true" showInputMessage="false" sqref="B6" type="date">
      <formula1>36526</formula1>
      <formula2>0</formula2>
    </dataValidation>
    <dataValidation allowBlank="true" error="Enter a percentage from 0% to 100%." errorStyle="stop" errorTitle="Check this value" operator="between" showDropDown="false" showErrorMessage="true" showInputMessage="false" sqref="B13" type="decimal">
      <formula1>0</formula1>
      <formula2>1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B6EA8"/>
    <pageSetUpPr fitToPage="true"/>
  </sheetPr>
  <dimension ref="A1:N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13" min="2" style="0" width="13"/>
    <col collapsed="false" customWidth="true" hidden="false" outlineLevel="0" max="14" min="14" style="0" width="15"/>
  </cols>
  <sheetData>
    <row r="1" customFormat="false" ht="33.75" hidden="false" customHeight="true" outlineLevel="0" collapsed="false">
      <c r="A1" s="1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Format="false" ht="21.75" hidden="false" customHeight="true" outlineLevel="0" collapsed="false">
      <c r="A2" s="28" t="s">
        <v>94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customFormat="false" ht="9.75" hidden="false" customHeight="true" outlineLevel="0" collapsed="false"/>
    <row r="4" customFormat="false" ht="30" hidden="false" customHeight="true" outlineLevel="0" collapsed="false">
      <c r="A4" s="37" t="s">
        <v>35</v>
      </c>
      <c r="B4" s="44" t="n">
        <f aca="false">EDATE(Assumptions!$B$6,0)</f>
        <v>46327</v>
      </c>
      <c r="C4" s="44" t="n">
        <f aca="false">EDATE(Assumptions!$B$6,1)</f>
        <v>46357</v>
      </c>
      <c r="D4" s="44" t="n">
        <f aca="false">EDATE(Assumptions!$B$6,2)</f>
        <v>46388</v>
      </c>
      <c r="E4" s="44" t="n">
        <f aca="false">EDATE(Assumptions!$B$6,3)</f>
        <v>46419</v>
      </c>
      <c r="F4" s="44" t="n">
        <f aca="false">EDATE(Assumptions!$B$6,4)</f>
        <v>46447</v>
      </c>
      <c r="G4" s="44" t="n">
        <f aca="false">EDATE(Assumptions!$B$6,5)</f>
        <v>46478</v>
      </c>
      <c r="H4" s="44" t="n">
        <f aca="false">EDATE(Assumptions!$B$6,6)</f>
        <v>46508</v>
      </c>
      <c r="I4" s="44" t="n">
        <f aca="false">EDATE(Assumptions!$B$6,7)</f>
        <v>46539</v>
      </c>
      <c r="J4" s="44" t="n">
        <f aca="false">EDATE(Assumptions!$B$6,8)</f>
        <v>46569</v>
      </c>
      <c r="K4" s="44" t="n">
        <f aca="false">EDATE(Assumptions!$B$6,9)</f>
        <v>46600</v>
      </c>
      <c r="L4" s="44" t="n">
        <f aca="false">EDATE(Assumptions!$B$6,10)</f>
        <v>46631</v>
      </c>
      <c r="M4" s="44" t="n">
        <f aca="false">EDATE(Assumptions!$B$6,11)</f>
        <v>46661</v>
      </c>
      <c r="N4" s="38" t="s">
        <v>95</v>
      </c>
    </row>
    <row r="5" customFormat="false" ht="18" hidden="false" customHeight="true" outlineLevel="0" collapsed="false">
      <c r="A5" s="45" t="s">
        <v>96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customFormat="false" ht="18.75" hidden="false" customHeight="true" outlineLevel="0" collapsed="false">
      <c r="A6" s="25" t="s">
        <v>55</v>
      </c>
      <c r="B6" s="47" t="n">
        <f aca="false">Assumptions!$B$10</f>
        <v>220</v>
      </c>
      <c r="C6" s="47" t="n">
        <f aca="false">B9</f>
        <v>244</v>
      </c>
      <c r="D6" s="47" t="n">
        <f aca="false">C9</f>
        <v>270</v>
      </c>
      <c r="E6" s="47" t="n">
        <f aca="false">D9</f>
        <v>297</v>
      </c>
      <c r="F6" s="47" t="n">
        <f aca="false">E9</f>
        <v>326</v>
      </c>
      <c r="G6" s="47" t="n">
        <f aca="false">F9</f>
        <v>356</v>
      </c>
      <c r="H6" s="47" t="n">
        <f aca="false">G9</f>
        <v>387</v>
      </c>
      <c r="I6" s="47" t="n">
        <f aca="false">H9</f>
        <v>420</v>
      </c>
      <c r="J6" s="47" t="n">
        <f aca="false">I9</f>
        <v>454</v>
      </c>
      <c r="K6" s="47" t="n">
        <f aca="false">J9</f>
        <v>491</v>
      </c>
      <c r="L6" s="47" t="n">
        <f aca="false">K9</f>
        <v>530</v>
      </c>
      <c r="M6" s="47" t="n">
        <f aca="false">L9</f>
        <v>571</v>
      </c>
      <c r="N6" s="48"/>
    </row>
    <row r="7" customFormat="false" ht="18.75" hidden="false" customHeight="true" outlineLevel="0" collapsed="false">
      <c r="A7" s="25" t="s">
        <v>97</v>
      </c>
      <c r="B7" s="47" t="n">
        <f aca="false">ROUND(N(Assumptions!$B$11)*(1+N(Assumptions!$B$12))^0,0)</f>
        <v>30</v>
      </c>
      <c r="C7" s="47" t="n">
        <f aca="false">ROUND(N(Assumptions!$B$11)*(1+N(Assumptions!$B$12))^1,0)</f>
        <v>32</v>
      </c>
      <c r="D7" s="47" t="n">
        <f aca="false">ROUND(N(Assumptions!$B$11)*(1+N(Assumptions!$B$12))^2,0)</f>
        <v>34</v>
      </c>
      <c r="E7" s="47" t="n">
        <f aca="false">ROUND(N(Assumptions!$B$11)*(1+N(Assumptions!$B$12))^3,0)</f>
        <v>36</v>
      </c>
      <c r="F7" s="47" t="n">
        <f aca="false">ROUND(N(Assumptions!$B$11)*(1+N(Assumptions!$B$12))^4,0)</f>
        <v>38</v>
      </c>
      <c r="G7" s="47" t="n">
        <f aca="false">ROUND(N(Assumptions!$B$11)*(1+N(Assumptions!$B$12))^5,0)</f>
        <v>40</v>
      </c>
      <c r="H7" s="47" t="n">
        <f aca="false">ROUND(N(Assumptions!$B$11)*(1+N(Assumptions!$B$12))^6,0)</f>
        <v>43</v>
      </c>
      <c r="I7" s="47" t="n">
        <f aca="false">ROUND(N(Assumptions!$B$11)*(1+N(Assumptions!$B$12))^7,0)</f>
        <v>45</v>
      </c>
      <c r="J7" s="47" t="n">
        <f aca="false">ROUND(N(Assumptions!$B$11)*(1+N(Assumptions!$B$12))^8,0)</f>
        <v>48</v>
      </c>
      <c r="K7" s="47" t="n">
        <f aca="false">ROUND(N(Assumptions!$B$11)*(1+N(Assumptions!$B$12))^9,0)</f>
        <v>51</v>
      </c>
      <c r="L7" s="47" t="n">
        <f aca="false">ROUND(N(Assumptions!$B$11)*(1+N(Assumptions!$B$12))^10,0)</f>
        <v>54</v>
      </c>
      <c r="M7" s="47" t="n">
        <f aca="false">ROUND(N(Assumptions!$B$11)*(1+N(Assumptions!$B$12))^11,0)</f>
        <v>57</v>
      </c>
      <c r="N7" s="49" t="n">
        <f aca="false">SUM(B7:M7)</f>
        <v>508</v>
      </c>
    </row>
    <row r="8" customFormat="false" ht="18.75" hidden="false" customHeight="true" outlineLevel="0" collapsed="false">
      <c r="A8" s="25" t="s">
        <v>98</v>
      </c>
      <c r="B8" s="47" t="n">
        <f aca="false">ROUND(B6*N(Assumptions!$B$13),0)</f>
        <v>6</v>
      </c>
      <c r="C8" s="47" t="n">
        <f aca="false">ROUND(C6*N(Assumptions!$B$13),0)</f>
        <v>6</v>
      </c>
      <c r="D8" s="47" t="n">
        <f aca="false">ROUND(D6*N(Assumptions!$B$13),0)</f>
        <v>7</v>
      </c>
      <c r="E8" s="47" t="n">
        <f aca="false">ROUND(E6*N(Assumptions!$B$13),0)</f>
        <v>7</v>
      </c>
      <c r="F8" s="47" t="n">
        <f aca="false">ROUND(F6*N(Assumptions!$B$13),0)</f>
        <v>8</v>
      </c>
      <c r="G8" s="47" t="n">
        <f aca="false">ROUND(G6*N(Assumptions!$B$13),0)</f>
        <v>9</v>
      </c>
      <c r="H8" s="47" t="n">
        <f aca="false">ROUND(H6*N(Assumptions!$B$13),0)</f>
        <v>10</v>
      </c>
      <c r="I8" s="47" t="n">
        <f aca="false">ROUND(I6*N(Assumptions!$B$13),0)</f>
        <v>11</v>
      </c>
      <c r="J8" s="47" t="n">
        <f aca="false">ROUND(J6*N(Assumptions!$B$13),0)</f>
        <v>11</v>
      </c>
      <c r="K8" s="47" t="n">
        <f aca="false">ROUND(K6*N(Assumptions!$B$13),0)</f>
        <v>12</v>
      </c>
      <c r="L8" s="47" t="n">
        <f aca="false">ROUND(L6*N(Assumptions!$B$13),0)</f>
        <v>13</v>
      </c>
      <c r="M8" s="47" t="n">
        <f aca="false">ROUND(M6*N(Assumptions!$B$13),0)</f>
        <v>14</v>
      </c>
      <c r="N8" s="49" t="n">
        <f aca="false">SUM(B8:M8)</f>
        <v>114</v>
      </c>
    </row>
    <row r="9" customFormat="false" ht="18.75" hidden="false" customHeight="true" outlineLevel="0" collapsed="false">
      <c r="A9" s="8" t="s">
        <v>99</v>
      </c>
      <c r="B9" s="49" t="n">
        <f aca="false">B6+B7-B8</f>
        <v>244</v>
      </c>
      <c r="C9" s="49" t="n">
        <f aca="false">C6+C7-C8</f>
        <v>270</v>
      </c>
      <c r="D9" s="49" t="n">
        <f aca="false">D6+D7-D8</f>
        <v>297</v>
      </c>
      <c r="E9" s="49" t="n">
        <f aca="false">E6+E7-E8</f>
        <v>326</v>
      </c>
      <c r="F9" s="49" t="n">
        <f aca="false">F6+F7-F8</f>
        <v>356</v>
      </c>
      <c r="G9" s="49" t="n">
        <f aca="false">G6+G7-G8</f>
        <v>387</v>
      </c>
      <c r="H9" s="49" t="n">
        <f aca="false">H6+H7-H8</f>
        <v>420</v>
      </c>
      <c r="I9" s="49" t="n">
        <f aca="false">I6+I7-I8</f>
        <v>454</v>
      </c>
      <c r="J9" s="49" t="n">
        <f aca="false">J6+J7-J8</f>
        <v>491</v>
      </c>
      <c r="K9" s="49" t="n">
        <f aca="false">K6+K7-K8</f>
        <v>530</v>
      </c>
      <c r="L9" s="49" t="n">
        <f aca="false">L6+L7-L8</f>
        <v>571</v>
      </c>
      <c r="M9" s="49" t="n">
        <f aca="false">M6+M7-M8</f>
        <v>614</v>
      </c>
      <c r="N9" s="49" t="n">
        <f aca="false">M9</f>
        <v>614</v>
      </c>
    </row>
    <row r="10" customFormat="false" ht="18.75" hidden="false" customHeight="true" outlineLevel="0" collapsed="false">
      <c r="A10" s="25" t="s">
        <v>100</v>
      </c>
      <c r="B10" s="50" t="n">
        <f aca="false">N(Assumptions!$B$14)*(1+N(Assumptions!$B$15))^0</f>
        <v>120</v>
      </c>
      <c r="C10" s="50" t="n">
        <f aca="false">N(Assumptions!$B$14)*(1+N(Assumptions!$B$15))^1</f>
        <v>120.6</v>
      </c>
      <c r="D10" s="50" t="n">
        <f aca="false">N(Assumptions!$B$14)*(1+N(Assumptions!$B$15))^2</f>
        <v>121.203</v>
      </c>
      <c r="E10" s="50" t="n">
        <f aca="false">N(Assumptions!$B$14)*(1+N(Assumptions!$B$15))^3</f>
        <v>121.809015</v>
      </c>
      <c r="F10" s="50" t="n">
        <f aca="false">N(Assumptions!$B$14)*(1+N(Assumptions!$B$15))^4</f>
        <v>122.418060075</v>
      </c>
      <c r="G10" s="50" t="n">
        <f aca="false">N(Assumptions!$B$14)*(1+N(Assumptions!$B$15))^5</f>
        <v>123.030150375375</v>
      </c>
      <c r="H10" s="50" t="n">
        <f aca="false">N(Assumptions!$B$14)*(1+N(Assumptions!$B$15))^6</f>
        <v>123.645301127252</v>
      </c>
      <c r="I10" s="50" t="n">
        <f aca="false">N(Assumptions!$B$14)*(1+N(Assumptions!$B$15))^7</f>
        <v>124.263527632888</v>
      </c>
      <c r="J10" s="50" t="n">
        <f aca="false">N(Assumptions!$B$14)*(1+N(Assumptions!$B$15))^8</f>
        <v>124.884845271052</v>
      </c>
      <c r="K10" s="50" t="n">
        <f aca="false">N(Assumptions!$B$14)*(1+N(Assumptions!$B$15))^9</f>
        <v>125.509269497408</v>
      </c>
      <c r="L10" s="50" t="n">
        <f aca="false">N(Assumptions!$B$14)*(1+N(Assumptions!$B$15))^10</f>
        <v>126.136815844895</v>
      </c>
      <c r="M10" s="50" t="n">
        <f aca="false">N(Assumptions!$B$14)*(1+N(Assumptions!$B$15))^11</f>
        <v>126.767499924119</v>
      </c>
      <c r="N10" s="51"/>
    </row>
    <row r="11" customFormat="false" ht="18.75" hidden="false" customHeight="true" outlineLevel="0" collapsed="false">
      <c r="A11" s="8" t="s">
        <v>101</v>
      </c>
      <c r="B11" s="52" t="n">
        <f aca="false">ROUND(B9*B10,2)</f>
        <v>29280</v>
      </c>
      <c r="C11" s="52" t="n">
        <f aca="false">ROUND(C9*C10,2)</f>
        <v>32562</v>
      </c>
      <c r="D11" s="52" t="n">
        <f aca="false">ROUND(D9*D10,2)</f>
        <v>35997.29</v>
      </c>
      <c r="E11" s="52" t="n">
        <f aca="false">ROUND(E9*E10,2)</f>
        <v>39709.74</v>
      </c>
      <c r="F11" s="52" t="n">
        <f aca="false">ROUND(F9*F10,2)</f>
        <v>43580.83</v>
      </c>
      <c r="G11" s="52" t="n">
        <f aca="false">ROUND(G9*G10,2)</f>
        <v>47612.67</v>
      </c>
      <c r="H11" s="52" t="n">
        <f aca="false">ROUND(H9*H10,2)</f>
        <v>51931.03</v>
      </c>
      <c r="I11" s="52" t="n">
        <f aca="false">ROUND(I9*I10,2)</f>
        <v>56415.64</v>
      </c>
      <c r="J11" s="52" t="n">
        <f aca="false">ROUND(J9*J10,2)</f>
        <v>61318.46</v>
      </c>
      <c r="K11" s="52" t="n">
        <f aca="false">ROUND(K9*K10,2)</f>
        <v>66519.91</v>
      </c>
      <c r="L11" s="52" t="n">
        <f aca="false">ROUND(L9*L10,2)</f>
        <v>72024.12</v>
      </c>
      <c r="M11" s="52" t="n">
        <f aca="false">ROUND(M9*M10,2)</f>
        <v>77835.24</v>
      </c>
      <c r="N11" s="52" t="n">
        <f aca="false">M11</f>
        <v>77835.24</v>
      </c>
    </row>
    <row r="12" customFormat="false" ht="18" hidden="false" customHeight="true" outlineLevel="0" collapsed="false">
      <c r="A12" s="45" t="s">
        <v>102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</row>
    <row r="13" customFormat="false" ht="18.75" hidden="false" customHeight="true" outlineLevel="0" collapsed="false">
      <c r="A13" s="25" t="s">
        <v>103</v>
      </c>
      <c r="B13" s="53" t="n">
        <f aca="false">B11</f>
        <v>29280</v>
      </c>
      <c r="C13" s="53" t="n">
        <f aca="false">C11</f>
        <v>32562</v>
      </c>
      <c r="D13" s="53" t="n">
        <f aca="false">D11</f>
        <v>35997.29</v>
      </c>
      <c r="E13" s="53" t="n">
        <f aca="false">E11</f>
        <v>39709.74</v>
      </c>
      <c r="F13" s="53" t="n">
        <f aca="false">F11</f>
        <v>43580.83</v>
      </c>
      <c r="G13" s="53" t="n">
        <f aca="false">G11</f>
        <v>47612.67</v>
      </c>
      <c r="H13" s="53" t="n">
        <f aca="false">H11</f>
        <v>51931.03</v>
      </c>
      <c r="I13" s="53" t="n">
        <f aca="false">I11</f>
        <v>56415.64</v>
      </c>
      <c r="J13" s="53" t="n">
        <f aca="false">J11</f>
        <v>61318.46</v>
      </c>
      <c r="K13" s="53" t="n">
        <f aca="false">K11</f>
        <v>66519.91</v>
      </c>
      <c r="L13" s="53" t="n">
        <f aca="false">L11</f>
        <v>72024.12</v>
      </c>
      <c r="M13" s="53" t="n">
        <f aca="false">M11</f>
        <v>77835.24</v>
      </c>
      <c r="N13" s="52" t="n">
        <f aca="false">SUM(B13:M13)</f>
        <v>614786.93</v>
      </c>
    </row>
    <row r="14" customFormat="false" ht="18.75" hidden="false" customHeight="true" outlineLevel="0" collapsed="false">
      <c r="A14" s="25" t="s">
        <v>104</v>
      </c>
      <c r="B14" s="53" t="n">
        <f aca="false">N(Assumptions!$B$16)</f>
        <v>1500</v>
      </c>
      <c r="C14" s="53" t="n">
        <f aca="false">N(Assumptions!$B$16)</f>
        <v>1500</v>
      </c>
      <c r="D14" s="53" t="n">
        <f aca="false">N(Assumptions!$B$16)</f>
        <v>1500</v>
      </c>
      <c r="E14" s="53" t="n">
        <f aca="false">N(Assumptions!$B$16)</f>
        <v>1500</v>
      </c>
      <c r="F14" s="53" t="n">
        <f aca="false">N(Assumptions!$B$16)</f>
        <v>1500</v>
      </c>
      <c r="G14" s="53" t="n">
        <f aca="false">N(Assumptions!$B$16)</f>
        <v>1500</v>
      </c>
      <c r="H14" s="53" t="n">
        <f aca="false">N(Assumptions!$B$16)</f>
        <v>1500</v>
      </c>
      <c r="I14" s="53" t="n">
        <f aca="false">N(Assumptions!$B$16)</f>
        <v>1500</v>
      </c>
      <c r="J14" s="53" t="n">
        <f aca="false">N(Assumptions!$B$16)</f>
        <v>1500</v>
      </c>
      <c r="K14" s="53" t="n">
        <f aca="false">N(Assumptions!$B$16)</f>
        <v>1500</v>
      </c>
      <c r="L14" s="53" t="n">
        <f aca="false">N(Assumptions!$B$16)</f>
        <v>1500</v>
      </c>
      <c r="M14" s="53" t="n">
        <f aca="false">N(Assumptions!$B$16)</f>
        <v>1500</v>
      </c>
      <c r="N14" s="52" t="n">
        <f aca="false">SUM(B14:M14)</f>
        <v>18000</v>
      </c>
    </row>
    <row r="15" customFormat="false" ht="18.75" hidden="false" customHeight="true" outlineLevel="0" collapsed="false">
      <c r="A15" s="25" t="s">
        <v>90</v>
      </c>
      <c r="B15" s="53" t="n">
        <f aca="false">N(Assumptions!B$36)</f>
        <v>0</v>
      </c>
      <c r="C15" s="53" t="n">
        <f aca="false">N(Assumptions!C$36)</f>
        <v>0</v>
      </c>
      <c r="D15" s="53" t="n">
        <f aca="false">N(Assumptions!D$36)</f>
        <v>0</v>
      </c>
      <c r="E15" s="53" t="n">
        <f aca="false">N(Assumptions!E$36)</f>
        <v>0</v>
      </c>
      <c r="F15" s="53" t="n">
        <f aca="false">N(Assumptions!F$36)</f>
        <v>0</v>
      </c>
      <c r="G15" s="53" t="n">
        <f aca="false">N(Assumptions!G$36)</f>
        <v>0</v>
      </c>
      <c r="H15" s="53" t="n">
        <f aca="false">N(Assumptions!H$36)</f>
        <v>0</v>
      </c>
      <c r="I15" s="53" t="n">
        <f aca="false">N(Assumptions!I$36)</f>
        <v>0</v>
      </c>
      <c r="J15" s="53" t="n">
        <f aca="false">N(Assumptions!J$36)</f>
        <v>0</v>
      </c>
      <c r="K15" s="53" t="n">
        <f aca="false">N(Assumptions!K$36)</f>
        <v>0</v>
      </c>
      <c r="L15" s="53" t="n">
        <f aca="false">N(Assumptions!L$36)</f>
        <v>0</v>
      </c>
      <c r="M15" s="53" t="n">
        <f aca="false">N(Assumptions!M$36)</f>
        <v>0</v>
      </c>
      <c r="N15" s="52" t="n">
        <f aca="false">SUM(B15:M15)</f>
        <v>0</v>
      </c>
    </row>
    <row r="16" customFormat="false" ht="18.75" hidden="false" customHeight="true" outlineLevel="0" collapsed="false">
      <c r="A16" s="25" t="s">
        <v>91</v>
      </c>
      <c r="B16" s="53" t="n">
        <f aca="false">N(Assumptions!B$37)</f>
        <v>0</v>
      </c>
      <c r="C16" s="53" t="n">
        <f aca="false">N(Assumptions!C$37)</f>
        <v>0</v>
      </c>
      <c r="D16" s="53" t="n">
        <f aca="false">N(Assumptions!D$37)</f>
        <v>0</v>
      </c>
      <c r="E16" s="53" t="n">
        <f aca="false">N(Assumptions!E$37)</f>
        <v>0</v>
      </c>
      <c r="F16" s="53" t="n">
        <f aca="false">N(Assumptions!F$37)</f>
        <v>0</v>
      </c>
      <c r="G16" s="53" t="n">
        <f aca="false">N(Assumptions!G$37)</f>
        <v>0</v>
      </c>
      <c r="H16" s="53" t="n">
        <f aca="false">N(Assumptions!H$37)</f>
        <v>0</v>
      </c>
      <c r="I16" s="53" t="n">
        <f aca="false">N(Assumptions!I$37)</f>
        <v>0</v>
      </c>
      <c r="J16" s="53" t="n">
        <f aca="false">N(Assumptions!J$37)</f>
        <v>0</v>
      </c>
      <c r="K16" s="53" t="n">
        <f aca="false">N(Assumptions!K$37)</f>
        <v>0</v>
      </c>
      <c r="L16" s="53" t="n">
        <f aca="false">N(Assumptions!L$37)</f>
        <v>0</v>
      </c>
      <c r="M16" s="53" t="n">
        <f aca="false">N(Assumptions!M$37)</f>
        <v>0</v>
      </c>
      <c r="N16" s="52" t="n">
        <f aca="false">SUM(B16:M16)</f>
        <v>0</v>
      </c>
    </row>
    <row r="17" customFormat="false" ht="18.75" hidden="false" customHeight="true" outlineLevel="0" collapsed="false">
      <c r="A17" s="8" t="s">
        <v>105</v>
      </c>
      <c r="B17" s="52" t="n">
        <f aca="false">SUM(B13:B16)</f>
        <v>30780</v>
      </c>
      <c r="C17" s="52" t="n">
        <f aca="false">SUM(C13:C16)</f>
        <v>34062</v>
      </c>
      <c r="D17" s="52" t="n">
        <f aca="false">SUM(D13:D16)</f>
        <v>37497.29</v>
      </c>
      <c r="E17" s="52" t="n">
        <f aca="false">SUM(E13:E16)</f>
        <v>41209.74</v>
      </c>
      <c r="F17" s="52" t="n">
        <f aca="false">SUM(F13:F16)</f>
        <v>45080.83</v>
      </c>
      <c r="G17" s="52" t="n">
        <f aca="false">SUM(G13:G16)</f>
        <v>49112.67</v>
      </c>
      <c r="H17" s="52" t="n">
        <f aca="false">SUM(H13:H16)</f>
        <v>53431.03</v>
      </c>
      <c r="I17" s="52" t="n">
        <f aca="false">SUM(I13:I16)</f>
        <v>57915.64</v>
      </c>
      <c r="J17" s="52" t="n">
        <f aca="false">SUM(J13:J16)</f>
        <v>62818.46</v>
      </c>
      <c r="K17" s="52" t="n">
        <f aca="false">SUM(K13:K16)</f>
        <v>68019.91</v>
      </c>
      <c r="L17" s="52" t="n">
        <f aca="false">SUM(L13:L16)</f>
        <v>73524.12</v>
      </c>
      <c r="M17" s="52" t="n">
        <f aca="false">SUM(M13:M16)</f>
        <v>79335.24</v>
      </c>
      <c r="N17" s="52" t="n">
        <f aca="false">SUM(B17:M17)</f>
        <v>632786.93</v>
      </c>
    </row>
    <row r="18" customFormat="false" ht="18" hidden="false" customHeight="true" outlineLevel="0" collapsed="false">
      <c r="A18" s="45" t="s">
        <v>106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</row>
    <row r="19" customFormat="false" ht="18.75" hidden="false" customHeight="true" outlineLevel="0" collapsed="false">
      <c r="A19" s="54" t="str">
        <f aca="false">IF(Assumptions!$A$20="","",Assumptions!$A$20)</f>
        <v>Salaries and payroll</v>
      </c>
      <c r="B19" s="53" t="n">
        <f aca="false">IF(Assumptions!$A$20="",0,IF(1&lt;MAX(1,N(Assumptions!$F$20)),0,IF(Assumptions!$B$20="% of revenue",ROUND(N(Assumptions!$D$20)*B$13,2),ROUND(N(Assumptions!$C$20)*(1+N(Assumptions!$E$20))^(1-MAX(1,N(Assumptions!$F$20))),2))))</f>
        <v>48000</v>
      </c>
      <c r="C19" s="53" t="n">
        <f aca="false">IF(Assumptions!$A$20="",0,IF(2&lt;MAX(1,N(Assumptions!$F$20)),0,IF(Assumptions!$B$20="% of revenue",ROUND(N(Assumptions!$D$20)*C$13,2),ROUND(N(Assumptions!$C$20)*(1+N(Assumptions!$E$20))^(2-MAX(1,N(Assumptions!$F$20))),2))))</f>
        <v>48000</v>
      </c>
      <c r="D19" s="53" t="n">
        <f aca="false">IF(Assumptions!$A$20="",0,IF(3&lt;MAX(1,N(Assumptions!$F$20)),0,IF(Assumptions!$B$20="% of revenue",ROUND(N(Assumptions!$D$20)*D$13,2),ROUND(N(Assumptions!$C$20)*(1+N(Assumptions!$E$20))^(3-MAX(1,N(Assumptions!$F$20))),2))))</f>
        <v>48000</v>
      </c>
      <c r="E19" s="53" t="n">
        <f aca="false">IF(Assumptions!$A$20="",0,IF(4&lt;MAX(1,N(Assumptions!$F$20)),0,IF(Assumptions!$B$20="% of revenue",ROUND(N(Assumptions!$D$20)*E$13,2),ROUND(N(Assumptions!$C$20)*(1+N(Assumptions!$E$20))^(4-MAX(1,N(Assumptions!$F$20))),2))))</f>
        <v>48000</v>
      </c>
      <c r="F19" s="53" t="n">
        <f aca="false">IF(Assumptions!$A$20="",0,IF(5&lt;MAX(1,N(Assumptions!$F$20)),0,IF(Assumptions!$B$20="% of revenue",ROUND(N(Assumptions!$D$20)*F$13,2),ROUND(N(Assumptions!$C$20)*(1+N(Assumptions!$E$20))^(5-MAX(1,N(Assumptions!$F$20))),2))))</f>
        <v>48000</v>
      </c>
      <c r="G19" s="53" t="n">
        <f aca="false">IF(Assumptions!$A$20="",0,IF(6&lt;MAX(1,N(Assumptions!$F$20)),0,IF(Assumptions!$B$20="% of revenue",ROUND(N(Assumptions!$D$20)*G$13,2),ROUND(N(Assumptions!$C$20)*(1+N(Assumptions!$E$20))^(6-MAX(1,N(Assumptions!$F$20))),2))))</f>
        <v>48000</v>
      </c>
      <c r="H19" s="53" t="n">
        <f aca="false">IF(Assumptions!$A$20="",0,IF(7&lt;MAX(1,N(Assumptions!$F$20)),0,IF(Assumptions!$B$20="% of revenue",ROUND(N(Assumptions!$D$20)*H$13,2),ROUND(N(Assumptions!$C$20)*(1+N(Assumptions!$E$20))^(7-MAX(1,N(Assumptions!$F$20))),2))))</f>
        <v>48000</v>
      </c>
      <c r="I19" s="53" t="n">
        <f aca="false">IF(Assumptions!$A$20="",0,IF(8&lt;MAX(1,N(Assumptions!$F$20)),0,IF(Assumptions!$B$20="% of revenue",ROUND(N(Assumptions!$D$20)*I$13,2),ROUND(N(Assumptions!$C$20)*(1+N(Assumptions!$E$20))^(8-MAX(1,N(Assumptions!$F$20))),2))))</f>
        <v>48000</v>
      </c>
      <c r="J19" s="53" t="n">
        <f aca="false">IF(Assumptions!$A$20="",0,IF(9&lt;MAX(1,N(Assumptions!$F$20)),0,IF(Assumptions!$B$20="% of revenue",ROUND(N(Assumptions!$D$20)*J$13,2),ROUND(N(Assumptions!$C$20)*(1+N(Assumptions!$E$20))^(9-MAX(1,N(Assumptions!$F$20))),2))))</f>
        <v>48000</v>
      </c>
      <c r="K19" s="53" t="n">
        <f aca="false">IF(Assumptions!$A$20="",0,IF(10&lt;MAX(1,N(Assumptions!$F$20)),0,IF(Assumptions!$B$20="% of revenue",ROUND(N(Assumptions!$D$20)*K$13,2),ROUND(N(Assumptions!$C$20)*(1+N(Assumptions!$E$20))^(10-MAX(1,N(Assumptions!$F$20))),2))))</f>
        <v>48000</v>
      </c>
      <c r="L19" s="53" t="n">
        <f aca="false">IF(Assumptions!$A$20="",0,IF(11&lt;MAX(1,N(Assumptions!$F$20)),0,IF(Assumptions!$B$20="% of revenue",ROUND(N(Assumptions!$D$20)*L$13,2),ROUND(N(Assumptions!$C$20)*(1+N(Assumptions!$E$20))^(11-MAX(1,N(Assumptions!$F$20))),2))))</f>
        <v>48000</v>
      </c>
      <c r="M19" s="53" t="n">
        <f aca="false">IF(Assumptions!$A$20="",0,IF(12&lt;MAX(1,N(Assumptions!$F$20)),0,IF(Assumptions!$B$20="% of revenue",ROUND(N(Assumptions!$D$20)*M$13,2),ROUND(N(Assumptions!$C$20)*(1+N(Assumptions!$E$20))^(12-MAX(1,N(Assumptions!$F$20))),2))))</f>
        <v>48000</v>
      </c>
      <c r="N19" s="52" t="n">
        <f aca="false">SUM(B19:M19)</f>
        <v>576000</v>
      </c>
    </row>
    <row r="20" customFormat="false" ht="18.75" hidden="false" customHeight="true" outlineLevel="0" collapsed="false">
      <c r="A20" s="54" t="str">
        <f aca="false">IF(Assumptions!$A$21="","",Assumptions!$A$21)</f>
        <v>New hire: engineer</v>
      </c>
      <c r="B20" s="53" t="n">
        <f aca="false">IF(Assumptions!$A$21="",0,IF(1&lt;MAX(1,N(Assumptions!$F$21)),0,IF(Assumptions!$B$21="% of revenue",ROUND(N(Assumptions!$D$21)*B$13,2),ROUND(N(Assumptions!$C$21)*(1+N(Assumptions!$E$21))^(1-MAX(1,N(Assumptions!$F$21))),2))))</f>
        <v>0</v>
      </c>
      <c r="C20" s="53" t="n">
        <f aca="false">IF(Assumptions!$A$21="",0,IF(2&lt;MAX(1,N(Assumptions!$F$21)),0,IF(Assumptions!$B$21="% of revenue",ROUND(N(Assumptions!$D$21)*C$13,2),ROUND(N(Assumptions!$C$21)*(1+N(Assumptions!$E$21))^(2-MAX(1,N(Assumptions!$F$21))),2))))</f>
        <v>0</v>
      </c>
      <c r="D20" s="53" t="n">
        <f aca="false">IF(Assumptions!$A$21="",0,IF(3&lt;MAX(1,N(Assumptions!$F$21)),0,IF(Assumptions!$B$21="% of revenue",ROUND(N(Assumptions!$D$21)*D$13,2),ROUND(N(Assumptions!$C$21)*(1+N(Assumptions!$E$21))^(3-MAX(1,N(Assumptions!$F$21))),2))))</f>
        <v>0</v>
      </c>
      <c r="E20" s="53" t="n">
        <f aca="false">IF(Assumptions!$A$21="",0,IF(4&lt;MAX(1,N(Assumptions!$F$21)),0,IF(Assumptions!$B$21="% of revenue",ROUND(N(Assumptions!$D$21)*E$13,2),ROUND(N(Assumptions!$C$21)*(1+N(Assumptions!$E$21))^(4-MAX(1,N(Assumptions!$F$21))),2))))</f>
        <v>11000</v>
      </c>
      <c r="F20" s="53" t="n">
        <f aca="false">IF(Assumptions!$A$21="",0,IF(5&lt;MAX(1,N(Assumptions!$F$21)),0,IF(Assumptions!$B$21="% of revenue",ROUND(N(Assumptions!$D$21)*F$13,2),ROUND(N(Assumptions!$C$21)*(1+N(Assumptions!$E$21))^(5-MAX(1,N(Assumptions!$F$21))),2))))</f>
        <v>11000</v>
      </c>
      <c r="G20" s="53" t="n">
        <f aca="false">IF(Assumptions!$A$21="",0,IF(6&lt;MAX(1,N(Assumptions!$F$21)),0,IF(Assumptions!$B$21="% of revenue",ROUND(N(Assumptions!$D$21)*G$13,2),ROUND(N(Assumptions!$C$21)*(1+N(Assumptions!$E$21))^(6-MAX(1,N(Assumptions!$F$21))),2))))</f>
        <v>11000</v>
      </c>
      <c r="H20" s="53" t="n">
        <f aca="false">IF(Assumptions!$A$21="",0,IF(7&lt;MAX(1,N(Assumptions!$F$21)),0,IF(Assumptions!$B$21="% of revenue",ROUND(N(Assumptions!$D$21)*H$13,2),ROUND(N(Assumptions!$C$21)*(1+N(Assumptions!$E$21))^(7-MAX(1,N(Assumptions!$F$21))),2))))</f>
        <v>11000</v>
      </c>
      <c r="I20" s="53" t="n">
        <f aca="false">IF(Assumptions!$A$21="",0,IF(8&lt;MAX(1,N(Assumptions!$F$21)),0,IF(Assumptions!$B$21="% of revenue",ROUND(N(Assumptions!$D$21)*I$13,2),ROUND(N(Assumptions!$C$21)*(1+N(Assumptions!$E$21))^(8-MAX(1,N(Assumptions!$F$21))),2))))</f>
        <v>11000</v>
      </c>
      <c r="J20" s="53" t="n">
        <f aca="false">IF(Assumptions!$A$21="",0,IF(9&lt;MAX(1,N(Assumptions!$F$21)),0,IF(Assumptions!$B$21="% of revenue",ROUND(N(Assumptions!$D$21)*J$13,2),ROUND(N(Assumptions!$C$21)*(1+N(Assumptions!$E$21))^(9-MAX(1,N(Assumptions!$F$21))),2))))</f>
        <v>11000</v>
      </c>
      <c r="K20" s="53" t="n">
        <f aca="false">IF(Assumptions!$A$21="",0,IF(10&lt;MAX(1,N(Assumptions!$F$21)),0,IF(Assumptions!$B$21="% of revenue",ROUND(N(Assumptions!$D$21)*K$13,2),ROUND(N(Assumptions!$C$21)*(1+N(Assumptions!$E$21))^(10-MAX(1,N(Assumptions!$F$21))),2))))</f>
        <v>11000</v>
      </c>
      <c r="L20" s="53" t="n">
        <f aca="false">IF(Assumptions!$A$21="",0,IF(11&lt;MAX(1,N(Assumptions!$F$21)),0,IF(Assumptions!$B$21="% of revenue",ROUND(N(Assumptions!$D$21)*L$13,2),ROUND(N(Assumptions!$C$21)*(1+N(Assumptions!$E$21))^(11-MAX(1,N(Assumptions!$F$21))),2))))</f>
        <v>11000</v>
      </c>
      <c r="M20" s="53" t="n">
        <f aca="false">IF(Assumptions!$A$21="",0,IF(12&lt;MAX(1,N(Assumptions!$F$21)),0,IF(Assumptions!$B$21="% of revenue",ROUND(N(Assumptions!$D$21)*M$13,2),ROUND(N(Assumptions!$C$21)*(1+N(Assumptions!$E$21))^(12-MAX(1,N(Assumptions!$F$21))),2))))</f>
        <v>11000</v>
      </c>
      <c r="N20" s="52" t="n">
        <f aca="false">SUM(B20:M20)</f>
        <v>99000</v>
      </c>
    </row>
    <row r="21" customFormat="false" ht="18.75" hidden="false" customHeight="true" outlineLevel="0" collapsed="false">
      <c r="A21" s="54" t="str">
        <f aca="false">IF(Assumptions!$A$22="","",Assumptions!$A$22)</f>
        <v>New hire: sales</v>
      </c>
      <c r="B21" s="53" t="n">
        <f aca="false">IF(Assumptions!$A$22="",0,IF(1&lt;MAX(1,N(Assumptions!$F$22)),0,IF(Assumptions!$B$22="% of revenue",ROUND(N(Assumptions!$D$22)*B$13,2),ROUND(N(Assumptions!$C$22)*(1+N(Assumptions!$E$22))^(1-MAX(1,N(Assumptions!$F$22))),2))))</f>
        <v>0</v>
      </c>
      <c r="C21" s="53" t="n">
        <f aca="false">IF(Assumptions!$A$22="",0,IF(2&lt;MAX(1,N(Assumptions!$F$22)),0,IF(Assumptions!$B$22="% of revenue",ROUND(N(Assumptions!$D$22)*C$13,2),ROUND(N(Assumptions!$C$22)*(1+N(Assumptions!$E$22))^(2-MAX(1,N(Assumptions!$F$22))),2))))</f>
        <v>0</v>
      </c>
      <c r="D21" s="53" t="n">
        <f aca="false">IF(Assumptions!$A$22="",0,IF(3&lt;MAX(1,N(Assumptions!$F$22)),0,IF(Assumptions!$B$22="% of revenue",ROUND(N(Assumptions!$D$22)*D$13,2),ROUND(N(Assumptions!$C$22)*(1+N(Assumptions!$E$22))^(3-MAX(1,N(Assumptions!$F$22))),2))))</f>
        <v>0</v>
      </c>
      <c r="E21" s="53" t="n">
        <f aca="false">IF(Assumptions!$A$22="",0,IF(4&lt;MAX(1,N(Assumptions!$F$22)),0,IF(Assumptions!$B$22="% of revenue",ROUND(N(Assumptions!$D$22)*E$13,2),ROUND(N(Assumptions!$C$22)*(1+N(Assumptions!$E$22))^(4-MAX(1,N(Assumptions!$F$22))),2))))</f>
        <v>0</v>
      </c>
      <c r="F21" s="53" t="n">
        <f aca="false">IF(Assumptions!$A$22="",0,IF(5&lt;MAX(1,N(Assumptions!$F$22)),0,IF(Assumptions!$B$22="% of revenue",ROUND(N(Assumptions!$D$22)*F$13,2),ROUND(N(Assumptions!$C$22)*(1+N(Assumptions!$E$22))^(5-MAX(1,N(Assumptions!$F$22))),2))))</f>
        <v>0</v>
      </c>
      <c r="G21" s="53" t="n">
        <f aca="false">IF(Assumptions!$A$22="",0,IF(6&lt;MAX(1,N(Assumptions!$F$22)),0,IF(Assumptions!$B$22="% of revenue",ROUND(N(Assumptions!$D$22)*G$13,2),ROUND(N(Assumptions!$C$22)*(1+N(Assumptions!$E$22))^(6-MAX(1,N(Assumptions!$F$22))),2))))</f>
        <v>0</v>
      </c>
      <c r="H21" s="53" t="n">
        <f aca="false">IF(Assumptions!$A$22="",0,IF(7&lt;MAX(1,N(Assumptions!$F$22)),0,IF(Assumptions!$B$22="% of revenue",ROUND(N(Assumptions!$D$22)*H$13,2),ROUND(N(Assumptions!$C$22)*(1+N(Assumptions!$E$22))^(7-MAX(1,N(Assumptions!$F$22))),2))))</f>
        <v>8500</v>
      </c>
      <c r="I21" s="53" t="n">
        <f aca="false">IF(Assumptions!$A$22="",0,IF(8&lt;MAX(1,N(Assumptions!$F$22)),0,IF(Assumptions!$B$22="% of revenue",ROUND(N(Assumptions!$D$22)*I$13,2),ROUND(N(Assumptions!$C$22)*(1+N(Assumptions!$E$22))^(8-MAX(1,N(Assumptions!$F$22))),2))))</f>
        <v>8500</v>
      </c>
      <c r="J21" s="53" t="n">
        <f aca="false">IF(Assumptions!$A$22="",0,IF(9&lt;MAX(1,N(Assumptions!$F$22)),0,IF(Assumptions!$B$22="% of revenue",ROUND(N(Assumptions!$D$22)*J$13,2),ROUND(N(Assumptions!$C$22)*(1+N(Assumptions!$E$22))^(9-MAX(1,N(Assumptions!$F$22))),2))))</f>
        <v>8500</v>
      </c>
      <c r="K21" s="53" t="n">
        <f aca="false">IF(Assumptions!$A$22="",0,IF(10&lt;MAX(1,N(Assumptions!$F$22)),0,IF(Assumptions!$B$22="% of revenue",ROUND(N(Assumptions!$D$22)*K$13,2),ROUND(N(Assumptions!$C$22)*(1+N(Assumptions!$E$22))^(10-MAX(1,N(Assumptions!$F$22))),2))))</f>
        <v>8500</v>
      </c>
      <c r="L21" s="53" t="n">
        <f aca="false">IF(Assumptions!$A$22="",0,IF(11&lt;MAX(1,N(Assumptions!$F$22)),0,IF(Assumptions!$B$22="% of revenue",ROUND(N(Assumptions!$D$22)*L$13,2),ROUND(N(Assumptions!$C$22)*(1+N(Assumptions!$E$22))^(11-MAX(1,N(Assumptions!$F$22))),2))))</f>
        <v>8500</v>
      </c>
      <c r="M21" s="53" t="n">
        <f aca="false">IF(Assumptions!$A$22="",0,IF(12&lt;MAX(1,N(Assumptions!$F$22)),0,IF(Assumptions!$B$22="% of revenue",ROUND(N(Assumptions!$D$22)*M$13,2),ROUND(N(Assumptions!$C$22)*(1+N(Assumptions!$E$22))^(12-MAX(1,N(Assumptions!$F$22))),2))))</f>
        <v>8500</v>
      </c>
      <c r="N21" s="52" t="n">
        <f aca="false">SUM(B21:M21)</f>
        <v>51000</v>
      </c>
    </row>
    <row r="22" customFormat="false" ht="18.75" hidden="false" customHeight="true" outlineLevel="0" collapsed="false">
      <c r="A22" s="54" t="str">
        <f aca="false">IF(Assumptions!$A$23="","",Assumptions!$A$23)</f>
        <v>Contractors</v>
      </c>
      <c r="B22" s="53" t="n">
        <f aca="false">IF(Assumptions!$A$23="",0,IF(1&lt;MAX(1,N(Assumptions!$F$23)),0,IF(Assumptions!$B$23="% of revenue",ROUND(N(Assumptions!$D$23)*B$13,2),ROUND(N(Assumptions!$C$23)*(1+N(Assumptions!$E$23))^(1-MAX(1,N(Assumptions!$F$23))),2))))</f>
        <v>4000</v>
      </c>
      <c r="C22" s="53" t="n">
        <f aca="false">IF(Assumptions!$A$23="",0,IF(2&lt;MAX(1,N(Assumptions!$F$23)),0,IF(Assumptions!$B$23="% of revenue",ROUND(N(Assumptions!$D$23)*C$13,2),ROUND(N(Assumptions!$C$23)*(1+N(Assumptions!$E$23))^(2-MAX(1,N(Assumptions!$F$23))),2))))</f>
        <v>4000</v>
      </c>
      <c r="D22" s="53" t="n">
        <f aca="false">IF(Assumptions!$A$23="",0,IF(3&lt;MAX(1,N(Assumptions!$F$23)),0,IF(Assumptions!$B$23="% of revenue",ROUND(N(Assumptions!$D$23)*D$13,2),ROUND(N(Assumptions!$C$23)*(1+N(Assumptions!$E$23))^(3-MAX(1,N(Assumptions!$F$23))),2))))</f>
        <v>4000</v>
      </c>
      <c r="E22" s="53" t="n">
        <f aca="false">IF(Assumptions!$A$23="",0,IF(4&lt;MAX(1,N(Assumptions!$F$23)),0,IF(Assumptions!$B$23="% of revenue",ROUND(N(Assumptions!$D$23)*E$13,2),ROUND(N(Assumptions!$C$23)*(1+N(Assumptions!$E$23))^(4-MAX(1,N(Assumptions!$F$23))),2))))</f>
        <v>4000</v>
      </c>
      <c r="F22" s="53" t="n">
        <f aca="false">IF(Assumptions!$A$23="",0,IF(5&lt;MAX(1,N(Assumptions!$F$23)),0,IF(Assumptions!$B$23="% of revenue",ROUND(N(Assumptions!$D$23)*F$13,2),ROUND(N(Assumptions!$C$23)*(1+N(Assumptions!$E$23))^(5-MAX(1,N(Assumptions!$F$23))),2))))</f>
        <v>4000</v>
      </c>
      <c r="G22" s="53" t="n">
        <f aca="false">IF(Assumptions!$A$23="",0,IF(6&lt;MAX(1,N(Assumptions!$F$23)),0,IF(Assumptions!$B$23="% of revenue",ROUND(N(Assumptions!$D$23)*G$13,2),ROUND(N(Assumptions!$C$23)*(1+N(Assumptions!$E$23))^(6-MAX(1,N(Assumptions!$F$23))),2))))</f>
        <v>4000</v>
      </c>
      <c r="H22" s="53" t="n">
        <f aca="false">IF(Assumptions!$A$23="",0,IF(7&lt;MAX(1,N(Assumptions!$F$23)),0,IF(Assumptions!$B$23="% of revenue",ROUND(N(Assumptions!$D$23)*H$13,2),ROUND(N(Assumptions!$C$23)*(1+N(Assumptions!$E$23))^(7-MAX(1,N(Assumptions!$F$23))),2))))</f>
        <v>4000</v>
      </c>
      <c r="I22" s="53" t="n">
        <f aca="false">IF(Assumptions!$A$23="",0,IF(8&lt;MAX(1,N(Assumptions!$F$23)),0,IF(Assumptions!$B$23="% of revenue",ROUND(N(Assumptions!$D$23)*I$13,2),ROUND(N(Assumptions!$C$23)*(1+N(Assumptions!$E$23))^(8-MAX(1,N(Assumptions!$F$23))),2))))</f>
        <v>4000</v>
      </c>
      <c r="J22" s="53" t="n">
        <f aca="false">IF(Assumptions!$A$23="",0,IF(9&lt;MAX(1,N(Assumptions!$F$23)),0,IF(Assumptions!$B$23="% of revenue",ROUND(N(Assumptions!$D$23)*J$13,2),ROUND(N(Assumptions!$C$23)*(1+N(Assumptions!$E$23))^(9-MAX(1,N(Assumptions!$F$23))),2))))</f>
        <v>4000</v>
      </c>
      <c r="K22" s="53" t="n">
        <f aca="false">IF(Assumptions!$A$23="",0,IF(10&lt;MAX(1,N(Assumptions!$F$23)),0,IF(Assumptions!$B$23="% of revenue",ROUND(N(Assumptions!$D$23)*K$13,2),ROUND(N(Assumptions!$C$23)*(1+N(Assumptions!$E$23))^(10-MAX(1,N(Assumptions!$F$23))),2))))</f>
        <v>4000</v>
      </c>
      <c r="L22" s="53" t="n">
        <f aca="false">IF(Assumptions!$A$23="",0,IF(11&lt;MAX(1,N(Assumptions!$F$23)),0,IF(Assumptions!$B$23="% of revenue",ROUND(N(Assumptions!$D$23)*L$13,2),ROUND(N(Assumptions!$C$23)*(1+N(Assumptions!$E$23))^(11-MAX(1,N(Assumptions!$F$23))),2))))</f>
        <v>4000</v>
      </c>
      <c r="M22" s="53" t="n">
        <f aca="false">IF(Assumptions!$A$23="",0,IF(12&lt;MAX(1,N(Assumptions!$F$23)),0,IF(Assumptions!$B$23="% of revenue",ROUND(N(Assumptions!$D$23)*M$13,2),ROUND(N(Assumptions!$C$23)*(1+N(Assumptions!$E$23))^(12-MAX(1,N(Assumptions!$F$23))),2))))</f>
        <v>4000</v>
      </c>
      <c r="N22" s="52" t="n">
        <f aca="false">SUM(B22:M22)</f>
        <v>48000</v>
      </c>
    </row>
    <row r="23" customFormat="false" ht="18.75" hidden="false" customHeight="true" outlineLevel="0" collapsed="false">
      <c r="A23" s="54" t="str">
        <f aca="false">IF(Assumptions!$A$24="","",Assumptions!$A$24)</f>
        <v>Hosting and infrastructure</v>
      </c>
      <c r="B23" s="53" t="n">
        <f aca="false">IF(Assumptions!$A$24="",0,IF(1&lt;MAX(1,N(Assumptions!$F$24)),0,IF(Assumptions!$B$24="% of revenue",ROUND(N(Assumptions!$D$24)*B$13,2),ROUND(N(Assumptions!$C$24)*(1+N(Assumptions!$E$24))^(1-MAX(1,N(Assumptions!$F$24))),2))))</f>
        <v>2342.4</v>
      </c>
      <c r="C23" s="53" t="n">
        <f aca="false">IF(Assumptions!$A$24="",0,IF(2&lt;MAX(1,N(Assumptions!$F$24)),0,IF(Assumptions!$B$24="% of revenue",ROUND(N(Assumptions!$D$24)*C$13,2),ROUND(N(Assumptions!$C$24)*(1+N(Assumptions!$E$24))^(2-MAX(1,N(Assumptions!$F$24))),2))))</f>
        <v>2604.96</v>
      </c>
      <c r="D23" s="53" t="n">
        <f aca="false">IF(Assumptions!$A$24="",0,IF(3&lt;MAX(1,N(Assumptions!$F$24)),0,IF(Assumptions!$B$24="% of revenue",ROUND(N(Assumptions!$D$24)*D$13,2),ROUND(N(Assumptions!$C$24)*(1+N(Assumptions!$E$24))^(3-MAX(1,N(Assumptions!$F$24))),2))))</f>
        <v>2879.78</v>
      </c>
      <c r="E23" s="53" t="n">
        <f aca="false">IF(Assumptions!$A$24="",0,IF(4&lt;MAX(1,N(Assumptions!$F$24)),0,IF(Assumptions!$B$24="% of revenue",ROUND(N(Assumptions!$D$24)*E$13,2),ROUND(N(Assumptions!$C$24)*(1+N(Assumptions!$E$24))^(4-MAX(1,N(Assumptions!$F$24))),2))))</f>
        <v>3176.78</v>
      </c>
      <c r="F23" s="53" t="n">
        <f aca="false">IF(Assumptions!$A$24="",0,IF(5&lt;MAX(1,N(Assumptions!$F$24)),0,IF(Assumptions!$B$24="% of revenue",ROUND(N(Assumptions!$D$24)*F$13,2),ROUND(N(Assumptions!$C$24)*(1+N(Assumptions!$E$24))^(5-MAX(1,N(Assumptions!$F$24))),2))))</f>
        <v>3486.47</v>
      </c>
      <c r="G23" s="53" t="n">
        <f aca="false">IF(Assumptions!$A$24="",0,IF(6&lt;MAX(1,N(Assumptions!$F$24)),0,IF(Assumptions!$B$24="% of revenue",ROUND(N(Assumptions!$D$24)*G$13,2),ROUND(N(Assumptions!$C$24)*(1+N(Assumptions!$E$24))^(6-MAX(1,N(Assumptions!$F$24))),2))))</f>
        <v>3809.01</v>
      </c>
      <c r="H23" s="53" t="n">
        <f aca="false">IF(Assumptions!$A$24="",0,IF(7&lt;MAX(1,N(Assumptions!$F$24)),0,IF(Assumptions!$B$24="% of revenue",ROUND(N(Assumptions!$D$24)*H$13,2),ROUND(N(Assumptions!$C$24)*(1+N(Assumptions!$E$24))^(7-MAX(1,N(Assumptions!$F$24))),2))))</f>
        <v>4154.48</v>
      </c>
      <c r="I23" s="53" t="n">
        <f aca="false">IF(Assumptions!$A$24="",0,IF(8&lt;MAX(1,N(Assumptions!$F$24)),0,IF(Assumptions!$B$24="% of revenue",ROUND(N(Assumptions!$D$24)*I$13,2),ROUND(N(Assumptions!$C$24)*(1+N(Assumptions!$E$24))^(8-MAX(1,N(Assumptions!$F$24))),2))))</f>
        <v>4513.25</v>
      </c>
      <c r="J23" s="53" t="n">
        <f aca="false">IF(Assumptions!$A$24="",0,IF(9&lt;MAX(1,N(Assumptions!$F$24)),0,IF(Assumptions!$B$24="% of revenue",ROUND(N(Assumptions!$D$24)*J$13,2),ROUND(N(Assumptions!$C$24)*(1+N(Assumptions!$E$24))^(9-MAX(1,N(Assumptions!$F$24))),2))))</f>
        <v>4905.48</v>
      </c>
      <c r="K23" s="53" t="n">
        <f aca="false">IF(Assumptions!$A$24="",0,IF(10&lt;MAX(1,N(Assumptions!$F$24)),0,IF(Assumptions!$B$24="% of revenue",ROUND(N(Assumptions!$D$24)*K$13,2),ROUND(N(Assumptions!$C$24)*(1+N(Assumptions!$E$24))^(10-MAX(1,N(Assumptions!$F$24))),2))))</f>
        <v>5321.59</v>
      </c>
      <c r="L23" s="53" t="n">
        <f aca="false">IF(Assumptions!$A$24="",0,IF(11&lt;MAX(1,N(Assumptions!$F$24)),0,IF(Assumptions!$B$24="% of revenue",ROUND(N(Assumptions!$D$24)*L$13,2),ROUND(N(Assumptions!$C$24)*(1+N(Assumptions!$E$24))^(11-MAX(1,N(Assumptions!$F$24))),2))))</f>
        <v>5761.93</v>
      </c>
      <c r="M23" s="53" t="n">
        <f aca="false">IF(Assumptions!$A$24="",0,IF(12&lt;MAX(1,N(Assumptions!$F$24)),0,IF(Assumptions!$B$24="% of revenue",ROUND(N(Assumptions!$D$24)*M$13,2),ROUND(N(Assumptions!$C$24)*(1+N(Assumptions!$E$24))^(12-MAX(1,N(Assumptions!$F$24))),2))))</f>
        <v>6226.82</v>
      </c>
      <c r="N23" s="52" t="n">
        <f aca="false">SUM(B23:M23)</f>
        <v>49182.95</v>
      </c>
    </row>
    <row r="24" customFormat="false" ht="18.75" hidden="false" customHeight="true" outlineLevel="0" collapsed="false">
      <c r="A24" s="54" t="str">
        <f aca="false">IF(Assumptions!$A$25="","",Assumptions!$A$25)</f>
        <v>Payment processing</v>
      </c>
      <c r="B24" s="53" t="n">
        <f aca="false">IF(Assumptions!$A$25="",0,IF(1&lt;MAX(1,N(Assumptions!$F$25)),0,IF(Assumptions!$B$25="% of revenue",ROUND(N(Assumptions!$D$25)*B$13,2),ROUND(N(Assumptions!$C$25)*(1+N(Assumptions!$E$25))^(1-MAX(1,N(Assumptions!$F$25))),2))))</f>
        <v>878.4</v>
      </c>
      <c r="C24" s="53" t="n">
        <f aca="false">IF(Assumptions!$A$25="",0,IF(2&lt;MAX(1,N(Assumptions!$F$25)),0,IF(Assumptions!$B$25="% of revenue",ROUND(N(Assumptions!$D$25)*C$13,2),ROUND(N(Assumptions!$C$25)*(1+N(Assumptions!$E$25))^(2-MAX(1,N(Assumptions!$F$25))),2))))</f>
        <v>976.86</v>
      </c>
      <c r="D24" s="53" t="n">
        <f aca="false">IF(Assumptions!$A$25="",0,IF(3&lt;MAX(1,N(Assumptions!$F$25)),0,IF(Assumptions!$B$25="% of revenue",ROUND(N(Assumptions!$D$25)*D$13,2),ROUND(N(Assumptions!$C$25)*(1+N(Assumptions!$E$25))^(3-MAX(1,N(Assumptions!$F$25))),2))))</f>
        <v>1079.92</v>
      </c>
      <c r="E24" s="53" t="n">
        <f aca="false">IF(Assumptions!$A$25="",0,IF(4&lt;MAX(1,N(Assumptions!$F$25)),0,IF(Assumptions!$B$25="% of revenue",ROUND(N(Assumptions!$D$25)*E$13,2),ROUND(N(Assumptions!$C$25)*(1+N(Assumptions!$E$25))^(4-MAX(1,N(Assumptions!$F$25))),2))))</f>
        <v>1191.29</v>
      </c>
      <c r="F24" s="53" t="n">
        <f aca="false">IF(Assumptions!$A$25="",0,IF(5&lt;MAX(1,N(Assumptions!$F$25)),0,IF(Assumptions!$B$25="% of revenue",ROUND(N(Assumptions!$D$25)*F$13,2),ROUND(N(Assumptions!$C$25)*(1+N(Assumptions!$E$25))^(5-MAX(1,N(Assumptions!$F$25))),2))))</f>
        <v>1307.42</v>
      </c>
      <c r="G24" s="53" t="n">
        <f aca="false">IF(Assumptions!$A$25="",0,IF(6&lt;MAX(1,N(Assumptions!$F$25)),0,IF(Assumptions!$B$25="% of revenue",ROUND(N(Assumptions!$D$25)*G$13,2),ROUND(N(Assumptions!$C$25)*(1+N(Assumptions!$E$25))^(6-MAX(1,N(Assumptions!$F$25))),2))))</f>
        <v>1428.38</v>
      </c>
      <c r="H24" s="53" t="n">
        <f aca="false">IF(Assumptions!$A$25="",0,IF(7&lt;MAX(1,N(Assumptions!$F$25)),0,IF(Assumptions!$B$25="% of revenue",ROUND(N(Assumptions!$D$25)*H$13,2),ROUND(N(Assumptions!$C$25)*(1+N(Assumptions!$E$25))^(7-MAX(1,N(Assumptions!$F$25))),2))))</f>
        <v>1557.93</v>
      </c>
      <c r="I24" s="53" t="n">
        <f aca="false">IF(Assumptions!$A$25="",0,IF(8&lt;MAX(1,N(Assumptions!$F$25)),0,IF(Assumptions!$B$25="% of revenue",ROUND(N(Assumptions!$D$25)*I$13,2),ROUND(N(Assumptions!$C$25)*(1+N(Assumptions!$E$25))^(8-MAX(1,N(Assumptions!$F$25))),2))))</f>
        <v>1692.47</v>
      </c>
      <c r="J24" s="53" t="n">
        <f aca="false">IF(Assumptions!$A$25="",0,IF(9&lt;MAX(1,N(Assumptions!$F$25)),0,IF(Assumptions!$B$25="% of revenue",ROUND(N(Assumptions!$D$25)*J$13,2),ROUND(N(Assumptions!$C$25)*(1+N(Assumptions!$E$25))^(9-MAX(1,N(Assumptions!$F$25))),2))))</f>
        <v>1839.55</v>
      </c>
      <c r="K24" s="53" t="n">
        <f aca="false">IF(Assumptions!$A$25="",0,IF(10&lt;MAX(1,N(Assumptions!$F$25)),0,IF(Assumptions!$B$25="% of revenue",ROUND(N(Assumptions!$D$25)*K$13,2),ROUND(N(Assumptions!$C$25)*(1+N(Assumptions!$E$25))^(10-MAX(1,N(Assumptions!$F$25))),2))))</f>
        <v>1995.6</v>
      </c>
      <c r="L24" s="53" t="n">
        <f aca="false">IF(Assumptions!$A$25="",0,IF(11&lt;MAX(1,N(Assumptions!$F$25)),0,IF(Assumptions!$B$25="% of revenue",ROUND(N(Assumptions!$D$25)*L$13,2),ROUND(N(Assumptions!$C$25)*(1+N(Assumptions!$E$25))^(11-MAX(1,N(Assumptions!$F$25))),2))))</f>
        <v>2160.72</v>
      </c>
      <c r="M24" s="53" t="n">
        <f aca="false">IF(Assumptions!$A$25="",0,IF(12&lt;MAX(1,N(Assumptions!$F$25)),0,IF(Assumptions!$B$25="% of revenue",ROUND(N(Assumptions!$D$25)*M$13,2),ROUND(N(Assumptions!$C$25)*(1+N(Assumptions!$E$25))^(12-MAX(1,N(Assumptions!$F$25))),2))))</f>
        <v>2335.06</v>
      </c>
      <c r="N24" s="52" t="n">
        <f aca="false">SUM(B24:M24)</f>
        <v>18443.6</v>
      </c>
    </row>
    <row r="25" customFormat="false" ht="18.75" hidden="false" customHeight="true" outlineLevel="0" collapsed="false">
      <c r="A25" s="54" t="str">
        <f aca="false">IF(Assumptions!$A$26="","",Assumptions!$A$26)</f>
        <v>Software and tools</v>
      </c>
      <c r="B25" s="53" t="n">
        <f aca="false">IF(Assumptions!$A$26="",0,IF(1&lt;MAX(1,N(Assumptions!$F$26)),0,IF(Assumptions!$B$26="% of revenue",ROUND(N(Assumptions!$D$26)*B$13,2),ROUND(N(Assumptions!$C$26)*(1+N(Assumptions!$E$26))^(1-MAX(1,N(Assumptions!$F$26))),2))))</f>
        <v>1800</v>
      </c>
      <c r="C25" s="53" t="n">
        <f aca="false">IF(Assumptions!$A$26="",0,IF(2&lt;MAX(1,N(Assumptions!$F$26)),0,IF(Assumptions!$B$26="% of revenue",ROUND(N(Assumptions!$D$26)*C$13,2),ROUND(N(Assumptions!$C$26)*(1+N(Assumptions!$E$26))^(2-MAX(1,N(Assumptions!$F$26))),2))))</f>
        <v>1818</v>
      </c>
      <c r="D25" s="53" t="n">
        <f aca="false">IF(Assumptions!$A$26="",0,IF(3&lt;MAX(1,N(Assumptions!$F$26)),0,IF(Assumptions!$B$26="% of revenue",ROUND(N(Assumptions!$D$26)*D$13,2),ROUND(N(Assumptions!$C$26)*(1+N(Assumptions!$E$26))^(3-MAX(1,N(Assumptions!$F$26))),2))))</f>
        <v>1836.18</v>
      </c>
      <c r="E25" s="53" t="n">
        <f aca="false">IF(Assumptions!$A$26="",0,IF(4&lt;MAX(1,N(Assumptions!$F$26)),0,IF(Assumptions!$B$26="% of revenue",ROUND(N(Assumptions!$D$26)*E$13,2),ROUND(N(Assumptions!$C$26)*(1+N(Assumptions!$E$26))^(4-MAX(1,N(Assumptions!$F$26))),2))))</f>
        <v>1854.54</v>
      </c>
      <c r="F25" s="53" t="n">
        <f aca="false">IF(Assumptions!$A$26="",0,IF(5&lt;MAX(1,N(Assumptions!$F$26)),0,IF(Assumptions!$B$26="% of revenue",ROUND(N(Assumptions!$D$26)*F$13,2),ROUND(N(Assumptions!$C$26)*(1+N(Assumptions!$E$26))^(5-MAX(1,N(Assumptions!$F$26))),2))))</f>
        <v>1873.09</v>
      </c>
      <c r="G25" s="53" t="n">
        <f aca="false">IF(Assumptions!$A$26="",0,IF(6&lt;MAX(1,N(Assumptions!$F$26)),0,IF(Assumptions!$B$26="% of revenue",ROUND(N(Assumptions!$D$26)*G$13,2),ROUND(N(Assumptions!$C$26)*(1+N(Assumptions!$E$26))^(6-MAX(1,N(Assumptions!$F$26))),2))))</f>
        <v>1891.82</v>
      </c>
      <c r="H25" s="53" t="n">
        <f aca="false">IF(Assumptions!$A$26="",0,IF(7&lt;MAX(1,N(Assumptions!$F$26)),0,IF(Assumptions!$B$26="% of revenue",ROUND(N(Assumptions!$D$26)*H$13,2),ROUND(N(Assumptions!$C$26)*(1+N(Assumptions!$E$26))^(7-MAX(1,N(Assumptions!$F$26))),2))))</f>
        <v>1910.74</v>
      </c>
      <c r="I25" s="53" t="n">
        <f aca="false">IF(Assumptions!$A$26="",0,IF(8&lt;MAX(1,N(Assumptions!$F$26)),0,IF(Assumptions!$B$26="% of revenue",ROUND(N(Assumptions!$D$26)*I$13,2),ROUND(N(Assumptions!$C$26)*(1+N(Assumptions!$E$26))^(8-MAX(1,N(Assumptions!$F$26))),2))))</f>
        <v>1929.84</v>
      </c>
      <c r="J25" s="53" t="n">
        <f aca="false">IF(Assumptions!$A$26="",0,IF(9&lt;MAX(1,N(Assumptions!$F$26)),0,IF(Assumptions!$B$26="% of revenue",ROUND(N(Assumptions!$D$26)*J$13,2),ROUND(N(Assumptions!$C$26)*(1+N(Assumptions!$E$26))^(9-MAX(1,N(Assumptions!$F$26))),2))))</f>
        <v>1949.14</v>
      </c>
      <c r="K25" s="53" t="n">
        <f aca="false">IF(Assumptions!$A$26="",0,IF(10&lt;MAX(1,N(Assumptions!$F$26)),0,IF(Assumptions!$B$26="% of revenue",ROUND(N(Assumptions!$D$26)*K$13,2),ROUND(N(Assumptions!$C$26)*(1+N(Assumptions!$E$26))^(10-MAX(1,N(Assumptions!$F$26))),2))))</f>
        <v>1968.63</v>
      </c>
      <c r="L25" s="53" t="n">
        <f aca="false">IF(Assumptions!$A$26="",0,IF(11&lt;MAX(1,N(Assumptions!$F$26)),0,IF(Assumptions!$B$26="% of revenue",ROUND(N(Assumptions!$D$26)*L$13,2),ROUND(N(Assumptions!$C$26)*(1+N(Assumptions!$E$26))^(11-MAX(1,N(Assumptions!$F$26))),2))))</f>
        <v>1988.32</v>
      </c>
      <c r="M25" s="53" t="n">
        <f aca="false">IF(Assumptions!$A$26="",0,IF(12&lt;MAX(1,N(Assumptions!$F$26)),0,IF(Assumptions!$B$26="% of revenue",ROUND(N(Assumptions!$D$26)*M$13,2),ROUND(N(Assumptions!$C$26)*(1+N(Assumptions!$E$26))^(12-MAX(1,N(Assumptions!$F$26))),2))))</f>
        <v>2008.2</v>
      </c>
      <c r="N25" s="52" t="n">
        <f aca="false">SUM(B25:M25)</f>
        <v>22828.5</v>
      </c>
    </row>
    <row r="26" customFormat="false" ht="18.75" hidden="false" customHeight="true" outlineLevel="0" collapsed="false">
      <c r="A26" s="54" t="str">
        <f aca="false">IF(Assumptions!$A$27="","",Assumptions!$A$27)</f>
        <v>Marketing and ads</v>
      </c>
      <c r="B26" s="53" t="n">
        <f aca="false">IF(Assumptions!$A$27="",0,IF(1&lt;MAX(1,N(Assumptions!$F$27)),0,IF(Assumptions!$B$27="% of revenue",ROUND(N(Assumptions!$D$27)*B$13,2),ROUND(N(Assumptions!$C$27)*(1+N(Assumptions!$E$27))^(1-MAX(1,N(Assumptions!$F$27))),2))))</f>
        <v>7000</v>
      </c>
      <c r="C26" s="53" t="n">
        <f aca="false">IF(Assumptions!$A$27="",0,IF(2&lt;MAX(1,N(Assumptions!$F$27)),0,IF(Assumptions!$B$27="% of revenue",ROUND(N(Assumptions!$D$27)*C$13,2),ROUND(N(Assumptions!$C$27)*(1+N(Assumptions!$E$27))^(2-MAX(1,N(Assumptions!$F$27))),2))))</f>
        <v>7210</v>
      </c>
      <c r="D26" s="53" t="n">
        <f aca="false">IF(Assumptions!$A$27="",0,IF(3&lt;MAX(1,N(Assumptions!$F$27)),0,IF(Assumptions!$B$27="% of revenue",ROUND(N(Assumptions!$D$27)*D$13,2),ROUND(N(Assumptions!$C$27)*(1+N(Assumptions!$E$27))^(3-MAX(1,N(Assumptions!$F$27))),2))))</f>
        <v>7426.3</v>
      </c>
      <c r="E26" s="53" t="n">
        <f aca="false">IF(Assumptions!$A$27="",0,IF(4&lt;MAX(1,N(Assumptions!$F$27)),0,IF(Assumptions!$B$27="% of revenue",ROUND(N(Assumptions!$D$27)*E$13,2),ROUND(N(Assumptions!$C$27)*(1+N(Assumptions!$E$27))^(4-MAX(1,N(Assumptions!$F$27))),2))))</f>
        <v>7649.09</v>
      </c>
      <c r="F26" s="53" t="n">
        <f aca="false">IF(Assumptions!$A$27="",0,IF(5&lt;MAX(1,N(Assumptions!$F$27)),0,IF(Assumptions!$B$27="% of revenue",ROUND(N(Assumptions!$D$27)*F$13,2),ROUND(N(Assumptions!$C$27)*(1+N(Assumptions!$E$27))^(5-MAX(1,N(Assumptions!$F$27))),2))))</f>
        <v>7878.56</v>
      </c>
      <c r="G26" s="53" t="n">
        <f aca="false">IF(Assumptions!$A$27="",0,IF(6&lt;MAX(1,N(Assumptions!$F$27)),0,IF(Assumptions!$B$27="% of revenue",ROUND(N(Assumptions!$D$27)*G$13,2),ROUND(N(Assumptions!$C$27)*(1+N(Assumptions!$E$27))^(6-MAX(1,N(Assumptions!$F$27))),2))))</f>
        <v>8114.92</v>
      </c>
      <c r="H26" s="53" t="n">
        <f aca="false">IF(Assumptions!$A$27="",0,IF(7&lt;MAX(1,N(Assumptions!$F$27)),0,IF(Assumptions!$B$27="% of revenue",ROUND(N(Assumptions!$D$27)*H$13,2),ROUND(N(Assumptions!$C$27)*(1+N(Assumptions!$E$27))^(7-MAX(1,N(Assumptions!$F$27))),2))))</f>
        <v>8358.37</v>
      </c>
      <c r="I26" s="53" t="n">
        <f aca="false">IF(Assumptions!$A$27="",0,IF(8&lt;MAX(1,N(Assumptions!$F$27)),0,IF(Assumptions!$B$27="% of revenue",ROUND(N(Assumptions!$D$27)*I$13,2),ROUND(N(Assumptions!$C$27)*(1+N(Assumptions!$E$27))^(8-MAX(1,N(Assumptions!$F$27))),2))))</f>
        <v>8609.12</v>
      </c>
      <c r="J26" s="53" t="n">
        <f aca="false">IF(Assumptions!$A$27="",0,IF(9&lt;MAX(1,N(Assumptions!$F$27)),0,IF(Assumptions!$B$27="% of revenue",ROUND(N(Assumptions!$D$27)*J$13,2),ROUND(N(Assumptions!$C$27)*(1+N(Assumptions!$E$27))^(9-MAX(1,N(Assumptions!$F$27))),2))))</f>
        <v>8867.39</v>
      </c>
      <c r="K26" s="53" t="n">
        <f aca="false">IF(Assumptions!$A$27="",0,IF(10&lt;MAX(1,N(Assumptions!$F$27)),0,IF(Assumptions!$B$27="% of revenue",ROUND(N(Assumptions!$D$27)*K$13,2),ROUND(N(Assumptions!$C$27)*(1+N(Assumptions!$E$27))^(10-MAX(1,N(Assumptions!$F$27))),2))))</f>
        <v>9133.41</v>
      </c>
      <c r="L26" s="53" t="n">
        <f aca="false">IF(Assumptions!$A$27="",0,IF(11&lt;MAX(1,N(Assumptions!$F$27)),0,IF(Assumptions!$B$27="% of revenue",ROUND(N(Assumptions!$D$27)*L$13,2),ROUND(N(Assumptions!$C$27)*(1+N(Assumptions!$E$27))^(11-MAX(1,N(Assumptions!$F$27))),2))))</f>
        <v>9407.41</v>
      </c>
      <c r="M26" s="53" t="n">
        <f aca="false">IF(Assumptions!$A$27="",0,IF(12&lt;MAX(1,N(Assumptions!$F$27)),0,IF(Assumptions!$B$27="% of revenue",ROUND(N(Assumptions!$D$27)*M$13,2),ROUND(N(Assumptions!$C$27)*(1+N(Assumptions!$E$27))^(12-MAX(1,N(Assumptions!$F$27))),2))))</f>
        <v>9689.64</v>
      </c>
      <c r="N26" s="52" t="n">
        <f aca="false">SUM(B26:M26)</f>
        <v>99344.21</v>
      </c>
    </row>
    <row r="27" customFormat="false" ht="18.75" hidden="false" customHeight="true" outlineLevel="0" collapsed="false">
      <c r="A27" s="54" t="str">
        <f aca="false">IF(Assumptions!$A$28="","",Assumptions!$A$28)</f>
        <v>Rent and office</v>
      </c>
      <c r="B27" s="53" t="n">
        <f aca="false">IF(Assumptions!$A$28="",0,IF(1&lt;MAX(1,N(Assumptions!$F$28)),0,IF(Assumptions!$B$28="% of revenue",ROUND(N(Assumptions!$D$28)*B$13,2),ROUND(N(Assumptions!$C$28)*(1+N(Assumptions!$E$28))^(1-MAX(1,N(Assumptions!$F$28))),2))))</f>
        <v>3500</v>
      </c>
      <c r="C27" s="53" t="n">
        <f aca="false">IF(Assumptions!$A$28="",0,IF(2&lt;MAX(1,N(Assumptions!$F$28)),0,IF(Assumptions!$B$28="% of revenue",ROUND(N(Assumptions!$D$28)*C$13,2),ROUND(N(Assumptions!$C$28)*(1+N(Assumptions!$E$28))^(2-MAX(1,N(Assumptions!$F$28))),2))))</f>
        <v>3500</v>
      </c>
      <c r="D27" s="53" t="n">
        <f aca="false">IF(Assumptions!$A$28="",0,IF(3&lt;MAX(1,N(Assumptions!$F$28)),0,IF(Assumptions!$B$28="% of revenue",ROUND(N(Assumptions!$D$28)*D$13,2),ROUND(N(Assumptions!$C$28)*(1+N(Assumptions!$E$28))^(3-MAX(1,N(Assumptions!$F$28))),2))))</f>
        <v>3500</v>
      </c>
      <c r="E27" s="53" t="n">
        <f aca="false">IF(Assumptions!$A$28="",0,IF(4&lt;MAX(1,N(Assumptions!$F$28)),0,IF(Assumptions!$B$28="% of revenue",ROUND(N(Assumptions!$D$28)*E$13,2),ROUND(N(Assumptions!$C$28)*(1+N(Assumptions!$E$28))^(4-MAX(1,N(Assumptions!$F$28))),2))))</f>
        <v>3500</v>
      </c>
      <c r="F27" s="53" t="n">
        <f aca="false">IF(Assumptions!$A$28="",0,IF(5&lt;MAX(1,N(Assumptions!$F$28)),0,IF(Assumptions!$B$28="% of revenue",ROUND(N(Assumptions!$D$28)*F$13,2),ROUND(N(Assumptions!$C$28)*(1+N(Assumptions!$E$28))^(5-MAX(1,N(Assumptions!$F$28))),2))))</f>
        <v>3500</v>
      </c>
      <c r="G27" s="53" t="n">
        <f aca="false">IF(Assumptions!$A$28="",0,IF(6&lt;MAX(1,N(Assumptions!$F$28)),0,IF(Assumptions!$B$28="% of revenue",ROUND(N(Assumptions!$D$28)*G$13,2),ROUND(N(Assumptions!$C$28)*(1+N(Assumptions!$E$28))^(6-MAX(1,N(Assumptions!$F$28))),2))))</f>
        <v>3500</v>
      </c>
      <c r="H27" s="53" t="n">
        <f aca="false">IF(Assumptions!$A$28="",0,IF(7&lt;MAX(1,N(Assumptions!$F$28)),0,IF(Assumptions!$B$28="% of revenue",ROUND(N(Assumptions!$D$28)*H$13,2),ROUND(N(Assumptions!$C$28)*(1+N(Assumptions!$E$28))^(7-MAX(1,N(Assumptions!$F$28))),2))))</f>
        <v>3500</v>
      </c>
      <c r="I27" s="53" t="n">
        <f aca="false">IF(Assumptions!$A$28="",0,IF(8&lt;MAX(1,N(Assumptions!$F$28)),0,IF(Assumptions!$B$28="% of revenue",ROUND(N(Assumptions!$D$28)*I$13,2),ROUND(N(Assumptions!$C$28)*(1+N(Assumptions!$E$28))^(8-MAX(1,N(Assumptions!$F$28))),2))))</f>
        <v>3500</v>
      </c>
      <c r="J27" s="53" t="n">
        <f aca="false">IF(Assumptions!$A$28="",0,IF(9&lt;MAX(1,N(Assumptions!$F$28)),0,IF(Assumptions!$B$28="% of revenue",ROUND(N(Assumptions!$D$28)*J$13,2),ROUND(N(Assumptions!$C$28)*(1+N(Assumptions!$E$28))^(9-MAX(1,N(Assumptions!$F$28))),2))))</f>
        <v>3500</v>
      </c>
      <c r="K27" s="53" t="n">
        <f aca="false">IF(Assumptions!$A$28="",0,IF(10&lt;MAX(1,N(Assumptions!$F$28)),0,IF(Assumptions!$B$28="% of revenue",ROUND(N(Assumptions!$D$28)*K$13,2),ROUND(N(Assumptions!$C$28)*(1+N(Assumptions!$E$28))^(10-MAX(1,N(Assumptions!$F$28))),2))))</f>
        <v>3500</v>
      </c>
      <c r="L27" s="53" t="n">
        <f aca="false">IF(Assumptions!$A$28="",0,IF(11&lt;MAX(1,N(Assumptions!$F$28)),0,IF(Assumptions!$B$28="% of revenue",ROUND(N(Assumptions!$D$28)*L$13,2),ROUND(N(Assumptions!$C$28)*(1+N(Assumptions!$E$28))^(11-MAX(1,N(Assumptions!$F$28))),2))))</f>
        <v>3500</v>
      </c>
      <c r="M27" s="53" t="n">
        <f aca="false">IF(Assumptions!$A$28="",0,IF(12&lt;MAX(1,N(Assumptions!$F$28)),0,IF(Assumptions!$B$28="% of revenue",ROUND(N(Assumptions!$D$28)*M$13,2),ROUND(N(Assumptions!$C$28)*(1+N(Assumptions!$E$28))^(12-MAX(1,N(Assumptions!$F$28))),2))))</f>
        <v>3500</v>
      </c>
      <c r="N27" s="52" t="n">
        <f aca="false">SUM(B27:M27)</f>
        <v>42000</v>
      </c>
    </row>
    <row r="28" customFormat="false" ht="18.75" hidden="false" customHeight="true" outlineLevel="0" collapsed="false">
      <c r="A28" s="54" t="str">
        <f aca="false">IF(Assumptions!$A$29="","",Assumptions!$A$29)</f>
        <v>Legal and accounting</v>
      </c>
      <c r="B28" s="53" t="n">
        <f aca="false">IF(Assumptions!$A$29="",0,IF(1&lt;MAX(1,N(Assumptions!$F$29)),0,IF(Assumptions!$B$29="% of revenue",ROUND(N(Assumptions!$D$29)*B$13,2),ROUND(N(Assumptions!$C$29)*(1+N(Assumptions!$E$29))^(1-MAX(1,N(Assumptions!$F$29))),2))))</f>
        <v>1200</v>
      </c>
      <c r="C28" s="53" t="n">
        <f aca="false">IF(Assumptions!$A$29="",0,IF(2&lt;MAX(1,N(Assumptions!$F$29)),0,IF(Assumptions!$B$29="% of revenue",ROUND(N(Assumptions!$D$29)*C$13,2),ROUND(N(Assumptions!$C$29)*(1+N(Assumptions!$E$29))^(2-MAX(1,N(Assumptions!$F$29))),2))))</f>
        <v>1200</v>
      </c>
      <c r="D28" s="53" t="n">
        <f aca="false">IF(Assumptions!$A$29="",0,IF(3&lt;MAX(1,N(Assumptions!$F$29)),0,IF(Assumptions!$B$29="% of revenue",ROUND(N(Assumptions!$D$29)*D$13,2),ROUND(N(Assumptions!$C$29)*(1+N(Assumptions!$E$29))^(3-MAX(1,N(Assumptions!$F$29))),2))))</f>
        <v>1200</v>
      </c>
      <c r="E28" s="53" t="n">
        <f aca="false">IF(Assumptions!$A$29="",0,IF(4&lt;MAX(1,N(Assumptions!$F$29)),0,IF(Assumptions!$B$29="% of revenue",ROUND(N(Assumptions!$D$29)*E$13,2),ROUND(N(Assumptions!$C$29)*(1+N(Assumptions!$E$29))^(4-MAX(1,N(Assumptions!$F$29))),2))))</f>
        <v>1200</v>
      </c>
      <c r="F28" s="53" t="n">
        <f aca="false">IF(Assumptions!$A$29="",0,IF(5&lt;MAX(1,N(Assumptions!$F$29)),0,IF(Assumptions!$B$29="% of revenue",ROUND(N(Assumptions!$D$29)*F$13,2),ROUND(N(Assumptions!$C$29)*(1+N(Assumptions!$E$29))^(5-MAX(1,N(Assumptions!$F$29))),2))))</f>
        <v>1200</v>
      </c>
      <c r="G28" s="53" t="n">
        <f aca="false">IF(Assumptions!$A$29="",0,IF(6&lt;MAX(1,N(Assumptions!$F$29)),0,IF(Assumptions!$B$29="% of revenue",ROUND(N(Assumptions!$D$29)*G$13,2),ROUND(N(Assumptions!$C$29)*(1+N(Assumptions!$E$29))^(6-MAX(1,N(Assumptions!$F$29))),2))))</f>
        <v>1200</v>
      </c>
      <c r="H28" s="53" t="n">
        <f aca="false">IF(Assumptions!$A$29="",0,IF(7&lt;MAX(1,N(Assumptions!$F$29)),0,IF(Assumptions!$B$29="% of revenue",ROUND(N(Assumptions!$D$29)*H$13,2),ROUND(N(Assumptions!$C$29)*(1+N(Assumptions!$E$29))^(7-MAX(1,N(Assumptions!$F$29))),2))))</f>
        <v>1200</v>
      </c>
      <c r="I28" s="53" t="n">
        <f aca="false">IF(Assumptions!$A$29="",0,IF(8&lt;MAX(1,N(Assumptions!$F$29)),0,IF(Assumptions!$B$29="% of revenue",ROUND(N(Assumptions!$D$29)*I$13,2),ROUND(N(Assumptions!$C$29)*(1+N(Assumptions!$E$29))^(8-MAX(1,N(Assumptions!$F$29))),2))))</f>
        <v>1200</v>
      </c>
      <c r="J28" s="53" t="n">
        <f aca="false">IF(Assumptions!$A$29="",0,IF(9&lt;MAX(1,N(Assumptions!$F$29)),0,IF(Assumptions!$B$29="% of revenue",ROUND(N(Assumptions!$D$29)*J$13,2),ROUND(N(Assumptions!$C$29)*(1+N(Assumptions!$E$29))^(9-MAX(1,N(Assumptions!$F$29))),2))))</f>
        <v>1200</v>
      </c>
      <c r="K28" s="53" t="n">
        <f aca="false">IF(Assumptions!$A$29="",0,IF(10&lt;MAX(1,N(Assumptions!$F$29)),0,IF(Assumptions!$B$29="% of revenue",ROUND(N(Assumptions!$D$29)*K$13,2),ROUND(N(Assumptions!$C$29)*(1+N(Assumptions!$E$29))^(10-MAX(1,N(Assumptions!$F$29))),2))))</f>
        <v>1200</v>
      </c>
      <c r="L28" s="53" t="n">
        <f aca="false">IF(Assumptions!$A$29="",0,IF(11&lt;MAX(1,N(Assumptions!$F$29)),0,IF(Assumptions!$B$29="% of revenue",ROUND(N(Assumptions!$D$29)*L$13,2),ROUND(N(Assumptions!$C$29)*(1+N(Assumptions!$E$29))^(11-MAX(1,N(Assumptions!$F$29))),2))))</f>
        <v>1200</v>
      </c>
      <c r="M28" s="53" t="n">
        <f aca="false">IF(Assumptions!$A$29="",0,IF(12&lt;MAX(1,N(Assumptions!$F$29)),0,IF(Assumptions!$B$29="% of revenue",ROUND(N(Assumptions!$D$29)*M$13,2),ROUND(N(Assumptions!$C$29)*(1+N(Assumptions!$E$29))^(12-MAX(1,N(Assumptions!$F$29))),2))))</f>
        <v>1200</v>
      </c>
      <c r="N28" s="52" t="n">
        <f aca="false">SUM(B28:M28)</f>
        <v>14400</v>
      </c>
    </row>
    <row r="29" customFormat="false" ht="18.75" hidden="false" customHeight="true" outlineLevel="0" collapsed="false">
      <c r="A29" s="54" t="str">
        <f aca="false">IF(Assumptions!$A$30="","",Assumptions!$A$30)</f>
        <v>Insurance and other</v>
      </c>
      <c r="B29" s="53" t="n">
        <f aca="false">IF(Assumptions!$A$30="",0,IF(1&lt;MAX(1,N(Assumptions!$F$30)),0,IF(Assumptions!$B$30="% of revenue",ROUND(N(Assumptions!$D$30)*B$13,2),ROUND(N(Assumptions!$C$30)*(1+N(Assumptions!$E$30))^(1-MAX(1,N(Assumptions!$F$30))),2))))</f>
        <v>900</v>
      </c>
      <c r="C29" s="53" t="n">
        <f aca="false">IF(Assumptions!$A$30="",0,IF(2&lt;MAX(1,N(Assumptions!$F$30)),0,IF(Assumptions!$B$30="% of revenue",ROUND(N(Assumptions!$D$30)*C$13,2),ROUND(N(Assumptions!$C$30)*(1+N(Assumptions!$E$30))^(2-MAX(1,N(Assumptions!$F$30))),2))))</f>
        <v>900</v>
      </c>
      <c r="D29" s="53" t="n">
        <f aca="false">IF(Assumptions!$A$30="",0,IF(3&lt;MAX(1,N(Assumptions!$F$30)),0,IF(Assumptions!$B$30="% of revenue",ROUND(N(Assumptions!$D$30)*D$13,2),ROUND(N(Assumptions!$C$30)*(1+N(Assumptions!$E$30))^(3-MAX(1,N(Assumptions!$F$30))),2))))</f>
        <v>900</v>
      </c>
      <c r="E29" s="53" t="n">
        <f aca="false">IF(Assumptions!$A$30="",0,IF(4&lt;MAX(1,N(Assumptions!$F$30)),0,IF(Assumptions!$B$30="% of revenue",ROUND(N(Assumptions!$D$30)*E$13,2),ROUND(N(Assumptions!$C$30)*(1+N(Assumptions!$E$30))^(4-MAX(1,N(Assumptions!$F$30))),2))))</f>
        <v>900</v>
      </c>
      <c r="F29" s="53" t="n">
        <f aca="false">IF(Assumptions!$A$30="",0,IF(5&lt;MAX(1,N(Assumptions!$F$30)),0,IF(Assumptions!$B$30="% of revenue",ROUND(N(Assumptions!$D$30)*F$13,2),ROUND(N(Assumptions!$C$30)*(1+N(Assumptions!$E$30))^(5-MAX(1,N(Assumptions!$F$30))),2))))</f>
        <v>900</v>
      </c>
      <c r="G29" s="53" t="n">
        <f aca="false">IF(Assumptions!$A$30="",0,IF(6&lt;MAX(1,N(Assumptions!$F$30)),0,IF(Assumptions!$B$30="% of revenue",ROUND(N(Assumptions!$D$30)*G$13,2),ROUND(N(Assumptions!$C$30)*(1+N(Assumptions!$E$30))^(6-MAX(1,N(Assumptions!$F$30))),2))))</f>
        <v>900</v>
      </c>
      <c r="H29" s="53" t="n">
        <f aca="false">IF(Assumptions!$A$30="",0,IF(7&lt;MAX(1,N(Assumptions!$F$30)),0,IF(Assumptions!$B$30="% of revenue",ROUND(N(Assumptions!$D$30)*H$13,2),ROUND(N(Assumptions!$C$30)*(1+N(Assumptions!$E$30))^(7-MAX(1,N(Assumptions!$F$30))),2))))</f>
        <v>900</v>
      </c>
      <c r="I29" s="53" t="n">
        <f aca="false">IF(Assumptions!$A$30="",0,IF(8&lt;MAX(1,N(Assumptions!$F$30)),0,IF(Assumptions!$B$30="% of revenue",ROUND(N(Assumptions!$D$30)*I$13,2),ROUND(N(Assumptions!$C$30)*(1+N(Assumptions!$E$30))^(8-MAX(1,N(Assumptions!$F$30))),2))))</f>
        <v>900</v>
      </c>
      <c r="J29" s="53" t="n">
        <f aca="false">IF(Assumptions!$A$30="",0,IF(9&lt;MAX(1,N(Assumptions!$F$30)),0,IF(Assumptions!$B$30="% of revenue",ROUND(N(Assumptions!$D$30)*J$13,2),ROUND(N(Assumptions!$C$30)*(1+N(Assumptions!$E$30))^(9-MAX(1,N(Assumptions!$F$30))),2))))</f>
        <v>900</v>
      </c>
      <c r="K29" s="53" t="n">
        <f aca="false">IF(Assumptions!$A$30="",0,IF(10&lt;MAX(1,N(Assumptions!$F$30)),0,IF(Assumptions!$B$30="% of revenue",ROUND(N(Assumptions!$D$30)*K$13,2),ROUND(N(Assumptions!$C$30)*(1+N(Assumptions!$E$30))^(10-MAX(1,N(Assumptions!$F$30))),2))))</f>
        <v>900</v>
      </c>
      <c r="L29" s="53" t="n">
        <f aca="false">IF(Assumptions!$A$30="",0,IF(11&lt;MAX(1,N(Assumptions!$F$30)),0,IF(Assumptions!$B$30="% of revenue",ROUND(N(Assumptions!$D$30)*L$13,2),ROUND(N(Assumptions!$C$30)*(1+N(Assumptions!$E$30))^(11-MAX(1,N(Assumptions!$F$30))),2))))</f>
        <v>900</v>
      </c>
      <c r="M29" s="53" t="n">
        <f aca="false">IF(Assumptions!$A$30="",0,IF(12&lt;MAX(1,N(Assumptions!$F$30)),0,IF(Assumptions!$B$30="% of revenue",ROUND(N(Assumptions!$D$30)*M$13,2),ROUND(N(Assumptions!$C$30)*(1+N(Assumptions!$E$30))^(12-MAX(1,N(Assumptions!$F$30))),2))))</f>
        <v>900</v>
      </c>
      <c r="N29" s="52" t="n">
        <f aca="false">SUM(B29:M29)</f>
        <v>10800</v>
      </c>
    </row>
    <row r="30" customFormat="false" ht="18.75" hidden="false" customHeight="true" outlineLevel="0" collapsed="false">
      <c r="A30" s="54" t="str">
        <f aca="false">IF(Assumptions!$A$31="","",Assumptions!$A$31)</f>
        <v/>
      </c>
      <c r="B30" s="53" t="n">
        <f aca="false">IF(Assumptions!$A$31="",0,IF(1&lt;MAX(1,N(Assumptions!$F$31)),0,IF(Assumptions!$B$31="% of revenue",ROUND(N(Assumptions!$D$31)*B$13,2),ROUND(N(Assumptions!$C$31)*(1+N(Assumptions!$E$31))^(1-MAX(1,N(Assumptions!$F$31))),2))))</f>
        <v>0</v>
      </c>
      <c r="C30" s="53" t="n">
        <f aca="false">IF(Assumptions!$A$31="",0,IF(2&lt;MAX(1,N(Assumptions!$F$31)),0,IF(Assumptions!$B$31="% of revenue",ROUND(N(Assumptions!$D$31)*C$13,2),ROUND(N(Assumptions!$C$31)*(1+N(Assumptions!$E$31))^(2-MAX(1,N(Assumptions!$F$31))),2))))</f>
        <v>0</v>
      </c>
      <c r="D30" s="53" t="n">
        <f aca="false">IF(Assumptions!$A$31="",0,IF(3&lt;MAX(1,N(Assumptions!$F$31)),0,IF(Assumptions!$B$31="% of revenue",ROUND(N(Assumptions!$D$31)*D$13,2),ROUND(N(Assumptions!$C$31)*(1+N(Assumptions!$E$31))^(3-MAX(1,N(Assumptions!$F$31))),2))))</f>
        <v>0</v>
      </c>
      <c r="E30" s="53" t="n">
        <f aca="false">IF(Assumptions!$A$31="",0,IF(4&lt;MAX(1,N(Assumptions!$F$31)),0,IF(Assumptions!$B$31="% of revenue",ROUND(N(Assumptions!$D$31)*E$13,2),ROUND(N(Assumptions!$C$31)*(1+N(Assumptions!$E$31))^(4-MAX(1,N(Assumptions!$F$31))),2))))</f>
        <v>0</v>
      </c>
      <c r="F30" s="53" t="n">
        <f aca="false">IF(Assumptions!$A$31="",0,IF(5&lt;MAX(1,N(Assumptions!$F$31)),0,IF(Assumptions!$B$31="% of revenue",ROUND(N(Assumptions!$D$31)*F$13,2),ROUND(N(Assumptions!$C$31)*(1+N(Assumptions!$E$31))^(5-MAX(1,N(Assumptions!$F$31))),2))))</f>
        <v>0</v>
      </c>
      <c r="G30" s="53" t="n">
        <f aca="false">IF(Assumptions!$A$31="",0,IF(6&lt;MAX(1,N(Assumptions!$F$31)),0,IF(Assumptions!$B$31="% of revenue",ROUND(N(Assumptions!$D$31)*G$13,2),ROUND(N(Assumptions!$C$31)*(1+N(Assumptions!$E$31))^(6-MAX(1,N(Assumptions!$F$31))),2))))</f>
        <v>0</v>
      </c>
      <c r="H30" s="53" t="n">
        <f aca="false">IF(Assumptions!$A$31="",0,IF(7&lt;MAX(1,N(Assumptions!$F$31)),0,IF(Assumptions!$B$31="% of revenue",ROUND(N(Assumptions!$D$31)*H$13,2),ROUND(N(Assumptions!$C$31)*(1+N(Assumptions!$E$31))^(7-MAX(1,N(Assumptions!$F$31))),2))))</f>
        <v>0</v>
      </c>
      <c r="I30" s="53" t="n">
        <f aca="false">IF(Assumptions!$A$31="",0,IF(8&lt;MAX(1,N(Assumptions!$F$31)),0,IF(Assumptions!$B$31="% of revenue",ROUND(N(Assumptions!$D$31)*I$13,2),ROUND(N(Assumptions!$C$31)*(1+N(Assumptions!$E$31))^(8-MAX(1,N(Assumptions!$F$31))),2))))</f>
        <v>0</v>
      </c>
      <c r="J30" s="53" t="n">
        <f aca="false">IF(Assumptions!$A$31="",0,IF(9&lt;MAX(1,N(Assumptions!$F$31)),0,IF(Assumptions!$B$31="% of revenue",ROUND(N(Assumptions!$D$31)*J$13,2),ROUND(N(Assumptions!$C$31)*(1+N(Assumptions!$E$31))^(9-MAX(1,N(Assumptions!$F$31))),2))))</f>
        <v>0</v>
      </c>
      <c r="K30" s="53" t="n">
        <f aca="false">IF(Assumptions!$A$31="",0,IF(10&lt;MAX(1,N(Assumptions!$F$31)),0,IF(Assumptions!$B$31="% of revenue",ROUND(N(Assumptions!$D$31)*K$13,2),ROUND(N(Assumptions!$C$31)*(1+N(Assumptions!$E$31))^(10-MAX(1,N(Assumptions!$F$31))),2))))</f>
        <v>0</v>
      </c>
      <c r="L30" s="53" t="n">
        <f aca="false">IF(Assumptions!$A$31="",0,IF(11&lt;MAX(1,N(Assumptions!$F$31)),0,IF(Assumptions!$B$31="% of revenue",ROUND(N(Assumptions!$D$31)*L$13,2),ROUND(N(Assumptions!$C$31)*(1+N(Assumptions!$E$31))^(11-MAX(1,N(Assumptions!$F$31))),2))))</f>
        <v>0</v>
      </c>
      <c r="M30" s="53" t="n">
        <f aca="false">IF(Assumptions!$A$31="",0,IF(12&lt;MAX(1,N(Assumptions!$F$31)),0,IF(Assumptions!$B$31="% of revenue",ROUND(N(Assumptions!$D$31)*M$13,2),ROUND(N(Assumptions!$C$31)*(1+N(Assumptions!$E$31))^(12-MAX(1,N(Assumptions!$F$31))),2))))</f>
        <v>0</v>
      </c>
      <c r="N30" s="52" t="n">
        <f aca="false">SUM(B30:M30)</f>
        <v>0</v>
      </c>
    </row>
    <row r="31" customFormat="false" ht="18.75" hidden="false" customHeight="true" outlineLevel="0" collapsed="false">
      <c r="A31" s="25" t="s">
        <v>92</v>
      </c>
      <c r="B31" s="53" t="n">
        <f aca="false">N(Assumptions!B$38)</f>
        <v>0</v>
      </c>
      <c r="C31" s="53" t="n">
        <f aca="false">N(Assumptions!C$38)</f>
        <v>0</v>
      </c>
      <c r="D31" s="53" t="n">
        <f aca="false">N(Assumptions!D$38)</f>
        <v>6000</v>
      </c>
      <c r="E31" s="53" t="n">
        <f aca="false">N(Assumptions!E$38)</f>
        <v>0</v>
      </c>
      <c r="F31" s="53" t="n">
        <f aca="false">N(Assumptions!F$38)</f>
        <v>0</v>
      </c>
      <c r="G31" s="53" t="n">
        <f aca="false">N(Assumptions!G$38)</f>
        <v>0</v>
      </c>
      <c r="H31" s="53" t="n">
        <f aca="false">N(Assumptions!H$38)</f>
        <v>0</v>
      </c>
      <c r="I31" s="53" t="n">
        <f aca="false">N(Assumptions!I$38)</f>
        <v>0</v>
      </c>
      <c r="J31" s="53" t="n">
        <f aca="false">N(Assumptions!J$38)</f>
        <v>4500</v>
      </c>
      <c r="K31" s="53" t="n">
        <f aca="false">N(Assumptions!K$38)</f>
        <v>0</v>
      </c>
      <c r="L31" s="53" t="n">
        <f aca="false">N(Assumptions!L$38)</f>
        <v>0</v>
      </c>
      <c r="M31" s="53" t="n">
        <f aca="false">N(Assumptions!M$38)</f>
        <v>0</v>
      </c>
      <c r="N31" s="52" t="n">
        <f aca="false">SUM(B31:M31)</f>
        <v>10500</v>
      </c>
    </row>
    <row r="32" customFormat="false" ht="18.75" hidden="false" customHeight="true" outlineLevel="0" collapsed="false">
      <c r="A32" s="8" t="s">
        <v>107</v>
      </c>
      <c r="B32" s="52" t="n">
        <f aca="false">SUM(B19:B31)</f>
        <v>69620.8</v>
      </c>
      <c r="C32" s="52" t="n">
        <f aca="false">SUM(C19:C31)</f>
        <v>70209.82</v>
      </c>
      <c r="D32" s="52" t="n">
        <f aca="false">SUM(D19:D31)</f>
        <v>76822.18</v>
      </c>
      <c r="E32" s="52" t="n">
        <f aca="false">SUM(E19:E31)</f>
        <v>82471.7</v>
      </c>
      <c r="F32" s="52" t="n">
        <f aca="false">SUM(F19:F31)</f>
        <v>83145.54</v>
      </c>
      <c r="G32" s="52" t="n">
        <f aca="false">SUM(G19:G31)</f>
        <v>83844.13</v>
      </c>
      <c r="H32" s="52" t="n">
        <f aca="false">SUM(H19:H31)</f>
        <v>93081.52</v>
      </c>
      <c r="I32" s="52" t="n">
        <f aca="false">SUM(I19:I31)</f>
        <v>93844.68</v>
      </c>
      <c r="J32" s="52" t="n">
        <f aca="false">SUM(J19:J31)</f>
        <v>99161.56</v>
      </c>
      <c r="K32" s="52" t="n">
        <f aca="false">SUM(K19:K31)</f>
        <v>95519.23</v>
      </c>
      <c r="L32" s="52" t="n">
        <f aca="false">SUM(L19:L31)</f>
        <v>96418.38</v>
      </c>
      <c r="M32" s="52" t="n">
        <f aca="false">SUM(M19:M31)</f>
        <v>97359.72</v>
      </c>
      <c r="N32" s="52" t="n">
        <f aca="false">SUM(B32:M32)</f>
        <v>1041499.26</v>
      </c>
    </row>
    <row r="33" customFormat="false" ht="18" hidden="false" customHeight="true" outlineLevel="0" collapsed="false">
      <c r="A33" s="45" t="s">
        <v>108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</row>
    <row r="34" customFormat="false" ht="18.75" hidden="false" customHeight="true" outlineLevel="0" collapsed="false">
      <c r="A34" s="8" t="s">
        <v>109</v>
      </c>
      <c r="B34" s="52" t="n">
        <f aca="false">B17-B32</f>
        <v>-38840.8</v>
      </c>
      <c r="C34" s="52" t="n">
        <f aca="false">C17-C32</f>
        <v>-36147.82</v>
      </c>
      <c r="D34" s="52" t="n">
        <f aca="false">D17-D32</f>
        <v>-39324.89</v>
      </c>
      <c r="E34" s="52" t="n">
        <f aca="false">E17-E32</f>
        <v>-41261.96</v>
      </c>
      <c r="F34" s="52" t="n">
        <f aca="false">F17-F32</f>
        <v>-38064.71</v>
      </c>
      <c r="G34" s="52" t="n">
        <f aca="false">G17-G32</f>
        <v>-34731.46</v>
      </c>
      <c r="H34" s="52" t="n">
        <f aca="false">H17-H32</f>
        <v>-39650.49</v>
      </c>
      <c r="I34" s="52" t="n">
        <f aca="false">I17-I32</f>
        <v>-35929.04</v>
      </c>
      <c r="J34" s="52" t="n">
        <f aca="false">J17-J32</f>
        <v>-36343.1</v>
      </c>
      <c r="K34" s="52" t="n">
        <f aca="false">K17-K32</f>
        <v>-27499.32</v>
      </c>
      <c r="L34" s="52" t="n">
        <f aca="false">L17-L32</f>
        <v>-22894.26</v>
      </c>
      <c r="M34" s="52" t="n">
        <f aca="false">M17-M32</f>
        <v>-18024.48</v>
      </c>
      <c r="N34" s="52" t="n">
        <f aca="false">SUM(B34:M34)</f>
        <v>-408712.33</v>
      </c>
    </row>
    <row r="35" customFormat="false" ht="18.75" hidden="false" customHeight="true" outlineLevel="0" collapsed="false">
      <c r="A35" s="25" t="s">
        <v>110</v>
      </c>
      <c r="B35" s="53" t="n">
        <f aca="false">MAX(0,B32-(B17-B15))</f>
        <v>38840.8</v>
      </c>
      <c r="C35" s="53" t="n">
        <f aca="false">MAX(0,C32-(C17-C15))</f>
        <v>36147.82</v>
      </c>
      <c r="D35" s="53" t="n">
        <f aca="false">MAX(0,D32-(D17-D15))</f>
        <v>39324.89</v>
      </c>
      <c r="E35" s="53" t="n">
        <f aca="false">MAX(0,E32-(E17-E15))</f>
        <v>41261.96</v>
      </c>
      <c r="F35" s="53" t="n">
        <f aca="false">MAX(0,F32-(F17-F15))</f>
        <v>38064.71</v>
      </c>
      <c r="G35" s="53" t="n">
        <f aca="false">MAX(0,G32-(G17-G15))</f>
        <v>34731.46</v>
      </c>
      <c r="H35" s="53" t="n">
        <f aca="false">MAX(0,H32-(H17-H15))</f>
        <v>39650.49</v>
      </c>
      <c r="I35" s="53" t="n">
        <f aca="false">MAX(0,I32-(I17-I15))</f>
        <v>35929.04</v>
      </c>
      <c r="J35" s="53" t="n">
        <f aca="false">MAX(0,J32-(J17-J15))</f>
        <v>36343.1</v>
      </c>
      <c r="K35" s="53" t="n">
        <f aca="false">MAX(0,K32-(K17-K15))</f>
        <v>27499.32</v>
      </c>
      <c r="L35" s="53" t="n">
        <f aca="false">MAX(0,L32-(L17-L15))</f>
        <v>22894.26</v>
      </c>
      <c r="M35" s="53" t="n">
        <f aca="false">MAX(0,M32-(M17-M15))</f>
        <v>18024.48</v>
      </c>
      <c r="N35" s="52" t="n">
        <f aca="false">SUM(B35:M35)</f>
        <v>408712.33</v>
      </c>
    </row>
    <row r="36" customFormat="false" ht="18.75" hidden="false" customHeight="true" outlineLevel="0" collapsed="false">
      <c r="A36" s="25" t="s">
        <v>52</v>
      </c>
      <c r="B36" s="53" t="n">
        <f aca="false">N(Assumptions!$B$7)</f>
        <v>650000</v>
      </c>
      <c r="C36" s="53" t="n">
        <f aca="false">B37</f>
        <v>611159.2</v>
      </c>
      <c r="D36" s="53" t="n">
        <f aca="false">C37</f>
        <v>575011.38</v>
      </c>
      <c r="E36" s="53" t="n">
        <f aca="false">D37</f>
        <v>535686.49</v>
      </c>
      <c r="F36" s="53" t="n">
        <f aca="false">E37</f>
        <v>494424.53</v>
      </c>
      <c r="G36" s="53" t="n">
        <f aca="false">F37</f>
        <v>456359.82</v>
      </c>
      <c r="H36" s="53" t="n">
        <f aca="false">G37</f>
        <v>421628.36</v>
      </c>
      <c r="I36" s="53" t="n">
        <f aca="false">H37</f>
        <v>381977.87</v>
      </c>
      <c r="J36" s="53" t="n">
        <f aca="false">I37</f>
        <v>346048.83</v>
      </c>
      <c r="K36" s="53" t="n">
        <f aca="false">J37</f>
        <v>309705.73</v>
      </c>
      <c r="L36" s="53" t="n">
        <f aca="false">K37</f>
        <v>282206.41</v>
      </c>
      <c r="M36" s="53" t="n">
        <f aca="false">L37</f>
        <v>259312.15</v>
      </c>
      <c r="N36" s="52" t="n">
        <f aca="false">B36</f>
        <v>650000</v>
      </c>
    </row>
    <row r="37" customFormat="false" ht="18.75" hidden="false" customHeight="true" outlineLevel="0" collapsed="false">
      <c r="A37" s="8" t="s">
        <v>111</v>
      </c>
      <c r="B37" s="52" t="n">
        <f aca="false">B36+B34</f>
        <v>611159.2</v>
      </c>
      <c r="C37" s="52" t="n">
        <f aca="false">C36+C34</f>
        <v>575011.38</v>
      </c>
      <c r="D37" s="52" t="n">
        <f aca="false">D36+D34</f>
        <v>535686.49</v>
      </c>
      <c r="E37" s="52" t="n">
        <f aca="false">E36+E34</f>
        <v>494424.53</v>
      </c>
      <c r="F37" s="52" t="n">
        <f aca="false">F36+F34</f>
        <v>456359.82</v>
      </c>
      <c r="G37" s="52" t="n">
        <f aca="false">G36+G34</f>
        <v>421628.36</v>
      </c>
      <c r="H37" s="52" t="n">
        <f aca="false">H36+H34</f>
        <v>381977.87</v>
      </c>
      <c r="I37" s="52" t="n">
        <f aca="false">I36+I34</f>
        <v>346048.83</v>
      </c>
      <c r="J37" s="52" t="n">
        <f aca="false">J36+J34</f>
        <v>309705.73</v>
      </c>
      <c r="K37" s="52" t="n">
        <f aca="false">K36+K34</f>
        <v>282206.41</v>
      </c>
      <c r="L37" s="52" t="n">
        <f aca="false">L36+L34</f>
        <v>259312.15</v>
      </c>
      <c r="M37" s="52" t="n">
        <f aca="false">M36+M34</f>
        <v>241287.67</v>
      </c>
      <c r="N37" s="52" t="n">
        <f aca="false">M37</f>
        <v>241287.67</v>
      </c>
    </row>
    <row r="38" customFormat="false" ht="18.75" hidden="false" customHeight="true" outlineLevel="0" collapsed="false">
      <c r="A38" s="25" t="s">
        <v>112</v>
      </c>
      <c r="B38" s="55" t="n">
        <f aca="false">IF(B35&lt;=0,"No burn",IF(B37&lt;=0,0,B37/B35))</f>
        <v>15.7349797120554</v>
      </c>
      <c r="C38" s="55" t="n">
        <f aca="false">IF(C35&lt;=0,"No burn",IF(C37&lt;=0,0,C37/C35))</f>
        <v>15.9072215143264</v>
      </c>
      <c r="D38" s="55" t="n">
        <f aca="false">IF(D35&lt;=0,"No burn",IF(D37&lt;=0,0,D37/D35))</f>
        <v>13.6220721787143</v>
      </c>
      <c r="E38" s="55" t="n">
        <f aca="false">IF(E35&lt;=0,"No burn",IF(E37&lt;=0,0,E37/E35))</f>
        <v>11.9825749915903</v>
      </c>
      <c r="F38" s="55" t="n">
        <f aca="false">IF(F35&lt;=0,"No burn",IF(F37&lt;=0,0,F37/F35))</f>
        <v>11.9890528523664</v>
      </c>
      <c r="G38" s="55" t="n">
        <f aca="false">IF(G35&lt;=0,"No burn",IF(G37&lt;=0,0,G37/G35))</f>
        <v>12.139667033865</v>
      </c>
      <c r="H38" s="55" t="n">
        <f aca="false">IF(H35&lt;=0,"No burn",IF(H37&lt;=0,0,H37/H35))</f>
        <v>9.63362293883379</v>
      </c>
      <c r="I38" s="55" t="n">
        <f aca="false">IF(I35&lt;=0,"No burn",IF(I37&lt;=0,0,I37/I35))</f>
        <v>9.63145216237338</v>
      </c>
      <c r="J38" s="55" t="n">
        <f aca="false">IF(J35&lt;=0,"No burn",IF(J37&lt;=0,0,J37/J35))</f>
        <v>8.52172021649226</v>
      </c>
      <c r="K38" s="55" t="n">
        <f aca="false">IF(K35&lt;=0,"No burn",IF(K37&lt;=0,0,K37/K35))</f>
        <v>10.2623050315426</v>
      </c>
      <c r="L38" s="55" t="n">
        <f aca="false">IF(L35&lt;=0,"No burn",IF(L37&lt;=0,0,L37/L35))</f>
        <v>11.3265137200329</v>
      </c>
      <c r="M38" s="55" t="n">
        <f aca="false">IF(M35&lt;=0,"No burn",IF(M37&lt;=0,0,M37/M35))</f>
        <v>13.386664691575</v>
      </c>
      <c r="N38" s="56"/>
    </row>
    <row r="39" customFormat="false" ht="18.75" hidden="false" customHeight="true" outlineLevel="0" collapsed="false">
      <c r="A39" s="25" t="s">
        <v>113</v>
      </c>
      <c r="B39" s="57" t="str">
        <f aca="false">IF(B37&lt;0,B$4,"")</f>
        <v/>
      </c>
      <c r="C39" s="57" t="str">
        <f aca="false">IF(C37&lt;0,C$4,"")</f>
        <v/>
      </c>
      <c r="D39" s="57" t="str">
        <f aca="false">IF(D37&lt;0,D$4,"")</f>
        <v/>
      </c>
      <c r="E39" s="57" t="str">
        <f aca="false">IF(E37&lt;0,E$4,"")</f>
        <v/>
      </c>
      <c r="F39" s="57" t="str">
        <f aca="false">IF(F37&lt;0,F$4,"")</f>
        <v/>
      </c>
      <c r="G39" s="57" t="str">
        <f aca="false">IF(G37&lt;0,G$4,"")</f>
        <v/>
      </c>
      <c r="H39" s="57" t="str">
        <f aca="false">IF(H37&lt;0,H$4,"")</f>
        <v/>
      </c>
      <c r="I39" s="57" t="str">
        <f aca="false">IF(I37&lt;0,I$4,"")</f>
        <v/>
      </c>
      <c r="J39" s="57" t="str">
        <f aca="false">IF(J37&lt;0,J$4,"")</f>
        <v/>
      </c>
      <c r="K39" s="57" t="str">
        <f aca="false">IF(K37&lt;0,K$4,"")</f>
        <v/>
      </c>
      <c r="L39" s="57" t="str">
        <f aca="false">IF(L37&lt;0,L$4,"")</f>
        <v/>
      </c>
      <c r="M39" s="57" t="str">
        <f aca="false">IF(M37&lt;0,M$4,"")</f>
        <v/>
      </c>
      <c r="N39" s="58"/>
    </row>
  </sheetData>
  <conditionalFormatting sqref="B37:M37">
    <cfRule type="expression" priority="2" aboveAverage="0" equalAverage="0" bottom="0" percent="0" rank="0" text="" dxfId="0">
      <formula>B37&lt;0</formula>
    </cfRule>
  </conditionalFormatting>
  <conditionalFormatting sqref="B39:M39">
    <cfRule type="expression" priority="3" aboveAverage="0" equalAverage="0" bottom="0" percent="0" rank="0" text="" dxfId="0">
      <formula>B39&lt;&gt;""</formula>
    </cfRule>
  </conditionalFormatting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D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</cols>
  <sheetData>
    <row r="1" customFormat="false" ht="33.75" hidden="false" customHeight="true" outlineLevel="0" collapsed="false">
      <c r="A1" s="1" t="s">
        <v>42</v>
      </c>
      <c r="B1" s="2"/>
      <c r="C1" s="2"/>
      <c r="D1" s="2"/>
    </row>
    <row r="2" customFormat="false" ht="21.75" hidden="false" customHeight="true" outlineLevel="0" collapsed="false">
      <c r="A2" s="28" t="s">
        <v>114</v>
      </c>
      <c r="B2" s="29"/>
      <c r="C2" s="29"/>
      <c r="D2" s="29"/>
    </row>
    <row r="3" customFormat="false" ht="9.75" hidden="false" customHeight="true" outlineLevel="0" collapsed="false"/>
    <row r="4" customFormat="false" ht="30" hidden="false" customHeight="true" outlineLevel="0" collapsed="false">
      <c r="A4" s="59" t="s">
        <v>115</v>
      </c>
    </row>
    <row r="5" customFormat="false" ht="15" hidden="false" customHeight="false" outlineLevel="0" collapsed="false">
      <c r="A5" s="30" t="s">
        <v>76</v>
      </c>
    </row>
    <row r="6" customFormat="false" ht="15" hidden="false" customHeight="false" outlineLevel="0" collapsed="false">
      <c r="A6" s="30" t="s">
        <v>81</v>
      </c>
    </row>
    <row r="7" customFormat="false" ht="15" hidden="false" customHeight="false" outlineLevel="0" collapsed="false">
      <c r="A7" s="60"/>
    </row>
    <row r="8" customFormat="false" ht="15" hidden="false" customHeight="false" outlineLevel="0" collapsed="false">
      <c r="A8" s="60"/>
    </row>
    <row r="9" customFormat="false" ht="15" hidden="false" customHeight="false" outlineLevel="0" collapsed="false">
      <c r="A9" s="60"/>
    </row>
    <row r="10" customFormat="false" ht="15" hidden="false" customHeight="false" outlineLevel="0" collapsed="false">
      <c r="A10" s="60"/>
    </row>
    <row r="11" customFormat="false" ht="15" hidden="false" customHeight="false" outlineLevel="0" collapsed="false">
      <c r="A11" s="60"/>
    </row>
    <row r="12" customFormat="false" ht="15" hidden="false" customHeight="false" outlineLevel="0" collapsed="false">
      <c r="A12" s="60"/>
    </row>
    <row r="14" customFormat="false" ht="15" hidden="false" customHeight="false" outlineLevel="0" collapsed="false">
      <c r="A14" s="43" t="s">
        <v>116</v>
      </c>
    </row>
  </sheetData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C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3" min="3" style="0" width="34"/>
  </cols>
  <sheetData>
    <row r="1" customFormat="false" ht="33.75" hidden="false" customHeight="true" outlineLevel="0" collapsed="false">
      <c r="A1" s="1" t="s">
        <v>44</v>
      </c>
      <c r="B1" s="2"/>
      <c r="C1" s="2"/>
    </row>
    <row r="2" customFormat="false" ht="21.75" hidden="false" customHeight="true" outlineLevel="0" collapsed="false">
      <c r="A2" s="28" t="s">
        <v>117</v>
      </c>
      <c r="B2" s="29"/>
      <c r="C2" s="29"/>
    </row>
    <row r="3" customFormat="false" ht="9.75" hidden="false" customHeight="true" outlineLevel="0" collapsed="false"/>
    <row r="4" customFormat="false" ht="25.5" hidden="false" customHeight="true" outlineLevel="0" collapsed="false">
      <c r="A4" s="40" t="s">
        <v>118</v>
      </c>
      <c r="B4" s="61" t="s">
        <v>119</v>
      </c>
      <c r="C4" s="40" t="s">
        <v>120</v>
      </c>
    </row>
    <row r="5" customFormat="false" ht="21.75" hidden="false" customHeight="true" outlineLevel="0" collapsed="false">
      <c r="A5" s="60" t="s">
        <v>121</v>
      </c>
      <c r="B5" s="62" t="str">
        <f aca="false">IF(AND(ISNUMBER(Assumptions!$B$6),DAY(Assumptions!$B$6)=1),"OK","Review")</f>
        <v>OK</v>
      </c>
      <c r="C5" s="63" t="s">
        <v>122</v>
      </c>
    </row>
    <row r="6" customFormat="false" ht="21.75" hidden="false" customHeight="true" outlineLevel="0" collapsed="false">
      <c r="A6" s="60" t="s">
        <v>123</v>
      </c>
      <c r="B6" s="62" t="str">
        <f aca="false">IF(AND(N(Assumptions!$B$13)&gt;=0,N(Assumptions!$B$13)&lt;1),"OK","Review")</f>
        <v>OK</v>
      </c>
      <c r="C6" s="63" t="s">
        <v>124</v>
      </c>
    </row>
    <row r="7" customFormat="false" ht="21.75" hidden="false" customHeight="true" outlineLevel="0" collapsed="false">
      <c r="A7" s="60" t="s">
        <v>125</v>
      </c>
      <c r="B7" s="62" t="str">
        <f aca="false">IF(N(Assumptions!$B$14)&gt;0,"OK","Review")</f>
        <v>OK</v>
      </c>
      <c r="C7" s="63" t="s">
        <v>126</v>
      </c>
    </row>
    <row r="8" customFormat="false" ht="21.75" hidden="false" customHeight="true" outlineLevel="0" collapsed="false">
      <c r="A8" s="60" t="s">
        <v>127</v>
      </c>
      <c r="B8" s="62" t="str">
        <f aca="false">IF(COUNTIFS(Assumptions!$A$20:$A$31,"&lt;&gt;",Assumptions!$B$20:$B$31,"")+COUNTIFS(Assumptions!$A$20:$A$31,"&lt;&gt;",Assumptions!$B$20:$B$31,"Fixed",Assumptions!$C$20:$C$31,"")+COUNTIFS(Assumptions!$A$20:$A$31,"&lt;&gt;",Assumptions!$B$20:$B$31,"% of revenue",Assumptions!$D$20:$D$31,"")=0,"OK","Review")</f>
        <v>OK</v>
      </c>
      <c r="C8" s="63" t="s">
        <v>128</v>
      </c>
    </row>
    <row r="9" customFormat="false" ht="21.75" hidden="false" customHeight="true" outlineLevel="0" collapsed="false">
      <c r="A9" s="60" t="s">
        <v>129</v>
      </c>
      <c r="B9" s="62" t="str">
        <f aca="false">IF(MIN(Forecast!$B$37:$M$37)&gt;=0,"OK","Review")</f>
        <v>OK</v>
      </c>
      <c r="C9" s="63" t="s">
        <v>130</v>
      </c>
    </row>
    <row r="10" customFormat="false" ht="21.75" hidden="false" customHeight="true" outlineLevel="0" collapsed="false">
      <c r="A10" s="60" t="s">
        <v>131</v>
      </c>
      <c r="B10" s="62" t="str">
        <f aca="false">IF(AVERAGE(Forecast!$K$35:$M$35)&lt;=0,"OK",IF(Forecast!$M$37/AVERAGE(Forecast!$K$35:$M$35)&gt;=6,"OK","Review"))</f>
        <v>OK</v>
      </c>
      <c r="C10" s="63" t="s">
        <v>132</v>
      </c>
    </row>
    <row r="12" customFormat="false" ht="15" hidden="false" customHeight="false" outlineLevel="0" collapsed="false">
      <c r="A12" s="43" t="s">
        <v>133</v>
      </c>
    </row>
  </sheetData>
  <conditionalFormatting sqref="B5:B10">
    <cfRule type="containsText" priority="2" operator="containsText" aboveAverage="0" equalAverage="0" bottom="0" percent="0" rank="0" text="Overdue" dxfId="1">
      <formula>NOT(ISERROR(SEARCH("Overdue",B5)))</formula>
    </cfRule>
    <cfRule type="containsText" priority="3" operator="containsText" aboveAverage="0" equalAverage="0" bottom="0" percent="0" rank="0" text="Late" dxfId="1">
      <formula>NOT(ISERROR(SEARCH("Late",B5)))</formula>
    </cfRule>
    <cfRule type="containsText" priority="4" operator="containsText" aboveAverage="0" equalAverage="0" bottom="0" percent="0" rank="0" text="Review" dxfId="2">
      <formula>NOT(ISERROR(SEARCH("Review",B5)))</formula>
    </cfRule>
    <cfRule type="containsText" priority="5" operator="containsText" aboveAverage="0" equalAverage="0" bottom="0" percent="0" rank="0" text="OK" dxfId="3">
      <formula>NOT(ISERROR(SEARCH("OK",B5)))</formula>
    </cfRule>
    <cfRule type="containsText" priority="6" operator="containsText" aboveAverage="0" equalAverage="0" bottom="0" percent="0" rank="0" text="Complete" dxfId="3">
      <formula>NOT(ISERROR(SEARCH("Complete",B5)))</formula>
    </cfRule>
  </conditionalFormatting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2026-10-28T23:07:14Z</dcterms:created>
  <dc:creator>ArumSoft Learning</dc:creator>
  <dc:description/>
  <dc:language>en-US</dc:language>
  <cp:lastModifiedBy/>
  <dcterms:modified xsi:type="dcterms:W3CDTF">2026-10-28T19:07:15Z</dcterms:modified>
  <cp:revision>1</cp:revision>
  <dc:subject/>
  <dc:title>Startup Cash Flow Forecast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