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xl/comments/comment1.xml" ContentType="application/vnd.openxmlformats-officedocument.spreadsheetml.comments+xml"/>
  <Override PartName="/xl/worksheets/sheet3.xml" ContentType="application/vnd.openxmlformats-officedocument.spreadsheetml.worksheet+xml"/>
  <Override PartName="/xl/comments/comment2.xml" ContentType="application/vnd.openxmlformats-officedocument.spreadsheetml.comments+xml"/>
  <Override PartName="/xl/worksheets/sheet4.xml" ContentType="application/vnd.openxmlformats-officedocument.spreadsheetml.worksheet+xml"/>
  <Override PartName="/xl/worksheets/sheet5.xml" ContentType="application/vnd.openxmlformats-officedocument.spreadsheetml.worksheet+xml"/>
  <Override PartName="/xl/comments/comment3.xml" ContentType="application/vnd.openxmlformats-officedocument.spreadsheetml.comments+xml"/>
  <Override PartName="/xl/tables/table1.xml" ContentType="application/vnd.openxmlformats-officedocument.spreadsheetml.table+xml"/>
  <Override PartName="/xl/worksheets/sheet6.xml" ContentType="application/vnd.openxmlformats-officedocument.spreadsheetml.worksheet+xml"/>
  <Override PartName="/xl/comments/comment4.xml" ContentType="application/vnd.openxmlformats-officedocument.spreadsheetml.comments+xml"/>
  <Override PartName="/xl/tables/table2.xml" ContentType="application/vnd.openxmlformats-officedocument.spreadsheetml.table+xml"/>
  <Override PartName="/xl/worksheets/sheet7.xml" ContentType="application/vnd.openxmlformats-officedocument.spreadsheetml.worksheet+xml"/>
  <Override PartName="/xl/comments/comment5.xml" ContentType="application/vnd.openxmlformats-officedocument.spreadsheetml.comments+xml"/>
  <Override PartName="/xl/tables/table3.xml" ContentType="application/vnd.openxmlformats-officedocument.spreadsheetml.table+xml"/>
  <Override PartName="/xl/worksheets/sheet8.xml" ContentType="application/vnd.openxmlformats-officedocument.spreadsheetml.worksheet+xml"/>
  <Override PartName="/xl/tables/table4.xml" ContentType="application/vnd.openxmlformats-officedocument.spreadsheetml.table+xml"/>
  <Override PartName="/xl/tables/table5.xml" ContentType="application/vnd.openxmlformats-officedocument.spreadsheetml.table+xml"/>
  <Override PartName="/xl/worksheets/sheet9.xml" ContentType="application/vnd.openxmlformats-officedocument.spreadsheetml.worksheet+xml"/>
  <Override PartName="/xl/drawings/drawing2.xml" ContentType="application/vnd.openxmlformats-officedocument.drawing+xml"/>
  <Override PartName="/xl/worksheets/sheet10.xml" ContentType="application/vnd.openxmlformats-officedocument.spreadsheetml.worksheet+xml"/>
  <Override PartName="/xl/drawings/drawing3.xml" ContentType="application/vnd.openxmlformats-officedocument.drawing+xml"/>
  <Override PartName="/xl/tables/table6.xml" ContentType="application/vnd.openxmlformats-officedocument.spreadsheetml.table+xml"/>
  <Override PartName="/xl/worksheets/sheet11.xml" ContentType="application/vnd.openxmlformats-officedocument.spreadsheetml.worksheet+xml"/>
  <Override PartName="/xl/drawings/drawing4.xml" ContentType="application/vnd.openxmlformats-officedocument.drawing+xml"/>
  <Override PartName="/xl/comments/comment6.xml" ContentType="application/vnd.openxmlformats-officedocument.spreadsheetml.comments+xml"/>
  <Override PartName="/xl/worksheets/sheet12.xml" ContentType="application/vnd.openxmlformats-officedocument.spreadsheetml.worksheet+xml"/>
  <Override PartName="/xl/comments/comment7.xml" ContentType="application/vnd.openxmlformats-officedocument.spreadsheetml.comments+xml"/>
  <Override PartName="/xl/worksheets/sheet13.xml" ContentType="application/vnd.openxmlformats-officedocument.spreadsheetml.worksheet+xml"/>
  <Override PartName="/xl/drawings/drawing5.xml" ContentType="application/vnd.openxmlformats-officedocument.drawing+xml"/>
  <Override PartName="/xl/comments/comment8.xml" ContentType="application/vnd.openxmlformats-officedocument.spreadsheetml.comments+xml"/>
  <Override PartName="/xl/worksheets/sheet14.xml" ContentType="application/vnd.openxmlformats-officedocument.spreadsheetml.worksheet+xml"/>
  <Override PartName="/xl/drawings/drawing6.xml" ContentType="application/vnd.openxmlformats-officedocument.drawing+xml"/>
  <Override PartName="/xl/comments/comment9.xml" ContentType="application/vnd.openxmlformats-officedocument.spreadsheetml.comments+xml"/>
  <Override PartName="/xl/worksheets/sheet15.xml" ContentType="application/vnd.openxmlformats-officedocument.spreadsheetml.worksheet+xml"/>
  <Override PartName="/xl/drawings/drawing7.xml" ContentType="application/vnd.openxmlformats-officedocument.drawing+xml"/>
  <Override PartName="/xl/comments/comment10.xml" ContentType="application/vnd.openxmlformats-officedocument.spreadsheetml.comments+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workbook.xml" ContentType="application/vnd.ms-excel.sheet.macroEnabled.main+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codeName="ThisWorkbook"/>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art" sheetId="1" state="visible" r:id="rId1"/>
    <sheet xmlns:r="http://schemas.openxmlformats.org/officeDocument/2006/relationships" name="Dashboard" sheetId="2" state="visible" r:id="rId2"/>
    <sheet xmlns:r="http://schemas.openxmlformats.org/officeDocument/2006/relationships" name="Import" sheetId="3" state="visible" r:id="rId3"/>
    <sheet xmlns:r="http://schemas.openxmlformats.org/officeDocument/2006/relationships" name="Import Guide" sheetId="4" state="visible" r:id="rId4"/>
    <sheet xmlns:r="http://schemas.openxmlformats.org/officeDocument/2006/relationships" name="Transactions" sheetId="5" state="visible" r:id="rId5"/>
    <sheet xmlns:r="http://schemas.openxmlformats.org/officeDocument/2006/relationships" name="Accounts" sheetId="6" state="visible" r:id="rId6"/>
    <sheet xmlns:r="http://schemas.openxmlformats.org/officeDocument/2006/relationships" name="Import Profiles" sheetId="7" state="visible" r:id="rId7"/>
    <sheet xmlns:r="http://schemas.openxmlformats.org/officeDocument/2006/relationships" name="Categories" sheetId="8" state="visible" r:id="rId8"/>
    <sheet xmlns:r="http://schemas.openxmlformats.org/officeDocument/2006/relationships" name="Budget" sheetId="9" state="visible" r:id="rId9"/>
    <sheet xmlns:r="http://schemas.openxmlformats.org/officeDocument/2006/relationships" name="Net Worth" sheetId="10" state="visible" r:id="rId10"/>
    <sheet xmlns:r="http://schemas.openxmlformats.org/officeDocument/2006/relationships" name="Debt Payoff" sheetId="11" state="visible" r:id="rId11"/>
    <sheet xmlns:r="http://schemas.openxmlformats.org/officeDocument/2006/relationships" name="Savings Goals" sheetId="12" state="visible" r:id="rId12"/>
    <sheet xmlns:r="http://schemas.openxmlformats.org/officeDocument/2006/relationships" name="401(k)" sheetId="13" state="visible" r:id="rId13"/>
    <sheet xmlns:r="http://schemas.openxmlformats.org/officeDocument/2006/relationships" name="Retirement" sheetId="14" state="visible" r:id="rId14"/>
    <sheet xmlns:r="http://schemas.openxmlformats.org/officeDocument/2006/relationships" name="Mortgage" sheetId="15" state="visible" r:id="rId15"/>
    <sheet xmlns:r="http://schemas.openxmlformats.org/officeDocument/2006/relationships" name="Amortization" sheetId="16" state="visible" r:id="rId16"/>
    <sheet xmlns:r="http://schemas.openxmlformats.org/officeDocument/2006/relationships" name="Debt Calc" sheetId="17" state="visible" r:id="rId17"/>
    <sheet xmlns:r="http://schemas.openxmlformats.org/officeDocument/2006/relationships" name="Lists" sheetId="18" state="visible" r:id="rId18"/>
  </sheets>
  <definedNames>
    <definedName name="LatestMonth">Lists!$X$5</definedName>
    <definedName name="RptMonth">Lists!$X$6</definedName>
    <definedName name="RptEnd">Lists!$X$7</definedName>
    <definedName name="YTDStart">Lists!$X$8</definedName>
    <definedName name="SampleFlag">Lists!$X$9</definedName>
    <definedName name="LastTxnDate">Lists!$X$10</definedName>
    <definedName name="lst_AcctTypes">Lists!$A$5:$A$22</definedName>
    <definedName name="lst_Groups">Lists!$E$5:$E$7</definedName>
    <definedName name="lst_Buckets">Lists!$F$5:$F$6</definedName>
    <definedName name="lst_YesNo">Lists!$G$5:$G$6</definedName>
    <definedName name="lst_FileTypes">Lists!$H$5:$H$8</definedName>
    <definedName name="lst_Delims">Lists!$I$5:$I$9</definedName>
    <definedName name="lst_DateFmts">Lists!$J$5:$J$10</definedName>
    <definedName name="lst_AmountModes">Lists!$K$5:$K$7</definedName>
    <definedName name="lst_HeaderRows">Lists!$L$5:$L$16</definedName>
    <definedName name="lst_LookIn">Lists!$M$5:$M$7</definedName>
    <definedName name="lst_Direction">Lists!$N$5:$N$7</definedName>
    <definedName name="lst_Terms">Lists!$O$5:$O$10</definedName>
    <definedName name="lst_Freq">Lists!$P$5:$P$6</definedName>
    <definedName name="lst_Strategy">Lists!$Q$5:$Q$6</definedName>
    <definedName name="lst_Months">Lists!$R$5:$R$29</definedName>
    <definedName name="lst_HeaderCells">Lists!$S$5:$S$64</definedName>
    <definedName name="lst_Headers">OFFSET(Lists!$S$5,0,0,MAX(1,COUNTIF(Lists!$S$5:$S$64,"?*")),1)</definedName>
    <definedName name="lst_Profiles">OFFSET(Lists!$T$5,0,0,1+COUNTIF('Import Profiles'!$A$6:$A$55,"?*"),1)</definedName>
    <definedName name="lst_Accounts">OFFSET(Lists!$U$5,0,0,MAX(1,COUNTIF(Accounts!$A$6:$A$105,"?*")),1)</definedName>
    <definedName name="lst_Categories">OFFSET(Categories!$A$6,0,0,MAX(1,COUNTIF(Categories!$A$6:$A$65,"?*")),1)</definedName>
    <definedName name="imp_File">Import!$C$5</definedName>
    <definedName name="imp_Detected">Import!$C$6</definedName>
    <definedName name="imp_Profile">Import!$C$9</definedName>
    <definedName name="imp_Account">Import!$C$10</definedName>
    <definedName name="imp_FileType">Import!$C$13</definedName>
    <definedName name="imp_Delimiter">Import!$C$14</definedName>
    <definedName name="imp_HeaderRow">Import!$C$15</definedName>
    <definedName name="imp_SkipFooter">Import!$C$16</definedName>
    <definedName name="imp_DateCol">Import!$C$17</definedName>
    <definedName name="imp_DateFmt">Import!$C$18</definedName>
    <definedName name="imp_DescCol">Import!$C$19</definedName>
    <definedName name="imp_AmountMode">Import!$C$20</definedName>
    <definedName name="imp_AmountCol">Import!$C$21</definedName>
    <definedName name="imp_DebitCol">Import!$C$22</definedName>
    <definedName name="imp_CreditCol">Import!$C$23</definedName>
    <definedName name="imp_IndicatorCol">Import!$C$24</definedName>
    <definedName name="imp_DebitWords">Import!$C$25</definedName>
    <definedName name="imp_FlipSign">Import!$C$26</definedName>
    <definedName name="imp_MemoCol">Import!$C$27</definedName>
    <definedName name="imp_CheckCol">Import!$C$28</definedName>
    <definedName name="imp_CatCol">Import!$C$29</definedName>
    <definedName name="imp_AcctCol">Import!$C$30</definedName>
    <definedName name="imp_IdCol">Import!$C$31</definedName>
    <definedName name="imp_SkipDup">Import!$C$32</definedName>
    <definedName name="imp_ApplyRules">Import!$C$33</definedName>
    <definedName name="imp_Settings">Import!$C$10:$C$33</definedName>
    <definedName name="imp_Status">Import!$C$39</definedName>
    <definedName name="imp_LastRead">Import!$D$40</definedName>
    <definedName name="imp_LastImported">Import!$F$40</definedName>
    <definedName name="imp_LastDup">Import!$H$40</definedName>
    <definedName name="imp_LastSkipped">Import!$J$40</definedName>
    <definedName name="imp_LastBatch">Import!$L$40</definedName>
    <definedName name="imp_LastFile">Import!$C$41</definedName>
    <definedName name="imp_PreviewRaw">Import!$B$44:$M$55</definedName>
    <definedName name="imp_PreviewOut">Import!$B$59:$G$70</definedName>
    <definedName name="dash_MonthPick">Dashboard!$C$4</definedName>
    <definedName name="NW12ago">Lists!$X$11</definedName>
    <definedName name="nw_Assets">'Net Worth'!$B$10</definedName>
    <definedName name="nw_Liabs">'Net Worth'!$B$16</definedName>
    <definedName name="debt_Inputs">'Debt Payoff'!$A$11:$E$20</definedName>
    <definedName name="goal_Inputs">'Savings Goals'!$A$17:$F$31</definedName>
    <definedName name="_xlnm.Print_Titles" localSheetId="4">'Transactions'!$5:$5</definedName>
    <definedName name="_xlnm.Print_Titles" localSheetId="5">'Accounts'!$5:$5</definedName>
    <definedName name="_xlnm.Print_Titles" localSheetId="6">'Import Profiles'!$5:$5</definedName>
    <definedName name="_xlnm.Print_Titles" localSheetId="7">'Categories'!$5:$5</definedName>
    <definedName name="_xlnm.Print_Titles" localSheetId="8">'Budget'!$8:$8</definedName>
    <definedName name="_xlnm.Print_Titles" localSheetId="15">'Amortization'!$5:$5</definedName>
  </definedNames>
  <calcPr calcId="124519" fullCalcOnLoad="1"/>
</workbook>
</file>

<file path=xl/styles.xml><?xml version="1.0" encoding="utf-8"?>
<styleSheet xmlns="http://schemas.openxmlformats.org/spreadsheetml/2006/main">
  <numFmts count="14">
    <numFmt numFmtId="164" formatCode="mmm yyyy"/>
    <numFmt numFmtId="165" formatCode="mmm d, yyyy"/>
    <numFmt numFmtId="166" formatCode="$#,##0;[Red]-$#,##0;&quot;–&quot;"/>
    <numFmt numFmtId="167" formatCode="yyyy-mm-dd"/>
    <numFmt numFmtId="168" formatCode="$#,##0.00;[Red]-$#,##0.00;&quot;–&quot;"/>
    <numFmt numFmtId="169" formatCode="0.0%;[Red]-0.0%;&quot;–&quot;"/>
    <numFmt numFmtId="170" formatCode="0.0 &quot;months&quot;"/>
    <numFmt numFmtId="171" formatCode="0&quot; / 100&quot;"/>
    <numFmt numFmtId="172" formatCode="0.0 &quot;mo&quot;"/>
    <numFmt numFmtId="173" formatCode="0.0%;[Red]-0.0%"/>
    <numFmt numFmtId="174" formatCode="0.000%"/>
    <numFmt numFmtId="175" formatCode="0.0%"/>
    <numFmt numFmtId="176" formatCode="$#,##0.00;[Red]-$#,##0.00;&quot;&quot;"/>
    <numFmt numFmtId="177" formatCode="0.0%;-0.0%;&quot;&quot;"/>
  </numFmts>
  <fonts count="30">
    <font>
      <name val="Calibri"/>
      <family val="2"/>
      <color theme="1"/>
      <sz val="11"/>
      <scheme val="minor"/>
    </font>
    <font>
      <name val="Arial"/>
      <b val="1"/>
      <color rgb="000F4C3A"/>
      <sz val="18"/>
    </font>
    <font>
      <name val="Arial"/>
      <color rgb="006B7280"/>
      <sz val="10"/>
    </font>
    <font>
      <name val="Arial"/>
      <b val="1"/>
      <color rgb="00FFFFFF"/>
      <sz val="10"/>
    </font>
    <font>
      <name val="Arial"/>
      <color rgb="001F2937"/>
      <sz val="10"/>
    </font>
    <font>
      <name val="Arial"/>
      <color rgb="00166534"/>
      <sz val="10"/>
    </font>
    <font>
      <name val="Arial"/>
      <color rgb="006B7280"/>
      <sz val="9"/>
    </font>
    <font>
      <name val="Arial"/>
      <b val="1"/>
      <color rgb="00166534"/>
      <sz val="10"/>
    </font>
    <font>
      <name val="Arial"/>
      <color rgb="006B7280"/>
      <sz val="8"/>
    </font>
    <font>
      <name val="Arial"/>
      <b val="1"/>
      <color rgb="000F4C3A"/>
      <sz val="9"/>
    </font>
    <font>
      <name val="Arial"/>
      <b val="1"/>
      <color rgb="001F2937"/>
      <sz val="10"/>
    </font>
    <font>
      <name val="Arial"/>
      <b val="1"/>
      <color rgb="001F2937"/>
      <sz val="9"/>
    </font>
    <font>
      <name val="Arial"/>
      <b val="1"/>
      <color rgb="006B7280"/>
      <sz val="8"/>
    </font>
    <font>
      <name val="Arial"/>
      <b val="1"/>
      <color rgb="000F4C3A"/>
      <sz val="20"/>
    </font>
    <font>
      <name val="Arial"/>
      <b val="1"/>
      <color rgb="00991B1B"/>
      <sz val="10"/>
    </font>
    <font>
      <name val="Arial"/>
      <b val="1"/>
      <color rgb="001F2937"/>
      <sz val="12"/>
    </font>
    <font>
      <name val="Arial"/>
      <b val="1"/>
      <color rgb="00166534"/>
      <sz val="13"/>
    </font>
    <font>
      <name val="Arial"/>
      <color rgb="000F4C3A"/>
      <sz val="10"/>
    </font>
    <font>
      <name val="Arial"/>
      <b val="1"/>
      <color rgb="000F4C3A"/>
      <sz val="10"/>
    </font>
    <font>
      <name val="Arial"/>
      <b val="1"/>
      <color rgb="006B7280"/>
      <sz val="9"/>
    </font>
    <font>
      <name val="Arial"/>
      <color rgb="001E3A8A"/>
      <sz val="10"/>
    </font>
    <font>
      <name val="Arial"/>
      <b val="1"/>
      <color rgb="00FFFFFF"/>
      <sz val="12"/>
    </font>
    <font>
      <name val="Arial"/>
      <b val="1"/>
      <color rgb="00177A5A"/>
      <sz val="10"/>
      <u val="single"/>
    </font>
    <font>
      <name val="Arial"/>
      <b val="1"/>
      <color rgb="006B7280"/>
      <sz val="10"/>
    </font>
    <font>
      <name val="Arial"/>
      <b val="1"/>
      <color rgb="00177A5A"/>
      <sz val="9"/>
      <u val="single"/>
    </font>
    <font>
      <name val="Arial"/>
      <b val="1"/>
      <color rgb="000F4C3A"/>
      <sz val="12"/>
    </font>
    <font>
      <name val="Arial"/>
      <b val="1"/>
      <color rgb="00177A5A"/>
      <sz val="10"/>
    </font>
    <font>
      <name val="Arial"/>
      <i val="1"/>
      <color rgb="001E3A8A"/>
      <sz val="10"/>
    </font>
    <font>
      <name val="Arial"/>
      <b val="1"/>
      <color rgb="001E3A8A"/>
      <sz val="10"/>
    </font>
    <font>
      <name val="Arial"/>
      <b val="1"/>
      <color rgb="001E3A8A"/>
      <sz val="9"/>
    </font>
  </fonts>
  <fills count="9">
    <fill>
      <patternFill/>
    </fill>
    <fill>
      <patternFill patternType="gray125"/>
    </fill>
    <fill>
      <patternFill patternType="solid">
        <fgColor rgb="00177A5A"/>
        <bgColor rgb="00177A5A"/>
      </patternFill>
    </fill>
    <fill>
      <patternFill patternType="solid">
        <fgColor rgb="00FFF7ED"/>
        <bgColor rgb="00FFF7ED"/>
      </patternFill>
    </fill>
    <fill>
      <patternFill patternType="solid">
        <fgColor rgb="00ECFDF5"/>
        <bgColor rgb="00ECFDF5"/>
      </patternFill>
    </fill>
    <fill>
      <patternFill patternType="solid">
        <fgColor rgb="00FFFFFF"/>
        <bgColor rgb="00FFFFFF"/>
      </patternFill>
    </fill>
    <fill>
      <patternFill patternType="solid">
        <fgColor rgb="00F4F7F6"/>
        <bgColor rgb="00F4F7F6"/>
      </patternFill>
    </fill>
    <fill>
      <patternFill patternType="solid">
        <fgColor rgb="00E8F4EF"/>
        <bgColor rgb="00E8F4EF"/>
      </patternFill>
    </fill>
    <fill>
      <patternFill patternType="solid">
        <fgColor rgb="00EFF6FF"/>
        <bgColor rgb="00EFF6FF"/>
      </patternFill>
    </fill>
  </fills>
  <borders count="28">
    <border>
      <left/>
      <right/>
      <top/>
      <bottom/>
      <diagonal/>
    </border>
    <border>
      <bottom style="medium">
        <color rgb="00177A5A"/>
      </bottom>
    </border>
    <border>
      <left style="thin">
        <color rgb="00177A5A"/>
      </left>
      <right style="thin">
        <color rgb="00177A5A"/>
      </right>
      <top style="thin">
        <color rgb="00177A5A"/>
      </top>
      <bottom style="thin">
        <color rgb="00177A5A"/>
      </bottom>
    </border>
    <border>
      <left style="thin">
        <color rgb="00E5E7EB"/>
      </left>
      <right style="thin">
        <color rgb="00E5E7EB"/>
      </right>
      <top style="thin">
        <color rgb="00E5E7EB"/>
      </top>
      <bottom style="thin">
        <color rgb="00E5E7EB"/>
      </bottom>
    </border>
    <border>
      <left style="thin">
        <color rgb="00B5E3C9"/>
      </left>
      <right style="thin">
        <color rgb="00B5E3C9"/>
      </right>
      <top style="thin">
        <color rgb="00B5E3C9"/>
      </top>
      <bottom style="thin">
        <color rgb="00B5E3C9"/>
      </bottom>
    </border>
    <border>
      <left style="thin">
        <color rgb="00F1D7B0"/>
      </left>
      <right style="thin">
        <color rgb="00F1D7B0"/>
      </right>
      <top style="thin">
        <color rgb="00F1D7B0"/>
      </top>
      <bottom style="thin">
        <color rgb="00F1D7B0"/>
      </bottom>
    </border>
    <border>
      <left/>
      <right/>
      <top style="thin">
        <color rgb="00B5E3C9"/>
      </top>
      <bottom/>
      <diagonal/>
    </border>
    <border>
      <left/>
      <right style="thin">
        <color rgb="00B5E3C9"/>
      </right>
      <top style="thin">
        <color rgb="00B5E3C9"/>
      </top>
      <bottom/>
      <diagonal/>
    </border>
    <border>
      <left/>
      <right style="thin">
        <color rgb="00B5E3C9"/>
      </right>
      <top style="thin">
        <color rgb="00B5E3C9"/>
      </top>
      <bottom style="thin">
        <color rgb="00B5E3C9"/>
      </bottom>
      <diagonal/>
    </border>
    <border>
      <left style="thin">
        <color rgb="00B5E3C9"/>
      </left>
      <right/>
      <top style="thin">
        <color rgb="00B5E3C9"/>
      </top>
      <bottom/>
    </border>
    <border>
      <left/>
      <right/>
      <top style="thin">
        <color rgb="00B5E3C9"/>
      </top>
      <bottom/>
    </border>
    <border>
      <left/>
      <right style="thin">
        <color rgb="00B5E3C9"/>
      </right>
      <top style="thin">
        <color rgb="00B5E3C9"/>
      </top>
      <bottom/>
    </border>
    <border>
      <left style="thin">
        <color rgb="00B5E3C9"/>
      </left>
      <right/>
      <top/>
      <bottom/>
    </border>
    <border>
      <left/>
      <right/>
      <top/>
      <bottom/>
    </border>
    <border>
      <left/>
      <right style="thin">
        <color rgb="00B5E3C9"/>
      </right>
      <top/>
      <bottom/>
    </border>
    <border>
      <left style="thin">
        <color rgb="00B5E3C9"/>
      </left>
      <right/>
      <top/>
      <bottom style="thin">
        <color rgb="00B5E3C9"/>
      </bottom>
    </border>
    <border>
      <left/>
      <right/>
      <top/>
      <bottom style="thin">
        <color rgb="00B5E3C9"/>
      </bottom>
    </border>
    <border>
      <left/>
      <right style="thin">
        <color rgb="00B5E3C9"/>
      </right>
      <top/>
      <bottom style="thin">
        <color rgb="00B5E3C9"/>
      </bottom>
    </border>
    <border>
      <left/>
      <right/>
      <top style="thin">
        <color rgb="00177A5A"/>
      </top>
      <bottom/>
      <diagonal/>
    </border>
    <border>
      <left/>
      <right style="thin">
        <color rgb="00177A5A"/>
      </right>
      <top style="thin">
        <color rgb="00177A5A"/>
      </top>
      <bottom/>
      <diagonal/>
    </border>
    <border>
      <left/>
      <right/>
      <top style="thin">
        <color rgb="00177A5A"/>
      </top>
      <bottom style="thin">
        <color rgb="00177A5A"/>
      </bottom>
      <diagonal/>
    </border>
    <border>
      <left/>
      <right style="thin">
        <color rgb="00177A5A"/>
      </right>
      <top style="thin">
        <color rgb="00177A5A"/>
      </top>
      <bottom style="thin">
        <color rgb="00177A5A"/>
      </bottom>
      <diagonal/>
    </border>
    <border>
      <bottom style="thin">
        <color rgb="00E5E7EB"/>
      </bottom>
    </border>
    <border>
      <left/>
      <right/>
      <top style="thin">
        <color rgb="00F1D7B0"/>
      </top>
      <bottom/>
      <diagonal/>
    </border>
    <border>
      <left/>
      <right style="thin">
        <color rgb="00F1D7B0"/>
      </right>
      <top style="thin">
        <color rgb="00F1D7B0"/>
      </top>
      <bottom/>
      <diagonal/>
    </border>
    <border>
      <left/>
      <right style="thin">
        <color rgb="00F1D7B0"/>
      </right>
      <top style="thin">
        <color rgb="00F1D7B0"/>
      </top>
      <bottom style="thin">
        <color rgb="00F1D7B0"/>
      </bottom>
      <diagonal/>
    </border>
    <border>
      <left style="thin">
        <color rgb="00BFDBFE"/>
      </left>
      <right style="thin">
        <color rgb="00BFDBFE"/>
      </right>
      <top style="thin">
        <color rgb="00BFDBFE"/>
      </top>
      <bottom style="thin">
        <color rgb="00BFDBFE"/>
      </bottom>
    </border>
    <border>
      <left style="thin">
        <color rgb="00C9D0D5"/>
      </left>
      <right style="thin">
        <color rgb="00C9D0D5"/>
      </right>
      <top style="thin">
        <color rgb="00C9D0D5"/>
      </top>
      <bottom style="thin">
        <color rgb="00C9D0D5"/>
      </bottom>
    </border>
  </borders>
  <cellStyleXfs count="1">
    <xf numFmtId="0" fontId="0" fillId="0" borderId="0"/>
  </cellStyleXfs>
  <cellXfs count="158">
    <xf numFmtId="0" fontId="0" fillId="0" borderId="0" pivotButton="0" quotePrefix="0" xfId="0"/>
    <xf numFmtId="0" fontId="13" fillId="0" borderId="0" pivotButton="0" quotePrefix="0" xfId="0"/>
    <xf numFmtId="0" fontId="0" fillId="0" borderId="1" pivotButton="0" quotePrefix="0" xfId="0"/>
    <xf numFmtId="0" fontId="2" fillId="0" borderId="1" pivotButton="0" quotePrefix="0" xfId="0"/>
    <xf numFmtId="0" fontId="9" fillId="0" borderId="1" applyAlignment="1" pivotButton="0" quotePrefix="0" xfId="0">
      <alignment vertical="bottom"/>
    </xf>
    <xf numFmtId="0" fontId="21" fillId="2" borderId="0" applyAlignment="1" pivotButton="0" quotePrefix="0" xfId="0">
      <alignment horizontal="center" vertical="center"/>
    </xf>
    <xf numFmtId="0" fontId="10" fillId="0" borderId="22" applyAlignment="1" pivotButton="0" quotePrefix="0" xfId="0">
      <alignment horizontal="left" vertical="center" indent="1"/>
    </xf>
    <xf numFmtId="0" fontId="4" fillId="0" borderId="22" applyAlignment="1" pivotButton="0" quotePrefix="0" xfId="0">
      <alignment horizontal="left" vertical="center" wrapText="1" indent="1"/>
    </xf>
    <xf numFmtId="0" fontId="22" fillId="0" borderId="22" applyAlignment="1" pivotButton="0" quotePrefix="0" xfId="0">
      <alignment vertical="center" indent="1"/>
    </xf>
    <xf numFmtId="0" fontId="4" fillId="0" borderId="22" applyAlignment="1" pivotButton="0" quotePrefix="0" xfId="0">
      <alignment horizontal="left" vertical="center" indent="1"/>
    </xf>
    <xf numFmtId="0" fontId="0" fillId="3" borderId="27" pivotButton="0" quotePrefix="0" xfId="0"/>
    <xf numFmtId="0" fontId="4" fillId="0" borderId="0" applyAlignment="1" pivotButton="0" quotePrefix="0" xfId="0">
      <alignment horizontal="left" vertical="center" indent="1"/>
    </xf>
    <xf numFmtId="0" fontId="0" fillId="4" borderId="27" pivotButton="0" quotePrefix="0" xfId="0"/>
    <xf numFmtId="0" fontId="0" fillId="8" borderId="27" pivotButton="0" quotePrefix="0" xfId="0"/>
    <xf numFmtId="0" fontId="23" fillId="5" borderId="27" applyAlignment="1" pivotButton="0" quotePrefix="0" xfId="0">
      <alignment horizontal="center" vertical="center"/>
    </xf>
    <xf numFmtId="0" fontId="4" fillId="0" borderId="0" applyAlignment="1" pivotButton="0" quotePrefix="0" xfId="0">
      <alignment horizontal="center" vertical="center"/>
    </xf>
    <xf numFmtId="0" fontId="4" fillId="0" borderId="0" applyAlignment="1" pivotButton="0" quotePrefix="0" xfId="0">
      <alignment horizontal="left" vertical="center" wrapText="1" indent="1"/>
    </xf>
    <xf numFmtId="0" fontId="6" fillId="0" borderId="0" applyAlignment="1" pivotButton="0" quotePrefix="0" xfId="0">
      <alignment horizontal="left" vertical="center" indent="1"/>
    </xf>
    <xf numFmtId="0" fontId="24" fillId="0" borderId="0" applyAlignment="1" pivotButton="0" quotePrefix="0" xfId="0">
      <alignment horizontal="left" vertical="center" indent="1"/>
    </xf>
    <xf numFmtId="0" fontId="1" fillId="0" borderId="0" pivotButton="0" quotePrefix="0" xfId="0"/>
    <xf numFmtId="0" fontId="10" fillId="0" borderId="0" applyAlignment="1" pivotButton="0" quotePrefix="0" xfId="0">
      <alignment horizontal="left" vertical="center" indent="1"/>
    </xf>
    <xf numFmtId="164" fontId="4" fillId="3" borderId="5" applyAlignment="1" pivotButton="0" quotePrefix="0" xfId="0">
      <alignment horizontal="left" vertical="center" indent="1"/>
    </xf>
    <xf numFmtId="0" fontId="2" fillId="0" borderId="0" applyAlignment="1" pivotButton="0" quotePrefix="0" xfId="0">
      <alignment horizontal="left" vertical="center" indent="1"/>
    </xf>
    <xf numFmtId="0" fontId="12" fillId="7" borderId="9" applyAlignment="1" pivotButton="0" quotePrefix="0" xfId="0">
      <alignment vertical="bottom" indent="1"/>
    </xf>
    <xf numFmtId="0" fontId="0" fillId="7" borderId="10" pivotButton="0" quotePrefix="0" xfId="0"/>
    <xf numFmtId="0" fontId="0" fillId="7" borderId="11" pivotButton="0" quotePrefix="0" xfId="0"/>
    <xf numFmtId="166" fontId="13" fillId="7" borderId="12" applyAlignment="1" pivotButton="0" quotePrefix="0" xfId="0">
      <alignment horizontal="left" vertical="center" indent="1"/>
    </xf>
    <xf numFmtId="0" fontId="0" fillId="7" borderId="13" pivotButton="0" quotePrefix="0" xfId="0"/>
    <xf numFmtId="0" fontId="0" fillId="7" borderId="14" pivotButton="0" quotePrefix="0" xfId="0"/>
    <xf numFmtId="9" fontId="13" fillId="7" borderId="12" applyAlignment="1" pivotButton="0" quotePrefix="0" xfId="0">
      <alignment horizontal="left" vertical="center" indent="1"/>
    </xf>
    <xf numFmtId="0" fontId="6" fillId="7" borderId="15" applyAlignment="1" pivotButton="0" quotePrefix="0" xfId="0">
      <alignment vertical="top" indent="1"/>
    </xf>
    <xf numFmtId="0" fontId="0" fillId="7" borderId="16" pivotButton="0" quotePrefix="0" xfId="0"/>
    <xf numFmtId="0" fontId="0" fillId="7" borderId="17" pivotButton="0" quotePrefix="0" xfId="0"/>
    <xf numFmtId="170" fontId="13" fillId="7" borderId="12" applyAlignment="1" pivotButton="0" quotePrefix="0" xfId="0">
      <alignment horizontal="left" vertical="center" indent="1"/>
    </xf>
    <xf numFmtId="171" fontId="13" fillId="7" borderId="12" applyAlignment="1" pivotButton="0" quotePrefix="0" xfId="0">
      <alignment horizontal="left" vertical="center" indent="1"/>
    </xf>
    <xf numFmtId="0" fontId="3" fillId="2" borderId="2" applyAlignment="1" pivotButton="0" quotePrefix="0" xfId="0">
      <alignment horizontal="left" vertical="center" wrapText="1" indent="1"/>
    </xf>
    <xf numFmtId="0" fontId="0" fillId="0" borderId="20" pivotButton="0" quotePrefix="0" xfId="0"/>
    <xf numFmtId="0" fontId="0" fillId="0" borderId="21" pivotButton="0" quotePrefix="0" xfId="0"/>
    <xf numFmtId="0" fontId="3" fillId="2" borderId="2" applyAlignment="1" pivotButton="0" quotePrefix="0" xfId="0">
      <alignment horizontal="right" vertical="center" wrapText="1" indent="1"/>
    </xf>
    <xf numFmtId="0" fontId="8" fillId="0" borderId="0" pivotButton="0" quotePrefix="0" xfId="0"/>
    <xf numFmtId="0" fontId="0" fillId="0" borderId="22" pivotButton="0" quotePrefix="0" xfId="0"/>
    <xf numFmtId="9" fontId="5" fillId="4" borderId="22" applyAlignment="1" pivotButton="0" quotePrefix="0" xfId="0">
      <alignment horizontal="right" vertical="center" indent="1"/>
    </xf>
    <xf numFmtId="0" fontId="6" fillId="0" borderId="22" applyAlignment="1" pivotButton="0" quotePrefix="0" xfId="0">
      <alignment horizontal="center" vertical="center"/>
    </xf>
    <xf numFmtId="0" fontId="5" fillId="4" borderId="22" applyAlignment="1" pivotButton="0" quotePrefix="0" xfId="0">
      <alignment horizontal="center" vertical="center"/>
    </xf>
    <xf numFmtId="0" fontId="6" fillId="0" borderId="22" applyAlignment="1" pivotButton="0" quotePrefix="0" xfId="0">
      <alignment horizontal="left" vertical="center" indent="1"/>
    </xf>
    <xf numFmtId="172" fontId="5" fillId="4" borderId="22" applyAlignment="1" pivotButton="0" quotePrefix="0" xfId="0">
      <alignment horizontal="right" vertical="center" indent="1"/>
    </xf>
    <xf numFmtId="166" fontId="5" fillId="4" borderId="22" applyAlignment="1" pivotButton="0" quotePrefix="0" xfId="0">
      <alignment horizontal="right" vertical="center" indent="1"/>
    </xf>
    <xf numFmtId="164" fontId="6" fillId="5" borderId="3" applyAlignment="1" pivotButton="0" quotePrefix="0" xfId="0">
      <alignment horizontal="left" vertical="center" indent="1"/>
    </xf>
    <xf numFmtId="166" fontId="6" fillId="4" borderId="3" applyAlignment="1" pivotButton="0" quotePrefix="0" xfId="0">
      <alignment horizontal="right" vertical="center" indent="1"/>
    </xf>
    <xf numFmtId="169" fontId="6" fillId="4" borderId="3" applyAlignment="1" pivotButton="0" quotePrefix="0" xfId="0">
      <alignment horizontal="right" vertical="center" indent="1"/>
    </xf>
    <xf numFmtId="164" fontId="4" fillId="5" borderId="3" applyAlignment="1" pivotButton="0" quotePrefix="0" xfId="0">
      <alignment horizontal="left" vertical="center" indent="1"/>
    </xf>
    <xf numFmtId="166" fontId="5" fillId="4" borderId="3" applyAlignment="1" pivotButton="0" quotePrefix="0" xfId="0">
      <alignment horizontal="right" vertical="center" indent="1"/>
    </xf>
    <xf numFmtId="169" fontId="5" fillId="4" borderId="3" applyAlignment="1" pivotButton="0" quotePrefix="0" xfId="0">
      <alignment horizontal="right" vertical="center" indent="1"/>
    </xf>
    <xf numFmtId="0" fontId="4" fillId="5" borderId="3" applyAlignment="1" pivotButton="0" quotePrefix="0" xfId="0">
      <alignment horizontal="left" vertical="center" indent="1"/>
    </xf>
    <xf numFmtId="9" fontId="5" fillId="4" borderId="3" applyAlignment="1" pivotButton="0" quotePrefix="0" xfId="0">
      <alignment horizontal="right" vertical="center" indent="1"/>
    </xf>
    <xf numFmtId="165" fontId="4" fillId="0" borderId="22" applyAlignment="1" pivotButton="0" quotePrefix="0" xfId="0">
      <alignment horizontal="left" vertical="center" indent="1"/>
    </xf>
    <xf numFmtId="0" fontId="4" fillId="0" borderId="22" applyAlignment="1" pivotButton="0" quotePrefix="0" xfId="0">
      <alignment horizontal="left" vertical="center" indent="1"/>
    </xf>
    <xf numFmtId="168" fontId="14" fillId="0" borderId="22" applyAlignment="1" pivotButton="0" quotePrefix="0" xfId="0">
      <alignment horizontal="right" vertical="center" indent="1"/>
    </xf>
    <xf numFmtId="166" fontId="5" fillId="4" borderId="4" applyAlignment="1" pivotButton="0" quotePrefix="0" xfId="0">
      <alignment horizontal="right" vertical="center" indent="1"/>
    </xf>
    <xf numFmtId="166" fontId="7" fillId="4" borderId="4" applyAlignment="1" pivotButton="0" quotePrefix="0" xfId="0">
      <alignment horizontal="right" vertical="center" indent="1"/>
    </xf>
    <xf numFmtId="0" fontId="1" fillId="0" borderId="0" applyAlignment="1" pivotButton="0" quotePrefix="0" xfId="0">
      <alignment vertical="center"/>
    </xf>
    <xf numFmtId="0" fontId="2" fillId="0" borderId="1" applyAlignment="1" pivotButton="0" quotePrefix="0" xfId="0">
      <alignment vertical="top"/>
    </xf>
    <xf numFmtId="0" fontId="29" fillId="0" borderId="0" pivotButton="0" quotePrefix="0" xfId="0"/>
    <xf numFmtId="49" fontId="5" fillId="4" borderId="4" applyAlignment="1" pivotButton="0" quotePrefix="0" xfId="0">
      <alignment horizontal="left" vertical="center" indent="1"/>
    </xf>
    <xf numFmtId="0" fontId="4" fillId="3" borderId="5" applyAlignment="1" pivotButton="0" quotePrefix="0" xfId="0">
      <alignment horizontal="left" vertical="center" indent="1"/>
    </xf>
    <xf numFmtId="49" fontId="4" fillId="3" borderId="5" applyAlignment="1" pivotButton="0" quotePrefix="0" xfId="0">
      <alignment horizontal="left" vertical="center" indent="1"/>
    </xf>
    <xf numFmtId="1" fontId="4" fillId="3" borderId="5" applyAlignment="1" pivotButton="0" quotePrefix="0" xfId="0">
      <alignment horizontal="left" vertical="center" indent="1"/>
    </xf>
    <xf numFmtId="0" fontId="6" fillId="0" borderId="0" applyAlignment="1" pivotButton="0" quotePrefix="0" xfId="0">
      <alignment horizontal="right" vertical="center" indent="1"/>
    </xf>
    <xf numFmtId="1" fontId="5" fillId="4" borderId="4" applyAlignment="1" pivotButton="0" quotePrefix="0" xfId="0">
      <alignment horizontal="right" vertical="center" indent="1"/>
    </xf>
    <xf numFmtId="49" fontId="5" fillId="4" borderId="4" applyAlignment="1" pivotButton="0" quotePrefix="0" xfId="0">
      <alignment horizontal="right" vertical="center" indent="1"/>
    </xf>
    <xf numFmtId="0" fontId="0" fillId="0" borderId="8" pivotButton="0" quotePrefix="0" xfId="0"/>
    <xf numFmtId="49" fontId="11" fillId="6" borderId="3" applyAlignment="1" pivotButton="0" quotePrefix="0" xfId="0">
      <alignment vertical="center" indent="1"/>
    </xf>
    <xf numFmtId="49" fontId="6" fillId="5" borderId="3" applyAlignment="1" pivotButton="0" quotePrefix="0" xfId="0">
      <alignment vertical="center" indent="1"/>
    </xf>
    <xf numFmtId="165" fontId="4" fillId="5" borderId="3" applyAlignment="1" pivotButton="0" quotePrefix="0" xfId="0">
      <alignment horizontal="left" vertical="center" indent="1"/>
    </xf>
    <xf numFmtId="168" fontId="4" fillId="5" borderId="3" applyAlignment="1" pivotButton="0" quotePrefix="0" xfId="0">
      <alignment horizontal="right" vertical="center" indent="1"/>
    </xf>
    <xf numFmtId="0" fontId="28" fillId="0" borderId="0" applyAlignment="1" pivotButton="0" quotePrefix="0" xfId="0">
      <alignment horizontal="right" vertical="center"/>
    </xf>
    <xf numFmtId="0" fontId="2" fillId="0" borderId="0" applyAlignment="1" pivotButton="0" quotePrefix="0" xfId="0">
      <alignment vertical="top"/>
    </xf>
    <xf numFmtId="0" fontId="25" fillId="7" borderId="1" applyAlignment="1" pivotButton="0" quotePrefix="0" xfId="0">
      <alignment vertical="center" indent="1"/>
    </xf>
    <xf numFmtId="0" fontId="26" fillId="0" borderId="0" applyAlignment="1" pivotButton="0" quotePrefix="0" xfId="0">
      <alignment horizontal="right" vertical="center" indent="1"/>
    </xf>
    <xf numFmtId="0" fontId="4" fillId="0" borderId="0" applyAlignment="1" pivotButton="0" quotePrefix="0" xfId="0">
      <alignment vertical="center" wrapText="1"/>
    </xf>
    <xf numFmtId="0" fontId="27" fillId="8" borderId="26" applyAlignment="1" pivotButton="0" quotePrefix="0" xfId="0">
      <alignment vertical="center" wrapText="1" indent="1"/>
    </xf>
    <xf numFmtId="0" fontId="10" fillId="6" borderId="3" applyAlignment="1" pivotButton="0" quotePrefix="0" xfId="0">
      <alignment vertical="center" wrapText="1" indent="1"/>
    </xf>
    <xf numFmtId="0" fontId="10" fillId="0" borderId="3" applyAlignment="1" pivotButton="0" quotePrefix="0" xfId="0">
      <alignment vertical="center" wrapText="1" indent="1"/>
    </xf>
    <xf numFmtId="0" fontId="4" fillId="0" borderId="3" applyAlignment="1" pivotButton="0" quotePrefix="0" xfId="0">
      <alignment vertical="center" wrapText="1" indent="1"/>
    </xf>
    <xf numFmtId="0" fontId="4" fillId="0" borderId="0" applyAlignment="1" pivotButton="0" quotePrefix="0" xfId="0">
      <alignment vertical="center" wrapText="1" indent="1"/>
    </xf>
    <xf numFmtId="0" fontId="7" fillId="0" borderId="0" applyAlignment="1" pivotButton="0" quotePrefix="0" xfId="0">
      <alignment vertical="center"/>
    </xf>
    <xf numFmtId="165" fontId="4" fillId="3" borderId="3" applyAlignment="1" pivotButton="0" quotePrefix="0" xfId="0">
      <alignment horizontal="left" vertical="center" indent="1"/>
    </xf>
    <xf numFmtId="49" fontId="4" fillId="3" borderId="3" applyAlignment="1" pivotButton="0" quotePrefix="0" xfId="0">
      <alignment horizontal="left" vertical="center" indent="1"/>
    </xf>
    <xf numFmtId="168" fontId="4" fillId="3" borderId="3" applyAlignment="1" pivotButton="0" quotePrefix="0" xfId="0">
      <alignment horizontal="right" vertical="center" indent="1"/>
    </xf>
    <xf numFmtId="0" fontId="5" fillId="4" borderId="3" applyAlignment="1" pivotButton="0" quotePrefix="0" xfId="0">
      <alignment horizontal="left" vertical="center" indent="1"/>
    </xf>
    <xf numFmtId="164" fontId="5" fillId="4" borderId="3" applyAlignment="1" pivotButton="0" quotePrefix="0" xfId="0">
      <alignment horizontal="left" vertical="center" indent="1"/>
    </xf>
    <xf numFmtId="49" fontId="6" fillId="5" borderId="3" applyAlignment="1" pivotButton="0" quotePrefix="0" xfId="0">
      <alignment horizontal="left" vertical="center" indent="1"/>
    </xf>
    <xf numFmtId="0" fontId="6" fillId="5" borderId="3" applyAlignment="1" pivotButton="0" quotePrefix="0" xfId="0">
      <alignment horizontal="right" vertical="center" indent="1"/>
    </xf>
    <xf numFmtId="0" fontId="4" fillId="3" borderId="3" applyAlignment="1" pivotButton="0" quotePrefix="0" xfId="0">
      <alignment horizontal="left" vertical="center" indent="1"/>
    </xf>
    <xf numFmtId="0" fontId="4" fillId="3" borderId="3" applyAlignment="1" pivotButton="0" quotePrefix="0" xfId="0">
      <alignment horizontal="center" vertical="center" indent="1"/>
    </xf>
    <xf numFmtId="168" fontId="5" fillId="4" borderId="3" applyAlignment="1" pivotButton="0" quotePrefix="0" xfId="0">
      <alignment horizontal="right" vertical="center" indent="1"/>
    </xf>
    <xf numFmtId="168" fontId="7" fillId="4" borderId="3" applyAlignment="1" pivotButton="0" quotePrefix="0" xfId="0">
      <alignment horizontal="right" vertical="center" indent="1"/>
    </xf>
    <xf numFmtId="166" fontId="4" fillId="3" borderId="3" applyAlignment="1" pivotButton="0" quotePrefix="0" xfId="0">
      <alignment horizontal="right" vertical="center" indent="1"/>
    </xf>
    <xf numFmtId="10" fontId="4" fillId="3" borderId="3" applyAlignment="1" pivotButton="0" quotePrefix="0" xfId="0">
      <alignment horizontal="right" vertical="center" indent="1"/>
    </xf>
    <xf numFmtId="165" fontId="5" fillId="4" borderId="3" applyAlignment="1" pivotButton="0" quotePrefix="0" xfId="0">
      <alignment horizontal="left" vertical="center" indent="1"/>
    </xf>
    <xf numFmtId="1" fontId="5" fillId="4" borderId="3" applyAlignment="1" pivotButton="0" quotePrefix="0" xfId="0">
      <alignment horizontal="right" vertical="center" indent="1"/>
    </xf>
    <xf numFmtId="1" fontId="4" fillId="3" borderId="3" applyAlignment="1" pivotButton="0" quotePrefix="0" xfId="0">
      <alignment horizontal="right" vertical="center" indent="1"/>
    </xf>
    <xf numFmtId="0" fontId="2" fillId="5" borderId="3" applyAlignment="1" pivotButton="0" quotePrefix="0" xfId="0">
      <alignment horizontal="left" vertical="center" indent="1"/>
    </xf>
    <xf numFmtId="0" fontId="5" fillId="4" borderId="4" applyAlignment="1" pivotButton="0" quotePrefix="0" xfId="0">
      <alignment horizontal="left" vertical="center" indent="1"/>
    </xf>
    <xf numFmtId="9" fontId="7" fillId="4" borderId="4" applyAlignment="1" pivotButton="0" quotePrefix="0" xfId="0">
      <alignment horizontal="right" vertical="center" indent="1"/>
    </xf>
    <xf numFmtId="9" fontId="5" fillId="4" borderId="4" applyAlignment="1" pivotButton="0" quotePrefix="0" xfId="0">
      <alignment horizontal="right" vertical="center" indent="1"/>
    </xf>
    <xf numFmtId="9" fontId="4" fillId="3" borderId="5" applyAlignment="1" pivotButton="0" quotePrefix="0" xfId="0">
      <alignment horizontal="right" vertical="center" indent="1"/>
    </xf>
    <xf numFmtId="164" fontId="4" fillId="3" borderId="3" applyAlignment="1" pivotButton="0" quotePrefix="0" xfId="0">
      <alignment horizontal="left" vertical="center" indent="1"/>
    </xf>
    <xf numFmtId="0" fontId="15" fillId="0" borderId="0" applyAlignment="1" pivotButton="0" quotePrefix="0" xfId="0">
      <alignment horizontal="left" vertical="center" indent="1"/>
    </xf>
    <xf numFmtId="166" fontId="16" fillId="4" borderId="4" applyAlignment="1" pivotButton="0" quotePrefix="0" xfId="0">
      <alignment horizontal="right" vertical="center" indent="1"/>
    </xf>
    <xf numFmtId="0" fontId="6" fillId="0" borderId="0" applyAlignment="1" pivotButton="0" quotePrefix="0" xfId="0">
      <alignment horizontal="left" vertical="center" wrapText="1" indent="1"/>
    </xf>
    <xf numFmtId="166" fontId="4" fillId="3" borderId="5" applyAlignment="1" pivotButton="0" quotePrefix="0" xfId="0">
      <alignment horizontal="right" vertical="center" indent="1"/>
    </xf>
    <xf numFmtId="0" fontId="0" fillId="0" borderId="25" pivotButton="0" quotePrefix="0" xfId="0"/>
    <xf numFmtId="164" fontId="4" fillId="3" borderId="5" applyAlignment="1" pivotButton="0" quotePrefix="0" xfId="0">
      <alignment horizontal="right" vertical="center" indent="1"/>
    </xf>
    <xf numFmtId="1" fontId="5" fillId="4" borderId="3" applyAlignment="1" pivotButton="0" quotePrefix="0" xfId="0">
      <alignment horizontal="center" vertical="center" indent="1"/>
    </xf>
    <xf numFmtId="164" fontId="5" fillId="4" borderId="3" applyAlignment="1" pivotButton="0" quotePrefix="0" xfId="0">
      <alignment horizontal="right" vertical="center" indent="1"/>
    </xf>
    <xf numFmtId="164" fontId="5" fillId="4" borderId="4" applyAlignment="1" pivotButton="0" quotePrefix="0" xfId="0">
      <alignment horizontal="right" vertical="center" indent="1"/>
    </xf>
    <xf numFmtId="0" fontId="17" fillId="0" borderId="0" applyAlignment="1" pivotButton="0" quotePrefix="0" xfId="0">
      <alignment horizontal="left" vertical="center" indent="1"/>
    </xf>
    <xf numFmtId="1" fontId="4" fillId="3" borderId="5" applyAlignment="1" pivotButton="0" quotePrefix="0" xfId="0">
      <alignment horizontal="right" vertical="center" indent="1"/>
    </xf>
    <xf numFmtId="170" fontId="5" fillId="4" borderId="4" applyAlignment="1" pivotButton="0" quotePrefix="0" xfId="0">
      <alignment horizontal="right" vertical="center" indent="1"/>
    </xf>
    <xf numFmtId="164" fontId="4" fillId="3" borderId="3" applyAlignment="1" pivotButton="0" quotePrefix="0" xfId="0">
      <alignment horizontal="right" vertical="center" indent="1"/>
    </xf>
    <xf numFmtId="0" fontId="5" fillId="4" borderId="3" applyAlignment="1" pivotButton="0" quotePrefix="0" xfId="0">
      <alignment horizontal="center" vertical="center" indent="1"/>
    </xf>
    <xf numFmtId="1" fontId="4" fillId="3" borderId="3" applyAlignment="1" pivotButton="0" quotePrefix="0" xfId="0">
      <alignment horizontal="center" vertical="center" indent="1"/>
    </xf>
    <xf numFmtId="173" fontId="4" fillId="3" borderId="3" applyAlignment="1" pivotButton="0" quotePrefix="0" xfId="0">
      <alignment horizontal="right" vertical="center" indent="1"/>
    </xf>
    <xf numFmtId="169" fontId="5" fillId="4" borderId="4" applyAlignment="1" pivotButton="0" quotePrefix="0" xfId="0">
      <alignment horizontal="right" vertical="center" indent="1"/>
    </xf>
    <xf numFmtId="10" fontId="4" fillId="3" borderId="5" applyAlignment="1" pivotButton="0" quotePrefix="0" xfId="0">
      <alignment horizontal="right" vertical="center" indent="1"/>
    </xf>
    <xf numFmtId="169" fontId="7" fillId="4" borderId="4" applyAlignment="1" pivotButton="0" quotePrefix="0" xfId="0">
      <alignment horizontal="right" vertical="center" indent="1"/>
    </xf>
    <xf numFmtId="0" fontId="4" fillId="3" borderId="5" applyAlignment="1" pivotButton="0" quotePrefix="0" xfId="0">
      <alignment horizontal="center" vertical="center"/>
    </xf>
    <xf numFmtId="0" fontId="6" fillId="0" borderId="0" applyAlignment="1" pivotButton="0" quotePrefix="0" xfId="0">
      <alignment vertical="top" wrapText="1"/>
    </xf>
    <xf numFmtId="1" fontId="4" fillId="5" borderId="3" applyAlignment="1" pivotButton="0" quotePrefix="0" xfId="0">
      <alignment horizontal="center" vertical="center" indent="1"/>
    </xf>
    <xf numFmtId="166" fontId="7" fillId="4" borderId="3" applyAlignment="1" pivotButton="0" quotePrefix="0" xfId="0">
      <alignment horizontal="right" vertical="center" indent="1"/>
    </xf>
    <xf numFmtId="1" fontId="20" fillId="8" borderId="26" applyAlignment="1" pivotButton="0" quotePrefix="0" xfId="0">
      <alignment horizontal="right" vertical="center" indent="1"/>
    </xf>
    <xf numFmtId="10" fontId="20" fillId="8" borderId="26" applyAlignment="1" pivotButton="0" quotePrefix="0" xfId="0">
      <alignment horizontal="right" vertical="center" indent="1"/>
    </xf>
    <xf numFmtId="166" fontId="20" fillId="8" borderId="26" applyAlignment="1" pivotButton="0" quotePrefix="0" xfId="0">
      <alignment horizontal="right" vertical="center" indent="1"/>
    </xf>
    <xf numFmtId="0" fontId="7" fillId="4" borderId="4" applyAlignment="1" pivotButton="0" quotePrefix="0" xfId="0">
      <alignment horizontal="right" vertical="center" indent="1"/>
    </xf>
    <xf numFmtId="165" fontId="4" fillId="3" borderId="3" applyAlignment="1" pivotButton="0" quotePrefix="0" xfId="0">
      <alignment horizontal="right" vertical="center" indent="1"/>
    </xf>
    <xf numFmtId="174" fontId="4" fillId="3" borderId="5" applyAlignment="1" pivotButton="0" quotePrefix="0" xfId="0">
      <alignment horizontal="right" vertical="center" indent="1"/>
    </xf>
    <xf numFmtId="175" fontId="5" fillId="4" borderId="4" applyAlignment="1" pivotButton="0" quotePrefix="0" xfId="0">
      <alignment horizontal="right" vertical="center" indent="1"/>
    </xf>
    <xf numFmtId="168" fontId="5" fillId="4" borderId="4" applyAlignment="1" pivotButton="0" quotePrefix="0" xfId="0">
      <alignment horizontal="right" vertical="center" indent="1"/>
    </xf>
    <xf numFmtId="165" fontId="4" fillId="3" borderId="5" applyAlignment="1" pivotButton="0" quotePrefix="0" xfId="0">
      <alignment horizontal="right" vertical="center" indent="1"/>
    </xf>
    <xf numFmtId="168" fontId="7" fillId="4" borderId="4" applyAlignment="1" pivotButton="0" quotePrefix="0" xfId="0">
      <alignment horizontal="right" vertical="center" indent="1"/>
    </xf>
    <xf numFmtId="165" fontId="7" fillId="4" borderId="4" applyAlignment="1" pivotButton="0" quotePrefix="0" xfId="0">
      <alignment horizontal="right" vertical="center" indent="1"/>
    </xf>
    <xf numFmtId="165" fontId="5" fillId="4" borderId="4" applyAlignment="1" pivotButton="0" quotePrefix="0" xfId="0">
      <alignment horizontal="right" vertical="center" indent="1"/>
    </xf>
    <xf numFmtId="0" fontId="5" fillId="4" borderId="4" applyAlignment="1" pivotButton="0" quotePrefix="0" xfId="0">
      <alignment horizontal="right" vertical="center" indent="1"/>
    </xf>
    <xf numFmtId="0" fontId="5" fillId="4" borderId="4" applyAlignment="1" pivotButton="0" quotePrefix="0" xfId="0">
      <alignment horizontal="center" vertical="center"/>
    </xf>
    <xf numFmtId="164" fontId="4" fillId="5" borderId="3" applyAlignment="1" pivotButton="0" quotePrefix="0" xfId="0">
      <alignment horizontal="center" vertical="center" indent="1"/>
    </xf>
    <xf numFmtId="164" fontId="4" fillId="5" borderId="3" applyAlignment="1" pivotButton="0" quotePrefix="0" xfId="0">
      <alignment horizontal="right" vertical="center" indent="1"/>
    </xf>
    <xf numFmtId="176" fontId="5" fillId="4" borderId="3" applyAlignment="1" pivotButton="0" quotePrefix="0" xfId="0">
      <alignment horizontal="right" vertical="center" indent="1"/>
    </xf>
    <xf numFmtId="176" fontId="7" fillId="4" borderId="3" applyAlignment="1" pivotButton="0" quotePrefix="0" xfId="0">
      <alignment horizontal="right" vertical="center" indent="1"/>
    </xf>
    <xf numFmtId="177" fontId="5" fillId="4" borderId="3" applyAlignment="1" pivotButton="0" quotePrefix="0" xfId="0">
      <alignment horizontal="right" vertical="center" indent="1"/>
    </xf>
    <xf numFmtId="0" fontId="18" fillId="0" borderId="0" pivotButton="0" quotePrefix="0" xfId="0"/>
    <xf numFmtId="0" fontId="19" fillId="0" borderId="0" pivotButton="0" quotePrefix="0" xfId="0"/>
    <xf numFmtId="4" fontId="6" fillId="0" borderId="0" pivotButton="0" quotePrefix="0" xfId="0"/>
    <xf numFmtId="0" fontId="3" fillId="2" borderId="2" applyAlignment="1" pivotButton="0" quotePrefix="0" xfId="0">
      <alignment vertical="center" wrapText="1" indent="1"/>
    </xf>
    <xf numFmtId="49" fontId="5" fillId="4" borderId="3" applyAlignment="1" pivotButton="0" quotePrefix="0" xfId="0">
      <alignment horizontal="left" vertical="center" indent="1"/>
    </xf>
    <xf numFmtId="164" fontId="5" fillId="4" borderId="4" applyAlignment="1" pivotButton="0" quotePrefix="0" xfId="0">
      <alignment horizontal="left" vertical="center" indent="1"/>
    </xf>
    <xf numFmtId="165" fontId="5" fillId="4" borderId="4" applyAlignment="1" pivotButton="0" quotePrefix="0" xfId="0">
      <alignment horizontal="left" vertical="center" indent="1"/>
    </xf>
    <xf numFmtId="166" fontId="0" fillId="0" borderId="0" pivotButton="0" quotePrefix="0" xfId="0"/>
  </cellXfs>
  <cellStyles count="1">
    <cellStyle name="Normal" xfId="0" builtinId="0" hidden="0"/>
  </cellStyles>
  <dxfs count="8">
    <dxf>
      <font>
        <b val="1"/>
        <color rgb="00166534"/>
      </font>
      <fill>
        <patternFill patternType="solid">
          <fgColor rgb="00DCFCE7"/>
          <bgColor rgb="00DCFCE7"/>
        </patternFill>
      </fill>
    </dxf>
    <dxf>
      <font>
        <b val="1"/>
        <color rgb="0092400E"/>
      </font>
      <fill>
        <patternFill patternType="solid">
          <fgColor rgb="00FEF3C7"/>
          <bgColor rgb="00FEF3C7"/>
        </patternFill>
      </fill>
    </dxf>
    <dxf>
      <font>
        <b val="1"/>
        <color rgb="00991B1B"/>
      </font>
      <fill>
        <patternFill patternType="solid">
          <fgColor rgb="00FEE2E2"/>
          <bgColor rgb="00FEE2E2"/>
        </patternFill>
      </fill>
    </dxf>
    <dxf>
      <font>
        <color rgb="0092400E"/>
      </font>
      <fill>
        <patternFill patternType="solid">
          <fgColor rgb="00FEF3C7"/>
          <bgColor rgb="00FEF3C7"/>
        </patternFill>
      </fill>
    </dxf>
    <dxf>
      <font>
        <b val="1"/>
        <color rgb="00991B1B"/>
      </font>
    </dxf>
    <dxf>
      <font>
        <color rgb="006B7280"/>
      </font>
    </dxf>
    <dxf>
      <font>
        <color rgb="00991B1B"/>
      </font>
    </dxf>
    <dxf>
      <font>
        <color rgb="00D1D5DB"/>
      </font>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styles" Target="styles.xml" Id="rId19"/><Relationship Type="http://schemas.openxmlformats.org/officeDocument/2006/relationships/theme" Target="theme/theme1.xml" Id="rId20"/><Relationship Id="rIdVBA1" Type="http://schemas.microsoft.com/office/2006/relationships/vbaProject" Target="vbaProject.bin"/></Relationships>
</file>

<file path=xl/charts/chart1.xml><?xml version="1.0" encoding="utf-8"?>
<chartSpace xmlns="http://schemas.openxmlformats.org/drawingml/2006/chart">
  <style val="2"/>
  <chart>
    <plotArea>
      <barChart>
        <barDir val="col"/>
        <grouping val="clustered"/>
        <ser>
          <idx val="0"/>
          <order val="0"/>
          <tx>
            <v>Income</v>
          </tx>
          <spPr>
            <a:solidFill xmlns:a="http://schemas.openxmlformats.org/drawingml/2006/main">
              <a:srgbClr val="177A5A"/>
            </a:solidFill>
            <a:ln xmlns:a="http://schemas.openxmlformats.org/drawingml/2006/main">
              <a:solidFill>
                <a:srgbClr val="177A5A"/>
              </a:solidFill>
              <a:prstDash val="solid"/>
            </a:ln>
          </spPr>
          <cat>
            <numRef>
              <f>'Dashboard'!$B$27:$B$38</f>
            </numRef>
          </cat>
          <val>
            <numRef>
              <f>'Dashboard'!$C$27:$C$38</f>
            </numRef>
          </val>
        </ser>
        <ser>
          <idx val="1"/>
          <order val="1"/>
          <tx>
            <v>Spending</v>
          </tx>
          <spPr>
            <a:solidFill xmlns:a="http://schemas.openxmlformats.org/drawingml/2006/main">
              <a:srgbClr val="9CA3AF"/>
            </a:solidFill>
            <a:ln xmlns:a="http://schemas.openxmlformats.org/drawingml/2006/main">
              <a:solidFill>
                <a:srgbClr val="9CA3AF"/>
              </a:solidFill>
              <a:prstDash val="solid"/>
            </a:ln>
          </spPr>
          <cat>
            <numRef>
              <f>'Dashboard'!$B$27:$B$38</f>
            </numRef>
          </cat>
          <val>
            <numRef>
              <f>'Dashboard'!$D$27:$D$38</f>
            </numRef>
          </val>
        </ser>
        <gapWidth val="60"/>
        <axId val="10"/>
        <axId val="100"/>
      </barChart>
      <catAx>
        <axId val="10"/>
        <scaling>
          <orientation val="minMax"/>
        </scaling>
        <delete val="0"/>
        <axPos val="l"/>
        <numFmt formatCode="mmm" sourceLinked="0"/>
        <majorTickMark val="none"/>
        <minorTickMark val="none"/>
        <crossAx val="100"/>
        <lblOffset val="100"/>
      </catAx>
      <valAx>
        <axId val="100"/>
        <scaling>
          <orientation val="minMax"/>
        </scaling>
        <delete val="0"/>
        <axPos val="l"/>
        <numFmt formatCode="$#,##0" sourceLinked="0"/>
        <majorTickMark val="none"/>
        <minorTickMark val="none"/>
        <crossAx val="10"/>
      </valAx>
    </plotArea>
    <legend>
      <legendPos val="b"/>
    </legend>
    <plotVisOnly val="0"/>
    <dispBlanksAs val="gap"/>
  </chart>
</chartSpace>
</file>

<file path=xl/charts/chart2.xml><?xml version="1.0" encoding="utf-8"?>
<chartSpace xmlns="http://schemas.openxmlformats.org/drawingml/2006/chart">
  <style val="2"/>
  <chart>
    <plotArea>
      <barChart>
        <barDir val="bar"/>
        <grouping val="clustered"/>
        <ser>
          <idx val="0"/>
          <order val="0"/>
          <tx>
            <strRef>
              <f>'Dashboard'!D41</f>
            </strRef>
          </tx>
          <spPr>
            <a:solidFill xmlns:a="http://schemas.openxmlformats.org/drawingml/2006/main">
              <a:srgbClr val="177A5A"/>
            </a:solidFill>
            <a:ln xmlns:a="http://schemas.openxmlformats.org/drawingml/2006/main">
              <a:solidFill>
                <a:srgbClr val="177A5A"/>
              </a:solidFill>
              <a:prstDash val="solid"/>
            </a:ln>
          </spPr>
          <cat>
            <numRef>
              <f>'Dashboard'!$B$42:$B$51</f>
            </numRef>
          </cat>
          <val>
            <numRef>
              <f>'Dashboard'!$D$42:$D$51</f>
            </numRef>
          </val>
        </ser>
        <dLbls>
          <numFmt formatCode="$#,##0"/>
          <showLegendKey val="0"/>
          <showVal val="1"/>
          <showCatName val="0"/>
          <showSerName val="0"/>
          <showPercent val="0"/>
        </dLbls>
        <gapWidth val="50"/>
        <axId val="10"/>
        <axId val="100"/>
      </barChart>
      <catAx>
        <axId val="10"/>
        <scaling>
          <orientation val="maxMin"/>
        </scaling>
        <delete val="0"/>
        <axPos val="l"/>
        <majorTickMark val="none"/>
        <minorTickMark val="none"/>
        <crossAx val="100"/>
        <lblOffset val="100"/>
      </catAx>
      <valAx>
        <axId val="100"/>
        <scaling>
          <orientation val="minMax"/>
        </scaling>
        <delete val="1"/>
        <axPos val="l"/>
        <numFmt formatCode="$#,##0" sourceLinked="0"/>
        <majorTickMark val="none"/>
        <minorTickMark val="none"/>
        <crossAx val="10"/>
      </valAx>
    </plotArea>
    <plotVisOnly val="0"/>
    <dispBlanksAs val="gap"/>
  </chart>
</chartSpace>
</file>

<file path=xl/charts/chart3.xml><?xml version="1.0" encoding="utf-8"?>
<chartSpace xmlns="http://schemas.openxmlformats.org/drawingml/2006/chart">
  <style val="2"/>
  <chart>
    <plotArea>
      <barChart>
        <barDir val="bar"/>
        <grouping val="clustered"/>
        <ser>
          <idx val="0"/>
          <order val="0"/>
          <tx>
            <strRef>
              <f>'Dashboard'!D66</f>
            </strRef>
          </tx>
          <spPr>
            <a:solidFill xmlns:a="http://schemas.openxmlformats.org/drawingml/2006/main">
              <a:srgbClr val="177A5A"/>
            </a:solidFill>
            <a:ln xmlns:a="http://schemas.openxmlformats.org/drawingml/2006/main">
              <a:solidFill>
                <a:srgbClr val="177A5A"/>
              </a:solidFill>
              <a:prstDash val="solid"/>
            </a:ln>
          </spPr>
          <cat>
            <numRef>
              <f>'Dashboard'!$B$67:$B$75</f>
            </numRef>
          </cat>
          <val>
            <numRef>
              <f>'Dashboard'!$D$67:$D$75</f>
            </numRef>
          </val>
        </ser>
        <gapWidth val="50"/>
        <axId val="10"/>
        <axId val="100"/>
      </barChart>
      <catAx>
        <axId val="10"/>
        <scaling>
          <orientation val="maxMin"/>
        </scaling>
        <delete val="0"/>
        <axPos val="l"/>
        <majorTickMark val="none"/>
        <minorTickMark val="none"/>
        <crossAx val="100"/>
        <lblOffset val="100"/>
      </catAx>
      <valAx>
        <axId val="100"/>
        <scaling>
          <orientation val="minMax"/>
        </scaling>
        <delete val="0"/>
        <axPos val="l"/>
        <numFmt formatCode="$#,##0" sourceLinked="0"/>
        <majorTickMark val="none"/>
        <minorTickMark val="none"/>
        <crossAx val="10"/>
      </valAx>
    </plotArea>
    <plotVisOnly val="0"/>
    <dispBlanksAs val="gap"/>
  </chart>
</chartSpace>
</file>

<file path=xl/charts/chart4.xml><?xml version="1.0" encoding="utf-8"?>
<chartSpace xmlns="http://schemas.openxmlformats.org/drawingml/2006/chart">
  <style val="2"/>
  <chart>
    <plotArea>
      <barChart>
        <barDir val="col"/>
        <grouping val="clustered"/>
        <ser>
          <idx val="0"/>
          <order val="0"/>
          <tx>
            <strRef>
              <f>'Budget'!O5</f>
            </strRef>
          </tx>
          <spPr>
            <a:solidFill xmlns:a="http://schemas.openxmlformats.org/drawingml/2006/main">
              <a:srgbClr val="177A5A"/>
            </a:solidFill>
            <a:ln xmlns:a="http://schemas.openxmlformats.org/drawingml/2006/main">
              <a:solidFill>
                <a:srgbClr val="177A5A"/>
              </a:solidFill>
              <a:prstDash val="solid"/>
            </a:ln>
          </spPr>
          <cat>
            <numRef>
              <f>'Budget'!$M$6:$M$8</f>
            </numRef>
          </cat>
          <val>
            <numRef>
              <f>'Budget'!$O$6:$O$8</f>
            </numRef>
          </val>
        </ser>
        <ser>
          <idx val="1"/>
          <order val="1"/>
          <tx>
            <strRef>
              <f>'Budget'!P5</f>
            </strRef>
          </tx>
          <spPr>
            <a:solidFill xmlns:a="http://schemas.openxmlformats.org/drawingml/2006/main">
              <a:srgbClr val="9CA3AF"/>
            </a:solidFill>
            <a:ln xmlns:a="http://schemas.openxmlformats.org/drawingml/2006/main">
              <a:solidFill>
                <a:srgbClr val="9CA3AF"/>
              </a:solidFill>
              <a:prstDash val="solid"/>
            </a:ln>
          </spPr>
          <cat>
            <numRef>
              <f>'Budget'!$M$6:$M$8</f>
            </numRef>
          </cat>
          <val>
            <numRef>
              <f>'Budget'!$P$6:$P$8</f>
            </numRef>
          </val>
        </ser>
        <gapWidth val="80"/>
        <axId val="10"/>
        <axId val="100"/>
      </barChart>
      <catAx>
        <axId val="10"/>
        <scaling>
          <orientation val="minMax"/>
        </scaling>
        <delete val="0"/>
        <axPos val="l"/>
        <majorTickMark val="none"/>
        <minorTickMark val="none"/>
        <crossAx val="100"/>
        <lblOffset val="100"/>
      </catAx>
      <valAx>
        <axId val="100"/>
        <scaling>
          <orientation val="minMax"/>
        </scaling>
        <delete val="0"/>
        <axPos val="l"/>
        <numFmt formatCode="0%" sourceLinked="0"/>
        <majorTickMark val="none"/>
        <minorTickMark val="none"/>
        <crossAx val="10"/>
      </valAx>
    </plotArea>
    <legend>
      <legendPos val="b"/>
    </legend>
    <plotVisOnly val="0"/>
    <dispBlanksAs val="gap"/>
  </chart>
</chartSpace>
</file>

<file path=xl/charts/chart5.xml><?xml version="1.0" encoding="utf-8"?>
<chartSpace xmlns="http://schemas.openxmlformats.org/drawingml/2006/chart">
  <style val="2"/>
  <chart>
    <plotArea>
      <lineChart>
        <grouping val="standard"/>
        <ser>
          <idx val="0"/>
          <order val="0"/>
          <tx>
            <strRef>
              <f>'Net Worth'!H5</f>
            </strRef>
          </tx>
          <spPr>
            <a:ln xmlns:a="http://schemas.openxmlformats.org/drawingml/2006/main" w="28000">
              <a:solidFill>
                <a:srgbClr val="177A5A"/>
              </a:solidFill>
              <a:prstDash val="solid"/>
            </a:ln>
          </spPr>
          <marker>
            <symbol val="none"/>
            <spPr>
              <a:ln xmlns:a="http://schemas.openxmlformats.org/drawingml/2006/main">
                <a:prstDash val="solid"/>
              </a:ln>
            </spPr>
          </marker>
          <cat>
            <numRef>
              <f>'Net Worth'!$E$6:$E$23</f>
            </numRef>
          </cat>
          <val>
            <numRef>
              <f>'Net Worth'!$H$6:$H$23</f>
            </numRef>
          </val>
          <smooth val="0"/>
        </ser>
        <axId val="10"/>
        <axId val="100"/>
      </lineChart>
      <catAx>
        <axId val="10"/>
        <scaling>
          <orientation val="minMax"/>
        </scaling>
        <delete val="0"/>
        <axPos val="l"/>
        <numFmt formatCode="mmm yy" sourceLinked="0"/>
        <majorTickMark val="none"/>
        <minorTickMark val="none"/>
        <crossAx val="100"/>
        <lblOffset val="100"/>
      </catAx>
      <valAx>
        <axId val="100"/>
        <scaling>
          <orientation val="minMax"/>
        </scaling>
        <delete val="0"/>
        <axPos val="l"/>
        <majorGridlines/>
        <numFmt formatCode="$#,##0" sourceLinked="0"/>
        <majorTickMark val="none"/>
        <minorTickMark val="none"/>
        <crossAx val="10"/>
      </valAx>
    </plotArea>
    <plotVisOnly val="0"/>
    <dispBlanksAs val="gap"/>
  </chart>
</chartSpace>
</file>

<file path=xl/charts/chart6.xml><?xml version="1.0" encoding="utf-8"?>
<chartSpace xmlns="http://schemas.openxmlformats.org/drawingml/2006/chart">
  <style val="2"/>
  <chart>
    <plotArea>
      <scatterChart>
        <ser>
          <idx val="0"/>
          <order val="0"/>
          <tx>
            <v>Avalanche</v>
          </tx>
          <spPr>
            <a:ln xmlns:a="http://schemas.openxmlformats.org/drawingml/2006/main">
              <a:solidFill>
                <a:srgbClr val="177A5A"/>
              </a:solidFill>
              <a:prstDash val="solid"/>
            </a:ln>
          </spPr>
          <marker>
            <symbol val="none"/>
            <spPr>
              <a:ln xmlns:a="http://schemas.openxmlformats.org/drawingml/2006/main">
                <a:prstDash val="solid"/>
              </a:ln>
            </spPr>
          </marker>
          <xVal>
            <numRef>
              <f>'Debt Calc'!$AT$11:$AT$491</f>
            </numRef>
          </xVal>
          <yVal>
            <numRef>
              <f>'Debt Calc'!$AU$11:$AU$491</f>
            </numRef>
          </yVal>
          <smooth val="0"/>
        </ser>
        <ser>
          <idx val="1"/>
          <order val="1"/>
          <tx>
            <v>Snowball</v>
          </tx>
          <spPr>
            <a:ln xmlns:a="http://schemas.openxmlformats.org/drawingml/2006/main">
              <a:solidFill>
                <a:srgbClr val="9CA3AF"/>
              </a:solidFill>
              <a:prstDash val="solid"/>
            </a:ln>
          </spPr>
          <marker>
            <symbol val="none"/>
            <spPr>
              <a:ln xmlns:a="http://schemas.openxmlformats.org/drawingml/2006/main">
                <a:prstDash val="solid"/>
              </a:ln>
            </spPr>
          </marker>
          <xVal>
            <numRef>
              <f>'Debt Calc'!$CO$11:$CO$491</f>
            </numRef>
          </xVal>
          <yVal>
            <numRef>
              <f>'Debt Calc'!$CP$11:$CP$491</f>
            </numRef>
          </yVal>
          <smooth val="0"/>
        </ser>
        <axId val="10"/>
        <axId val="20"/>
      </scatterChart>
      <valAx>
        <axId val="10"/>
        <scaling>
          <orientation val="minMax"/>
          <min val="0"/>
        </scaling>
        <delete val="0"/>
        <axPos val="l"/>
        <majorGridlines/>
        <title>
          <tx>
            <rich>
              <a:bodyPr xmlns:a="http://schemas.openxmlformats.org/drawingml/2006/main"/>
              <a:p xmlns:a="http://schemas.openxmlformats.org/drawingml/2006/main">
                <a:pPr>
                  <a:defRPr/>
                </a:pPr>
                <a:r>
                  <a:t>Months from start</a:t>
                </a:r>
              </a:p>
            </rich>
          </tx>
        </title>
        <numFmt formatCode="0" sourceLinked="0"/>
        <majorTickMark val="none"/>
        <minorTickMark val="none"/>
        <crossAx val="20"/>
      </valAx>
      <valAx>
        <axId val="20"/>
        <scaling>
          <orientation val="minMax"/>
        </scaling>
        <delete val="0"/>
        <axPos val="l"/>
        <numFmt formatCode="$#,##0" sourceLinked="0"/>
        <majorTickMark val="none"/>
        <minorTickMark val="none"/>
        <crossAx val="10"/>
      </valAx>
    </plotArea>
    <legend>
      <legendPos val="b"/>
    </legend>
    <plotVisOnly val="0"/>
    <dispBlanksAs val="gap"/>
  </chart>
</chartSpace>
</file>

<file path=xl/charts/chart7.xml><?xml version="1.0" encoding="utf-8"?>
<chartSpace xmlns="http://schemas.openxmlformats.org/drawingml/2006/chart">
  <style val="2"/>
  <chart>
    <plotArea>
      <scatterChart>
        <ser>
          <idx val="0"/>
          <order val="0"/>
          <tx>
            <v>Conservative</v>
          </tx>
          <spPr>
            <a:ln xmlns:a="http://schemas.openxmlformats.org/drawingml/2006/main">
              <a:solidFill>
                <a:srgbClr val="9CA3AF"/>
              </a:solidFill>
              <a:prstDash val="solid"/>
            </a:ln>
          </spPr>
          <marker>
            <symbol val="none"/>
            <spPr>
              <a:ln xmlns:a="http://schemas.openxmlformats.org/drawingml/2006/main">
                <a:prstDash val="solid"/>
              </a:ln>
            </spPr>
          </marker>
          <xVal>
            <numRef>
              <f>'401(k)'!$N$33:$N$102</f>
            </numRef>
          </xVal>
          <yVal>
            <numRef>
              <f>'401(k)'!$O$33:$O$102</f>
            </numRef>
          </yVal>
          <smooth val="0"/>
        </ser>
        <ser>
          <idx val="1"/>
          <order val="1"/>
          <tx>
            <v>Expected</v>
          </tx>
          <spPr>
            <a:ln xmlns:a="http://schemas.openxmlformats.org/drawingml/2006/main" w="32000">
              <a:solidFill>
                <a:srgbClr val="177A5A"/>
              </a:solidFill>
              <a:prstDash val="solid"/>
            </a:ln>
          </spPr>
          <marker>
            <symbol val="none"/>
            <spPr>
              <a:ln xmlns:a="http://schemas.openxmlformats.org/drawingml/2006/main">
                <a:prstDash val="solid"/>
              </a:ln>
            </spPr>
          </marker>
          <xVal>
            <numRef>
              <f>'401(k)'!$N$33:$N$102</f>
            </numRef>
          </xVal>
          <yVal>
            <numRef>
              <f>'401(k)'!$P$33:$P$102</f>
            </numRef>
          </yVal>
          <smooth val="0"/>
        </ser>
        <ser>
          <idx val="2"/>
          <order val="2"/>
          <tx>
            <v>Optimistic</v>
          </tx>
          <spPr>
            <a:ln xmlns:a="http://schemas.openxmlformats.org/drawingml/2006/main">
              <a:solidFill>
                <a:srgbClr val="3B6EA8"/>
              </a:solidFill>
              <a:prstDash val="solid"/>
            </a:ln>
          </spPr>
          <marker>
            <symbol val="none"/>
            <spPr>
              <a:ln xmlns:a="http://schemas.openxmlformats.org/drawingml/2006/main">
                <a:prstDash val="solid"/>
              </a:ln>
            </spPr>
          </marker>
          <xVal>
            <numRef>
              <f>'401(k)'!$N$33:$N$102</f>
            </numRef>
          </xVal>
          <yVal>
            <numRef>
              <f>'401(k)'!$Q$33:$Q$102</f>
            </numRef>
          </yVal>
          <smooth val="0"/>
        </ser>
        <ser>
          <idx val="3"/>
          <order val="3"/>
          <tx>
            <v>Replay history</v>
          </tx>
          <spPr>
            <a:ln xmlns:a="http://schemas.openxmlformats.org/drawingml/2006/main">
              <a:solidFill>
                <a:srgbClr val="D97706"/>
              </a:solidFill>
              <a:prstDash val="dash"/>
            </a:ln>
          </spPr>
          <marker>
            <symbol val="none"/>
            <spPr>
              <a:ln xmlns:a="http://schemas.openxmlformats.org/drawingml/2006/main">
                <a:prstDash val="solid"/>
              </a:ln>
            </spPr>
          </marker>
          <xVal>
            <numRef>
              <f>'401(k)'!$N$33:$N$102</f>
            </numRef>
          </xVal>
          <yVal>
            <numRef>
              <f>'401(k)'!$R$33:$R$102</f>
            </numRef>
          </yVal>
          <smooth val="0"/>
        </ser>
        <axId val="10"/>
        <axId val="20"/>
      </scatterChart>
      <valAx>
        <axId val="10"/>
        <scaling>
          <orientation val="minMax"/>
        </scaling>
        <delete val="0"/>
        <axPos val="l"/>
        <majorGridlines/>
        <title>
          <tx>
            <rich>
              <a:bodyPr xmlns:a="http://schemas.openxmlformats.org/drawingml/2006/main"/>
              <a:p xmlns:a="http://schemas.openxmlformats.org/drawingml/2006/main">
                <a:pPr>
                  <a:defRPr/>
                </a:pPr>
                <a:r>
                  <a:t>Age</a:t>
                </a:r>
              </a:p>
            </rich>
          </tx>
        </title>
        <numFmt formatCode="0" sourceLinked="0"/>
        <majorTickMark val="none"/>
        <minorTickMark val="none"/>
        <crossAx val="20"/>
      </valAx>
      <valAx>
        <axId val="20"/>
        <scaling>
          <orientation val="minMax"/>
        </scaling>
        <delete val="0"/>
        <axPos val="l"/>
        <numFmt formatCode="$#,##0" sourceLinked="0"/>
        <majorTickMark val="none"/>
        <minorTickMark val="none"/>
        <crossAx val="10"/>
      </valAx>
    </plotArea>
    <legend>
      <legendPos val="b"/>
    </legend>
    <plotVisOnly val="0"/>
    <dispBlanksAs val="gap"/>
  </chart>
</chartSpace>
</file>

<file path=xl/charts/chart8.xml><?xml version="1.0" encoding="utf-8"?>
<chartSpace xmlns="http://schemas.openxmlformats.org/drawingml/2006/chart">
  <style val="2"/>
  <chart>
    <plotArea>
      <scatterChart>
        <ser>
          <idx val="0"/>
          <order val="0"/>
          <tx>
            <v>Savings left</v>
          </tx>
          <spPr>
            <a:ln xmlns:a="http://schemas.openxmlformats.org/drawingml/2006/main" w="32000">
              <a:solidFill>
                <a:srgbClr val="177A5A"/>
              </a:solidFill>
              <a:prstDash val="solid"/>
            </a:ln>
          </spPr>
          <marker>
            <symbol val="none"/>
            <spPr>
              <a:ln xmlns:a="http://schemas.openxmlformats.org/drawingml/2006/main">
                <a:prstDash val="solid"/>
              </a:ln>
            </spPr>
          </marker>
          <xVal>
            <numRef>
              <f>'Retirement'!$L$23:$L$82</f>
            </numRef>
          </xVal>
          <yVal>
            <numRef>
              <f>'Retirement'!$M$23:$M$82</f>
            </numRef>
          </yVal>
          <smooth val="0"/>
        </ser>
        <axId val="10"/>
        <axId val="20"/>
      </scatterChart>
      <valAx>
        <axId val="10"/>
        <scaling>
          <orientation val="minMax"/>
        </scaling>
        <delete val="0"/>
        <axPos val="l"/>
        <majorGridlines/>
        <title>
          <tx>
            <rich>
              <a:bodyPr xmlns:a="http://schemas.openxmlformats.org/drawingml/2006/main"/>
              <a:p xmlns:a="http://schemas.openxmlformats.org/drawingml/2006/main">
                <a:pPr>
                  <a:defRPr/>
                </a:pPr>
                <a:r>
                  <a:t>Age</a:t>
                </a:r>
              </a:p>
            </rich>
          </tx>
        </title>
        <numFmt formatCode="0" sourceLinked="0"/>
        <majorTickMark val="none"/>
        <minorTickMark val="none"/>
        <crossAx val="20"/>
      </valAx>
      <valAx>
        <axId val="20"/>
        <scaling>
          <orientation val="minMax"/>
        </scaling>
        <delete val="0"/>
        <axPos val="l"/>
        <numFmt formatCode="$#,##0" sourceLinked="0"/>
        <majorTickMark val="none"/>
        <minorTickMark val="none"/>
        <crossAx val="10"/>
      </valAx>
    </plotArea>
    <plotVisOnly val="0"/>
    <dispBlanksAs val="gap"/>
  </chart>
</chartSpace>
</file>

<file path=xl/charts/chart9.xml><?xml version="1.0" encoding="utf-8"?>
<chartSpace xmlns="http://schemas.openxmlformats.org/drawingml/2006/chart">
  <style val="2"/>
  <chart>
    <plotArea>
      <scatterChart>
        <ser>
          <idx val="0"/>
          <order val="0"/>
          <tx>
            <v>Balance with extra payments</v>
          </tx>
          <spPr>
            <a:ln xmlns:a="http://schemas.openxmlformats.org/drawingml/2006/main" w="32000">
              <a:solidFill>
                <a:srgbClr val="177A5A"/>
              </a:solidFill>
              <a:prstDash val="solid"/>
            </a:ln>
          </spPr>
          <marker>
            <symbol val="none"/>
            <spPr>
              <a:ln xmlns:a="http://schemas.openxmlformats.org/drawingml/2006/main">
                <a:prstDash val="solid"/>
              </a:ln>
            </spPr>
          </marker>
          <xVal>
            <numRef>
              <f>'Amortization'!$U$6:$U$485</f>
            </numRef>
          </xVal>
          <yVal>
            <numRef>
              <f>'Amortization'!$V$6:$V$485</f>
            </numRef>
          </yVal>
          <smooth val="0"/>
        </ser>
        <ser>
          <idx val="1"/>
          <order val="1"/>
          <tx>
            <v>Balance with no extra payments</v>
          </tx>
          <spPr>
            <a:ln xmlns:a="http://schemas.openxmlformats.org/drawingml/2006/main">
              <a:solidFill>
                <a:srgbClr val="9CA3AF"/>
              </a:solidFill>
              <a:prstDash val="dash"/>
            </a:ln>
          </spPr>
          <marker>
            <symbol val="none"/>
            <spPr>
              <a:ln xmlns:a="http://schemas.openxmlformats.org/drawingml/2006/main">
                <a:prstDash val="solid"/>
              </a:ln>
            </spPr>
          </marker>
          <xVal>
            <numRef>
              <f>'Amortization'!$U$6:$U$485</f>
            </numRef>
          </xVal>
          <yVal>
            <numRef>
              <f>'Amortization'!$W$6:$W$485</f>
            </numRef>
          </yVal>
          <smooth val="0"/>
        </ser>
        <axId val="10"/>
        <axId val="20"/>
      </scatterChart>
      <valAx>
        <axId val="10"/>
        <scaling>
          <orientation val="minMax"/>
        </scaling>
        <delete val="0"/>
        <axPos val="l"/>
        <majorGridlines/>
        <numFmt formatCode="yyyy" sourceLinked="0"/>
        <majorTickMark val="none"/>
        <minorTickMark val="none"/>
        <crossAx val="20"/>
      </valAx>
      <valAx>
        <axId val="20"/>
        <scaling>
          <orientation val="minMax"/>
        </scaling>
        <delete val="0"/>
        <axPos val="l"/>
        <numFmt formatCode="$#,##0" sourceLinked="0"/>
        <majorTickMark val="none"/>
        <minorTickMark val="none"/>
        <crossAx val="10"/>
      </valAx>
    </plotArea>
    <legend>
      <legendPos val="b"/>
    </legend>
    <plotVisOnly val="0"/>
    <dispBlanksAs val="gap"/>
  </chart>
</chartSpace>
</file>

<file path=xl/charts/chart10.xml><?xml version="1.0" encoding="utf-8"?>
<chartSpace xmlns="http://schemas.openxmlformats.org/drawingml/2006/chart">
  <style val="2"/>
  <chart>
    <plotArea>
      <barChart>
        <barDir val="col"/>
        <grouping val="stacked"/>
        <ser>
          <idx val="0"/>
          <order val="0"/>
          <tx>
            <v>Principal</v>
          </tx>
          <spPr>
            <a:solidFill xmlns:a="http://schemas.openxmlformats.org/drawingml/2006/main">
              <a:srgbClr val="177A5A"/>
            </a:solidFill>
            <a:ln xmlns:a="http://schemas.openxmlformats.org/drawingml/2006/main">
              <a:solidFill>
                <a:srgbClr val="177A5A"/>
              </a:solidFill>
              <a:prstDash val="solid"/>
            </a:ln>
          </spPr>
          <cat>
            <numRef>
              <f>'Mortgage'!$B$46:$B$85</f>
            </numRef>
          </cat>
          <val>
            <numRef>
              <f>'Mortgage'!$C$46:$C$85</f>
            </numRef>
          </val>
        </ser>
        <ser>
          <idx val="1"/>
          <order val="1"/>
          <tx>
            <v>Extra Principal</v>
          </tx>
          <spPr>
            <a:solidFill xmlns:a="http://schemas.openxmlformats.org/drawingml/2006/main">
              <a:srgbClr val="8FD3B6"/>
            </a:solidFill>
            <a:ln xmlns:a="http://schemas.openxmlformats.org/drawingml/2006/main">
              <a:solidFill>
                <a:srgbClr val="9CA3AF"/>
              </a:solidFill>
              <a:prstDash val="solid"/>
            </a:ln>
          </spPr>
          <cat>
            <numRef>
              <f>'Mortgage'!$B$46:$B$85</f>
            </numRef>
          </cat>
          <val>
            <numRef>
              <f>'Mortgage'!$D$46:$D$85</f>
            </numRef>
          </val>
        </ser>
        <ser>
          <idx val="2"/>
          <order val="2"/>
          <tx>
            <v>Interest</v>
          </tx>
          <spPr>
            <a:solidFill xmlns:a="http://schemas.openxmlformats.org/drawingml/2006/main">
              <a:srgbClr val="D97706"/>
            </a:solidFill>
            <a:ln xmlns:a="http://schemas.openxmlformats.org/drawingml/2006/main">
              <a:solidFill>
                <a:srgbClr val="3B6EA8"/>
              </a:solidFill>
              <a:prstDash val="solid"/>
            </a:ln>
          </spPr>
          <cat>
            <numRef>
              <f>'Mortgage'!$B$46:$B$85</f>
            </numRef>
          </cat>
          <val>
            <numRef>
              <f>'Mortgage'!$E$46:$E$85</f>
            </numRef>
          </val>
        </ser>
        <gapWidth val="40"/>
        <overlap val="100"/>
        <axId val="10"/>
        <axId val="100"/>
      </barChart>
      <catAx>
        <axId val="10"/>
        <scaling>
          <orientation val="minMax"/>
        </scaling>
        <delete val="0"/>
        <axPos val="l"/>
        <numFmt formatCode="yyyy" sourceLinked="0"/>
        <majorTickMark val="none"/>
        <minorTickMark val="none"/>
        <crossAx val="100"/>
        <lblOffset val="100"/>
      </catAx>
      <valAx>
        <axId val="100"/>
        <scaling>
          <orientation val="minMax"/>
        </scaling>
        <delete val="0"/>
        <axPos val="l"/>
        <numFmt formatCode="$#,##0" sourceLinked="0"/>
        <majorTickMark val="none"/>
        <minorTickMark val="none"/>
        <crossAx val="10"/>
      </valAx>
    </plotArea>
    <legend>
      <legendPos val="b"/>
    </legend>
    <plotVisOnly val="0"/>
    <dispBlanksAs val="gap"/>
  </chart>
</chartSpace>
</file>

<file path=xl/comments/comment1.xml><?xml version="1.0" encoding="utf-8"?>
<comments xmlns="http://schemas.openxmlformats.org/spreadsheetml/2006/main">
  <authors>
    <author>ArumSoft</author>
  </authors>
  <commentList>
    <comment ref="B26" authorId="0" shapeId="0">
      <text>
        <t>The first row (12 months before the report month) feeds the averages only. The chart shows the last 12 months.</t>
      </text>
    </comment>
  </commentList>
</comments>
</file>

<file path=xl/comments/comment2.xml><?xml version="1.0" encoding="utf-8"?>
<comments xmlns="http://schemas.openxmlformats.org/spreadsheetml/2006/main">
  <authors>
    <author>ArumSoft</author>
  </authors>
  <commentList>
    <comment ref="C17" authorId="0" shapeId="0">
      <text>
        <t>The dropdowns list the columns found in the file you chose. You can also type a column number (3) or letter (C).</t>
      </text>
    </comment>
  </commentList>
</comments>
</file>

<file path=xl/comments/comment3.xml><?xml version="1.0" encoding="utf-8"?>
<comments xmlns="http://schemas.openxmlformats.org/spreadsheetml/2006/main">
  <authors>
    <author>ArumSoft</author>
  </authors>
  <commentList>
    <comment ref="D5" authorId="0" shapeId="0">
      <text>
        <t>Change a category with the dropdown. To fix the same merchant every time, add a rule on the Categories tab and press Re-apply Rules.</t>
      </text>
    </comment>
    <comment ref="P5" authorId="0" shapeId="0">
      <text>
        <t>Hidden helper used to skip duplicates when you import the same file twice. Don't edit.</t>
      </text>
    </comment>
  </commentList>
</comments>
</file>

<file path=xl/comments/comment4.xml><?xml version="1.0" encoding="utf-8"?>
<comments xmlns="http://schemas.openxmlformats.org/spreadsheetml/2006/main">
  <authors>
    <author>ArumSoft</author>
  </authors>
  <commentList>
    <comment ref="H5" authorId="0" shapeId="0">
      <text>
        <t>Balance on the opening date, before the first imported transaction. Owed amounts are negative (a $1,200 card balance is -1200).</t>
      </text>
    </comment>
    <comment ref="K5" authorId="0" shapeId="0">
      <text>
        <t>For accounts you don't import transactions for (401(k), IRA, loans, home value), type the latest statement balance and its date. Transactions after that date are added on top.</t>
      </text>
    </comment>
  </commentList>
</comments>
</file>

<file path=xl/comments/comment5.xml><?xml version="1.0" encoding="utf-8"?>
<comments xmlns="http://schemas.openxmlformats.org/spreadsheetml/2006/main">
  <authors>
    <author>ArumSoft</author>
  </authors>
  <commentList>
    <comment ref="W5" authorId="0" shapeId="0">
      <text>
        <t>Column names of the file this profile was saved from. When you choose a file with the same columns, the Import tab picks this profile automatically.</t>
      </text>
    </comment>
  </commentList>
</comments>
</file>

<file path=xl/comments/comment6.xml><?xml version="1.0" encoding="utf-8"?>
<comments xmlns="http://schemas.openxmlformats.org/spreadsheetml/2006/main">
  <authors>
    <author>ArumSoft</author>
  </authors>
  <commentList>
    <comment ref="C5" authorId="0" shapeId="0">
      <text>
        <t>Money on top of the minimum payments. When a debt is paid off, its minimum rolls into the next one.</t>
      </text>
    </comment>
  </commentList>
</comments>
</file>

<file path=xl/comments/comment7.xml><?xml version="1.0" encoding="utf-8"?>
<comments xmlns="http://schemas.openxmlformats.org/spreadsheetml/2006/main">
  <authors>
    <author>ArumSoft</author>
  </authors>
  <commentList>
    <comment ref="B6" authorId="0" shapeId="0">
      <text>
        <t>12-month average of your Needs categories (Budget tab). Accounts marked Emergency Fund = Yes on the Accounts tab count as saved.</t>
      </text>
    </comment>
  </commentList>
</comments>
</file>

<file path=xl/comments/comment8.xml><?xml version="1.0" encoding="utf-8"?>
<comments xmlns="http://schemas.openxmlformats.org/spreadsheetml/2006/main">
  <authors>
    <author>ArumSoft</author>
  </authors>
  <commentList>
    <comment ref="B7" authorId="0" shapeId="0">
      <text>
        <t>Tip: keep this equal to the 401(k) statement balance on the Accounts tab.</t>
      </text>
    </comment>
    <comment ref="B11" authorId="0" shapeId="0">
      <text>
        <t>Example: 50% match on up to 6% of salary means the employer adds 3% of salary when you put in 6% or more.</t>
      </text>
    </comment>
    <comment ref="H15" authorId="0" shapeId="0">
      <text>
        <t>CAGR is the steady yearly return that matches your history's overall growth. It is lower than the simple average when returns swing. With no history entered, 6% is used.</t>
      </text>
    </comment>
    <comment ref="B17" authorId="0" shapeId="0">
      <text>
        <t>IRS limits for 2026: $24,500 employee deferral, $8,000 catch-up at age 50+, $11,250 catch-up at ages 60-63 (IRS Notice 2025-67, Nov 2025). Update each year.</t>
      </text>
    </comment>
  </commentList>
</comments>
</file>

<file path=xl/comments/comment9.xml><?xml version="1.0" encoding="utf-8"?>
<comments xmlns="http://schemas.openxmlformats.org/spreadsheetml/2006/main">
  <authors>
    <author>ArumSoft</author>
  </authors>
  <commentList>
    <comment ref="B8" authorId="0" shapeId="0">
      <text>
        <t>A common starting point is 70-80% of your current take-home spending.</t>
      </text>
    </comment>
    <comment ref="B12" authorId="0" shapeId="0">
      <text>
        <t>Get your estimate at ssa.gov/myaccount (my Social Security). Use the amount for the age you plan to claim.</t>
      </text>
    </comment>
    <comment ref="E13" authorId="0" shapeId="0">
      <text>
        <t>The amount that, invested at the retirement return, pays every year's withdrawal until the plan-until age. It grows spending with inflation and nets out Social Security and pension.</t>
      </text>
    </comment>
    <comment ref="E14" authorId="0" shapeId="0">
      <text>
        <t>The 4% guideline: savings of 25 times the first year's withdrawal have historically lasted about 30 years.</t>
      </text>
    </comment>
  </commentList>
</comments>
</file>

<file path=xl/comments/comment10.xml><?xml version="1.0" encoding="utf-8"?>
<comments xmlns="http://schemas.openxmlformats.org/spreadsheetml/2006/main">
  <authors>
    <author>ArumSoft</author>
  </authors>
  <commentList>
    <comment ref="B13" authorId="0" shapeId="0">
      <text>
        <t>Private mortgage insurance applies when the down payment is under 20%. Typical cost: 0.3% to 1.5% of the loan per year.</t>
      </text>
    </comment>
    <comment ref="B14" authorId="0" shapeId="0">
      <text>
        <t>Lenders must drop PMI automatically at 78% of the original home value; you can usually ask at 80%.</t>
      </text>
    </comment>
    <comment ref="H27" authorId="0" shapeId="0">
      <text>
        <t>Lenders often look for housing costs under 28% of gross income and all debts under 36% (up to 43% for many loans).</t>
      </text>
    </comment>
    <comment ref="H40" authorId="0" shapeId="0">
      <text>
        <t>Compares the current loan without extra payments to a new loan for the remaining balance. A longer new term can lower the payment but raise total interest.</t>
      </text>
    </comment>
  </commentList>
</comments>
</file>

<file path=xl/drawings/_rels/drawing1.xml.rels><Relationships xmlns="http://schemas.openxmlformats.org/package/2006/relationships"><Relationship Type="http://schemas.openxmlformats.org/officeDocument/2006/relationships/chart" Target="/xl/charts/chart1.xml" Id="rId1"/><Relationship Type="http://schemas.openxmlformats.org/officeDocument/2006/relationships/chart" Target="/xl/charts/chart2.xml" Id="rId2"/><Relationship Type="http://schemas.openxmlformats.org/officeDocument/2006/relationships/chart" Target="/xl/charts/chart3.xml" Id="rId3"/></Relationships>
</file>

<file path=xl/drawings/_rels/drawing2.xml.rels><Relationships xmlns="http://schemas.openxmlformats.org/package/2006/relationships"><Relationship Type="http://schemas.openxmlformats.org/officeDocument/2006/relationships/chart" Target="/xl/charts/chart4.xml" Id="rId1"/></Relationships>
</file>

<file path=xl/drawings/_rels/drawing3.xml.rels><Relationships xmlns="http://schemas.openxmlformats.org/package/2006/relationships"><Relationship Type="http://schemas.openxmlformats.org/officeDocument/2006/relationships/chart" Target="/xl/charts/chart5.xml" Id="rId1"/></Relationships>
</file>

<file path=xl/drawings/_rels/drawing4.xml.rels><Relationships xmlns="http://schemas.openxmlformats.org/package/2006/relationships"><Relationship Type="http://schemas.openxmlformats.org/officeDocument/2006/relationships/chart" Target="/xl/charts/chart6.xml" Id="rId1"/></Relationships>
</file>

<file path=xl/drawings/_rels/drawing5.xml.rels><Relationships xmlns="http://schemas.openxmlformats.org/package/2006/relationships"><Relationship Type="http://schemas.openxmlformats.org/officeDocument/2006/relationships/chart" Target="/xl/charts/chart7.xml" Id="rId1"/></Relationships>
</file>

<file path=xl/drawings/_rels/drawing6.xml.rels><Relationships xmlns="http://schemas.openxmlformats.org/package/2006/relationships"><Relationship Type="http://schemas.openxmlformats.org/officeDocument/2006/relationships/chart" Target="/xl/charts/chart8.xml" Id="rId1"/></Relationships>
</file>

<file path=xl/drawings/_rels/drawing7.xml.rels><Relationships xmlns="http://schemas.openxmlformats.org/package/2006/relationships"><Relationship Type="http://schemas.openxmlformats.org/officeDocument/2006/relationships/chart" Target="/xl/charts/chart9.xml" Id="rId1"/><Relationship Type="http://schemas.openxmlformats.org/officeDocument/2006/relationships/chart" Target="/xl/charts/chart10.xml" Id="rId2"/></Relationships>
</file>

<file path=xl/drawings/drawing1.xml><?xml version="1.0" encoding="utf-8"?>
<wsDr xmlns="http://schemas.openxmlformats.org/drawingml/2006/spreadsheetDrawing">
  <oneCellAnchor>
    <from>
      <col>6</col>
      <colOff>0</colOff>
      <row>24</row>
      <rowOff>0</rowOff>
    </from>
    <ext cx="5580000" cy="2664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6</col>
      <colOff>0</colOff>
      <row>40</row>
      <rowOff>0</rowOff>
    </from>
    <ext cx="5580000" cy="252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oneCellAnchor>
    <from>
      <col>6</col>
      <colOff>0</colOff>
      <row>65</row>
      <rowOff>0</rowOff>
    </from>
    <ext cx="5580000" cy="2376000"/>
    <graphicFrame>
      <nvGraphicFramePr>
        <cNvPr id="3" name="Chart 3"/>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3"/>
        </a:graphicData>
      </a:graphic>
    </graphicFrame>
    <clientData/>
  </oneCellAnchor>
  <oneCellAnchor>
    <from>
      <col>10</col>
      <colOff>38100</colOff>
      <row>3</row>
      <rowOff>28575</rowOff>
    </from>
    <ext cx="1524000" cy="247650"/>
    <sp xmlns:a="http://schemas.openxmlformats.org/drawingml/2006/main" macro="[0]!GoImport" textlink="">
      <nvSpPr>
        <cNvPr id="1004" name="btnGoImport1004" descr="Button: Import transactions"/>
        <cNvSpPr/>
      </nvSpPr>
      <spPr>
        <a:xfrm>
          <a:off x="0" y="0"/>
          <a:ext cx="1524000" cy="24765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Import transactions</a:t>
          </a:r>
        </a:p>
      </txBody>
    </sp>
    <clientData fPrintsWithSheet="0"/>
  </oneCellAnchor>
</wsDr>
</file>

<file path=xl/drawings/drawing2.xml><?xml version="1.0" encoding="utf-8"?>
<wsDr xmlns="http://schemas.openxmlformats.org/drawingml/2006/spreadsheetDrawing">
  <oneCellAnchor>
    <from>
      <col>12</col>
      <colOff>0</colOff>
      <row>11</row>
      <rowOff>0</rowOff>
    </from>
    <ext cx="3960000" cy="234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drawings/drawing3.xml><?xml version="1.0" encoding="utf-8"?>
<wsDr xmlns="http://schemas.openxmlformats.org/drawingml/2006/spreadsheetDrawing">
  <oneCellAnchor>
    <from>
      <col>11</col>
      <colOff>0</colOff>
      <row>4</row>
      <rowOff>0</rowOff>
    </from>
    <ext cx="540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0</col>
      <colOff>38100</colOff>
      <row>22</row>
      <rowOff>57150</rowOff>
    </from>
    <ext cx="1809750" cy="304800"/>
    <sp xmlns:a="http://schemas.openxmlformats.org/drawingml/2006/main" macro="[0]!RecordNetWorthSnapshot" textlink="">
      <nvSpPr>
        <cNvPr id="1015" name="btnRecordNetWorthSnapshot1015" descr="Button: Record this month"/>
        <cNvSpPr/>
      </nvSpPr>
      <spPr>
        <a:xfrm>
          <a:off x="0" y="0"/>
          <a:ext cx="1809750" cy="30480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Record this month</a:t>
          </a:r>
        </a:p>
      </txBody>
    </sp>
    <clientData fPrintsWithSheet="0"/>
  </oneCellAnchor>
</wsDr>
</file>

<file path=xl/drawings/drawing4.xml><?xml version="1.0" encoding="utf-8"?>
<wsDr xmlns="http://schemas.openxmlformats.org/drawingml/2006/spreadsheetDrawing">
  <oneCellAnchor>
    <from>
      <col>8</col>
      <colOff>0</colOff>
      <row>22</row>
      <rowOff>0</rowOff>
    </from>
    <ext cx="5760000" cy="270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drawings/drawing5.xml><?xml version="1.0" encoding="utf-8"?>
<wsDr xmlns="http://schemas.openxmlformats.org/drawingml/2006/spreadsheetDrawing">
  <oneCellAnchor>
    <from>
      <col>9</col>
      <colOff>0</colOff>
      <row>3</row>
      <rowOff>0</rowOff>
    </from>
    <ext cx="6120000" cy="324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drawings/drawing6.xml><?xml version="1.0" encoding="utf-8"?>
<wsDr xmlns="http://schemas.openxmlformats.org/drawingml/2006/spreadsheetDrawing">
  <oneCellAnchor>
    <from>
      <col>6</col>
      <colOff>0</colOff>
      <row>3</row>
      <rowOff>0</rowOff>
    </from>
    <ext cx="540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wsDr>
</file>

<file path=xl/drawings/drawing7.xml><?xml version="1.0" encoding="utf-8"?>
<wsDr xmlns="http://schemas.openxmlformats.org/drawingml/2006/spreadsheetDrawing">
  <oneCellAnchor>
    <from>
      <col>10</col>
      <colOff>0</colOff>
      <row>3</row>
      <rowOff>0</rowOff>
    </from>
    <ext cx="5760000" cy="2880000"/>
    <graphicFrame>
      <nvGraphicFramePr>
        <cNvPr id="1" name="Chart 1"/>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1"/>
        </a:graphicData>
      </a:graphic>
    </graphicFrame>
    <clientData/>
  </oneCellAnchor>
  <oneCellAnchor>
    <from>
      <col>10</col>
      <colOff>0</colOff>
      <row>21</row>
      <rowOff>0</rowOff>
    </from>
    <ext cx="5760000" cy="2880000"/>
    <graphicFrame>
      <nvGraphicFramePr>
        <cNvPr id="2" name="Chart 2"/>
        <cNvGraphicFramePr/>
      </nvGraphicFramePr>
      <xfrm/>
      <a:graphic xmlns:a="http://schemas.openxmlformats.org/drawingml/2006/main">
        <a:graphicData uri="http://schemas.openxmlformats.org/drawingml/2006/chart">
          <c:chart xmlns:c="http://schemas.openxmlformats.org/drawingml/2006/chart" xmlns:r="http://schemas.openxmlformats.org/officeDocument/2006/relationships" r:id="rId2"/>
        </a:graphicData>
      </a:graphic>
    </graphicFrame>
    <clientData/>
  </oneCellAnchor>
</wsDr>
</file>

<file path=xl/drawings/drawing8.xml><?xml version="1.0" encoding="utf-8"?>
<wsDr xmlns="http://schemas.openxmlformats.org/drawingml/2006/spreadsheetDrawing">
  <oneCellAnchor>
    <from>
      <col>5</col>
      <colOff>57150</colOff>
      <row>4</row>
      <rowOff>57150</rowOff>
    </from>
    <ext cx="2000250" cy="304800"/>
    <sp xmlns:a="http://schemas.openxmlformats.org/drawingml/2006/main" macro="[0]!GoImport" textlink="">
      <nvSpPr>
        <cNvPr id="1001" name="btnGoImport1001" descr="Button: Import transactions"/>
        <cNvSpPr/>
      </nvSpPr>
      <spPr>
        <a:xfrm>
          <a:off x="0" y="0"/>
          <a:ext cx="2000250" cy="30480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Import transactions</a:t>
          </a:r>
        </a:p>
      </txBody>
    </sp>
    <clientData fPrintsWithSheet="0"/>
  </oneCellAnchor>
  <oneCellAnchor>
    <from>
      <col>5</col>
      <colOff>57150</colOff>
      <row>5</row>
      <rowOff>57150</rowOff>
    </from>
    <ext cx="2000250" cy="304800"/>
    <sp xmlns:a="http://schemas.openxmlformats.org/drawingml/2006/main" macro="[0]!GoDashboard" textlink="">
      <nvSpPr>
        <cNvPr id="1002" name="btnGoDashboard1002" descr="Button: Open the Dashboard"/>
        <cNvSpPr/>
      </nvSpPr>
      <spPr>
        <a:xfrm>
          <a:off x="0" y="0"/>
          <a:ext cx="2000250" cy="30480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Open the Dashboard</a:t>
          </a:r>
        </a:p>
      </txBody>
    </sp>
    <clientData fPrintsWithSheet="0"/>
  </oneCellAnchor>
  <oneCellAnchor>
    <from>
      <col>5</col>
      <colOff>57150</colOff>
      <row>6</row>
      <rowOff>57150</rowOff>
    </from>
    <ext cx="2000250" cy="304800"/>
    <sp xmlns:a="http://schemas.openxmlformats.org/drawingml/2006/main" macro="[0]!ClearSampleData" textlink="">
      <nvSpPr>
        <cNvPr id="1003" name="btnClearSampleData1003" descr="Button: Clear sample data"/>
        <cNvSpPr/>
      </nvSpPr>
      <spPr>
        <a:xfrm>
          <a:off x="0" y="0"/>
          <a:ext cx="2000250" cy="304800"/>
        </a:xfrm>
        <a:prstGeom prst="roundRect">
          <a:avLst>
            <a:gd name="adj" fmla="val 18000"/>
          </a:avLst>
        </a:prstGeom>
        <a:solidFill>
          <a:srgbClr val="FFFFFF"/>
        </a:solidFill>
        <a:ln w="12700">
          <a:solidFill>
            <a:srgbClr val="E7A3A3"/>
          </a:solidFill>
        </a:ln>
      </spPr>
      <txBody>
        <a:bodyPr vertOverflow="clip" horzOverflow="clip" wrap="none" lIns="72000" rIns="72000" tIns="0" bIns="0" rtlCol="0" anchor="ctr"/>
        <a:lstStyle/>
        <a:p>
          <a:pPr algn="ctr"/>
          <a:r>
            <a:rPr lang="en-US" sz="1000" b="1">
              <a:solidFill>
                <a:srgbClr val="991B1B"/>
              </a:solidFill>
              <a:latin typeface="Arial"/>
              <a:cs typeface="Arial"/>
            </a:rPr>
            <a:t>Clear sample data</a:t>
          </a:r>
        </a:p>
      </txBody>
    </sp>
    <clientData fPrintsWithSheet="0"/>
  </oneCellAnchor>
</wsDr>
</file>

<file path=xl/drawings/drawing9.xml><?xml version="1.0" encoding="utf-8"?>
<wsDr xmlns="http://schemas.openxmlformats.org/drawingml/2006/spreadsheetDrawing">
  <oneCellAnchor>
    <from>
      <col>9</col>
      <colOff>76200</colOff>
      <row>4</row>
      <rowOff>0</rowOff>
    </from>
    <ext cx="1619250" cy="381000"/>
    <sp xmlns:a="http://schemas.openxmlformats.org/drawingml/2006/main" macro="[0]!ChooseImportFile" textlink="">
      <nvSpPr>
        <cNvPr id="1005" name="btnChooseImportFile1005" descr="Button: Choose File..."/>
        <cNvSpPr/>
      </nvSpPr>
      <spPr>
        <a:xfrm>
          <a:off x="0" y="0"/>
          <a:ext cx="1619250" cy="38100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Choose File...</a:t>
          </a:r>
        </a:p>
      </txBody>
    </sp>
    <clientData fPrintsWithSheet="0"/>
  </oneCellAnchor>
  <oneCellAnchor>
    <from>
      <col>1</col>
      <colOff>0</colOff>
      <row>35</row>
      <rowOff>38100</rowOff>
    </from>
    <ext cx="1143000" cy="304800"/>
    <sp xmlns:a="http://schemas.openxmlformats.org/drawingml/2006/main" macro="[0]!PreviewButton" textlink="">
      <nvSpPr>
        <cNvPr id="1006" name="btnPreviewButton1006" descr="Button: Preview"/>
        <cNvSpPr/>
      </nvSpPr>
      <spPr>
        <a:xfrm>
          <a:off x="0" y="0"/>
          <a:ext cx="1143000" cy="30480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Preview</a:t>
          </a:r>
        </a:p>
      </txBody>
    </sp>
    <clientData fPrintsWithSheet="0"/>
  </oneCellAnchor>
  <oneCellAnchor>
    <from>
      <col>1</col>
      <colOff>1238250</colOff>
      <row>35</row>
      <rowOff>38100</rowOff>
    </from>
    <ext cx="1428750" cy="304800"/>
    <sp xmlns:a="http://schemas.openxmlformats.org/drawingml/2006/main" macro="[0]!RunImport" textlink="">
      <nvSpPr>
        <cNvPr id="1007" name="btnRunImport1007" descr="Button: Import"/>
        <cNvSpPr/>
      </nvSpPr>
      <spPr>
        <a:xfrm>
          <a:off x="0" y="0"/>
          <a:ext cx="1428750" cy="30480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Import</a:t>
          </a:r>
        </a:p>
      </txBody>
    </sp>
    <clientData fPrintsWithSheet="0"/>
  </oneCellAnchor>
  <oneCellAnchor>
    <from>
      <col>2</col>
      <colOff>714375</colOff>
      <row>35</row>
      <rowOff>38100</rowOff>
    </from>
    <ext cx="1238250" cy="304800"/>
    <sp xmlns:a="http://schemas.openxmlformats.org/drawingml/2006/main" macro="[0]!SaveProfile" textlink="">
      <nvSpPr>
        <cNvPr id="1008" name="btnSaveProfile1008" descr="Button: Save Profile"/>
        <cNvSpPr/>
      </nvSpPr>
      <spPr>
        <a:xfrm>
          <a:off x="0" y="0"/>
          <a:ext cx="1238250" cy="30480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Save Profile</a:t>
          </a:r>
        </a:p>
      </txBody>
    </sp>
    <clientData fPrintsWithSheet="0"/>
  </oneCellAnchor>
  <oneCellAnchor>
    <from>
      <col>3</col>
      <colOff>0</colOff>
      <row>35</row>
      <rowOff>38100</rowOff>
    </from>
    <ext cx="1143000" cy="304800"/>
    <sp xmlns:a="http://schemas.openxmlformats.org/drawingml/2006/main" macro="[0]!NewProfile" textlink="">
      <nvSpPr>
        <cNvPr id="1009" name="btnNewProfile1009" descr="Button: New Profile"/>
        <cNvSpPr/>
      </nvSpPr>
      <spPr>
        <a:xfrm>
          <a:off x="0" y="0"/>
          <a:ext cx="1143000" cy="30480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New Profile</a:t>
          </a:r>
        </a:p>
      </txBody>
    </sp>
    <clientData fPrintsWithSheet="0"/>
  </oneCellAnchor>
  <oneCellAnchor>
    <from>
      <col>3</col>
      <colOff>1238250</colOff>
      <row>35</row>
      <rowOff>38100</rowOff>
    </from>
    <ext cx="1238250" cy="304800"/>
    <sp xmlns:a="http://schemas.openxmlformats.org/drawingml/2006/main" macro="[0]!DeleteProfile" textlink="">
      <nvSpPr>
        <cNvPr id="1010" name="btnDeleteProfile1010" descr="Button: Delete Profile"/>
        <cNvSpPr/>
      </nvSpPr>
      <spPr>
        <a:xfrm>
          <a:off x="0" y="0"/>
          <a:ext cx="1238250" cy="30480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Delete Profile</a:t>
          </a:r>
        </a:p>
      </txBody>
    </sp>
    <clientData fPrintsWithSheet="0"/>
  </oneCellAnchor>
  <oneCellAnchor>
    <from>
      <col>5</col>
      <colOff>76200</colOff>
      <row>35</row>
      <rowOff>38100</rowOff>
    </from>
    <ext cx="1428750" cy="304800"/>
    <sp xmlns:a="http://schemas.openxmlformats.org/drawingml/2006/main" macro="[0]!UndoLastImport" textlink="">
      <nvSpPr>
        <cNvPr id="1011" name="btnUndoLastImport1011" descr="Button: Undo Last Import"/>
        <cNvSpPr/>
      </nvSpPr>
      <spPr>
        <a:xfrm>
          <a:off x="0" y="0"/>
          <a:ext cx="1428750" cy="304800"/>
        </a:xfrm>
        <a:prstGeom prst="roundRect">
          <a:avLst>
            <a:gd name="adj" fmla="val 18000"/>
          </a:avLst>
        </a:prstGeom>
        <a:solidFill>
          <a:srgbClr val="FFFFFF"/>
        </a:solidFill>
        <a:ln w="12700">
          <a:solidFill>
            <a:srgbClr val="E7A3A3"/>
          </a:solidFill>
        </a:ln>
      </spPr>
      <txBody>
        <a:bodyPr vertOverflow="clip" horzOverflow="clip" wrap="none" lIns="72000" rIns="72000" tIns="0" bIns="0" rtlCol="0" anchor="ctr"/>
        <a:lstStyle/>
        <a:p>
          <a:pPr algn="ctr"/>
          <a:r>
            <a:rPr lang="en-US" sz="1000" b="1">
              <a:solidFill>
                <a:srgbClr val="991B1B"/>
              </a:solidFill>
              <a:latin typeface="Arial"/>
              <a:cs typeface="Arial"/>
            </a:rPr>
            <a:t>Undo Last Import</a:t>
          </a:r>
        </a:p>
      </txBody>
    </sp>
    <clientData fPrintsWithSheet="0"/>
  </oneCellAnchor>
</wsDr>
</file>

<file path=xl/drawings/drawing10.xml><?xml version="1.0" encoding="utf-8"?>
<wsDr xmlns="http://schemas.openxmlformats.org/drawingml/2006/spreadsheetDrawing">
  <oneCellAnchor>
    <from>
      <col>9</col>
      <colOff>38100</colOff>
      <row>2</row>
      <rowOff>19050</rowOff>
    </from>
    <ext cx="1333500" cy="247650"/>
    <sp xmlns:a="http://schemas.openxmlformats.org/drawingml/2006/main" macro="[0]!ReapplyRules" textlink="">
      <nvSpPr>
        <cNvPr id="1012" name="btnReapplyRules1012" descr="Button: Re-apply rules"/>
        <cNvSpPr/>
      </nvSpPr>
      <spPr>
        <a:xfrm>
          <a:off x="0" y="0"/>
          <a:ext cx="1333500" cy="24765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Re-apply rules</a:t>
          </a:r>
        </a:p>
      </txBody>
    </sp>
    <clientData fPrintsWithSheet="0"/>
  </oneCellAnchor>
  <oneCellAnchor>
    <from>
      <col>9</col>
      <colOff>1466850</colOff>
      <row>2</row>
      <rowOff>19050</rowOff>
    </from>
    <ext cx="1524000" cy="247650"/>
    <sp xmlns:a="http://schemas.openxmlformats.org/drawingml/2006/main" macro="[0]!GoImport" textlink="">
      <nvSpPr>
        <cNvPr id="1013" name="btnGoImport1013" descr="Button: Import transactions"/>
        <cNvSpPr/>
      </nvSpPr>
      <spPr>
        <a:xfrm>
          <a:off x="0" y="0"/>
          <a:ext cx="1524000" cy="247650"/>
        </a:xfrm>
        <a:prstGeom prst="roundRect">
          <a:avLst>
            <a:gd name="adj" fmla="val 18000"/>
          </a:avLst>
        </a:prstGeom>
        <a:solidFill>
          <a:srgbClr val="177A5A"/>
        </a:solidFill>
        <a:ln>
          <a:noFill/>
        </a:ln>
      </spPr>
      <txBody>
        <a:bodyPr vertOverflow="clip" horzOverflow="clip" wrap="none" lIns="72000" rIns="72000" tIns="0" bIns="0" rtlCol="0" anchor="ctr"/>
        <a:lstStyle/>
        <a:p>
          <a:pPr algn="ctr"/>
          <a:r>
            <a:rPr lang="en-US" sz="1000" b="1">
              <a:solidFill>
                <a:srgbClr val="FFFFFF"/>
              </a:solidFill>
              <a:latin typeface="Arial"/>
              <a:cs typeface="Arial"/>
            </a:rPr>
            <a:t>Import transactions</a:t>
          </a:r>
        </a:p>
      </txBody>
    </sp>
    <clientData fPrintsWithSheet="0"/>
  </oneCellAnchor>
</wsDr>
</file>

<file path=xl/drawings/drawing11.xml><?xml version="1.0" encoding="utf-8"?>
<wsDr xmlns="http://schemas.openxmlformats.org/drawingml/2006/spreadsheetDrawing">
  <oneCellAnchor>
    <from>
      <col>0</col>
      <colOff>38100</colOff>
      <row>2</row>
      <rowOff>19050</rowOff>
    </from>
    <ext cx="2190750" cy="247650"/>
    <sp xmlns:a="http://schemas.openxmlformats.org/drawingml/2006/main" macro="[0]!ReapplyRules" textlink="">
      <nvSpPr>
        <cNvPr id="1014" name="btnReapplyRules1014" descr="Button: Re-apply rules to transactions"/>
        <cNvSpPr/>
      </nvSpPr>
      <spPr>
        <a:xfrm>
          <a:off x="0" y="0"/>
          <a:ext cx="2190750" cy="247650"/>
        </a:xfrm>
        <a:prstGeom prst="roundRect">
          <a:avLst>
            <a:gd name="adj" fmla="val 18000"/>
          </a:avLst>
        </a:prstGeom>
        <a:solidFill>
          <a:srgbClr val="FFFFFF"/>
        </a:solidFill>
        <a:ln w="12700">
          <a:solidFill>
            <a:srgbClr val="177A5A"/>
          </a:solidFill>
        </a:ln>
      </spPr>
      <txBody>
        <a:bodyPr vertOverflow="clip" horzOverflow="clip" wrap="none" lIns="72000" rIns="72000" tIns="0" bIns="0" rtlCol="0" anchor="ctr"/>
        <a:lstStyle/>
        <a:p>
          <a:pPr algn="ctr"/>
          <a:r>
            <a:rPr lang="en-US" sz="1000" b="1">
              <a:solidFill>
                <a:srgbClr val="0F4C3A"/>
              </a:solidFill>
              <a:latin typeface="Arial"/>
              <a:cs typeface="Arial"/>
            </a:rPr>
            <a:t>Re-apply rules to transactions</a:t>
          </a:r>
        </a:p>
      </txBody>
    </sp>
    <clientData fPrintsWithSheet="0"/>
  </oneCellAnchor>
</wsDr>
</file>

<file path=xl/tables/table1.xml><?xml version="1.0" encoding="utf-8"?>
<table xmlns="http://schemas.openxmlformats.org/spreadsheetml/2006/main" id="1" name="tblTxn" displayName="tblTxn" ref="A5:Q613" headerRowCount="1">
  <autoFilter ref="A5:Q613"/>
  <tableColumns count="17">
    <tableColumn id="1" name="Date"/>
    <tableColumn id="2" name="Account"/>
    <tableColumn id="3" name="Description"/>
    <tableColumn id="4" name="Category"/>
    <tableColumn id="5" name="Amount"/>
    <tableColumn id="6" name="Type"/>
    <tableColumn id="7" name="Month"/>
    <tableColumn id="8" name="Memo"/>
    <tableColumn id="9" name="Check No"/>
    <tableColumn id="10" name="Original Description"/>
    <tableColumn id="11" name="Institution"/>
    <tableColumn id="12" name="Account Type"/>
    <tableColumn id="13" name="Source File"/>
    <tableColumn id="14" name="Imported On"/>
    <tableColumn id="15" name="Transaction ID"/>
    <tableColumn id="16" name="Match Key"/>
    <tableColumn id="17" name="Dashboard Key"/>
  </tableColumns>
  <tableStyleInfo name="TableStyleLight1" showRowStripes="0" showColumnStripes="0"/>
</table>
</file>

<file path=xl/tables/table2.xml><?xml version="1.0" encoding="utf-8"?>
<table xmlns="http://schemas.openxmlformats.org/spreadsheetml/2006/main" id="2" name="tblAccounts" displayName="tblAccounts" ref="A5:U105" headerRowCount="1">
  <autoFilter ref="A5:U105"/>
  <tableColumns count="21">
    <tableColumn id="1" name="Account Name"/>
    <tableColumn id="2" name="Institution"/>
    <tableColumn id="3" name="Account Type"/>
    <tableColumn id="4" name="Last 4"/>
    <tableColumn id="5" name="Class"/>
    <tableColumn id="6" name="Net Worth Group"/>
    <tableColumn id="7" name="Emergency Fund?"/>
    <tableColumn id="8" name="Opening Balance"/>
    <tableColumn id="9" name="Opening Balance Date"/>
    <tableColumn id="10" name="Balance from Transactions"/>
    <tableColumn id="11" name="Statement Balance"/>
    <tableColumn id="12" name="Statement Date"/>
    <tableColumn id="13" name="Current Balance"/>
    <tableColumn id="14" name="Credit Limit"/>
    <tableColumn id="15" name="Interest Rate (APR)"/>
    <tableColumn id="16" name="Monthly Payment"/>
    <tableColumn id="17" name="Default Import Profile"/>
    <tableColumn id="18" name="Website"/>
    <tableColumn id="19" name="Last Imported"/>
    <tableColumn id="20" name="Transactions"/>
    <tableColumn id="21" name="Notes"/>
  </tableColumns>
  <tableStyleInfo name="TableStyleLight1" showRowStripes="0" showColumnStripes="0"/>
</table>
</file>

<file path=xl/tables/table3.xml><?xml version="1.0" encoding="utf-8"?>
<table xmlns="http://schemas.openxmlformats.org/spreadsheetml/2006/main" id="3" name="tblProfiles" displayName="tblProfiles" ref="A5:Z55" headerRowCount="1">
  <autoFilter ref="A5:Z55"/>
  <tableColumns count="26">
    <tableColumn id="1" name="Profile Name"/>
    <tableColumn id="2" name="Institution"/>
    <tableColumn id="3" name="Account"/>
    <tableColumn id="4" name="File Type"/>
    <tableColumn id="5" name="Delimiter"/>
    <tableColumn id="6" name="Header Row"/>
    <tableColumn id="7" name="Skip Rows at End"/>
    <tableColumn id="8" name="Date Column"/>
    <tableColumn id="9" name="Date Format"/>
    <tableColumn id="10" name="Description Column"/>
    <tableColumn id="11" name="Amount Mode"/>
    <tableColumn id="12" name="Amount Column"/>
    <tableColumn id="13" name="Debit Column"/>
    <tableColumn id="14" name="Credit Column"/>
    <tableColumn id="15" name="Indicator Column"/>
    <tableColumn id="16" name="Debit Words"/>
    <tableColumn id="17" name="Flip Sign"/>
    <tableColumn id="18" name="Memo Column"/>
    <tableColumn id="19" name="Check Column"/>
    <tableColumn id="20" name="Category Column"/>
    <tableColumn id="21" name="Account Column"/>
    <tableColumn id="22" name="ID Column"/>
    <tableColumn id="23" name="Header Signature"/>
    <tableColumn id="24" name="Times Used"/>
    <tableColumn id="25" name="Last Used"/>
    <tableColumn id="26" name="Notes"/>
  </tableColumns>
  <tableStyleInfo name="TableStyleLight1" showRowStripes="0" showColumnStripes="0"/>
</table>
</file>

<file path=xl/tables/table4.xml><?xml version="1.0" encoding="utf-8"?>
<table xmlns="http://schemas.openxmlformats.org/spreadsheetml/2006/main" id="4" name="tblCategories" displayName="tblCategories" ref="A5:E65" headerRowCount="1">
  <autoFilter ref="A5:E65"/>
  <tableColumns count="5">
    <tableColumn id="1" name="Category"/>
    <tableColumn id="2" name="Group"/>
    <tableColumn id="3" name="Bucket"/>
    <tableColumn id="4" name="Monthly Budget"/>
    <tableColumn id="5" name="Notes"/>
  </tableColumns>
  <tableStyleInfo name="TableStyleLight1" showRowStripes="0" showColumnStripes="0"/>
</table>
</file>

<file path=xl/tables/table5.xml><?xml version="1.0" encoding="utf-8"?>
<table xmlns="http://schemas.openxmlformats.org/spreadsheetml/2006/main" id="5" name="tblRules" displayName="tblRules" ref="H5:N255" headerRowCount="1">
  <autoFilter ref="H5:N255"/>
  <tableColumns count="7">
    <tableColumn id="8" name="Priority"/>
    <tableColumn id="9" name="If Text Contains"/>
    <tableColumn id="10" name="Look In"/>
    <tableColumn id="11" name="Money Direction"/>
    <tableColumn id="12" name="Account"/>
    <tableColumn id="13" name="Set Category"/>
    <tableColumn id="14" name="Rename To"/>
  </tableColumns>
  <tableStyleInfo name="TableStyleLight1" showRowStripes="0" showColumnStripes="0"/>
</table>
</file>

<file path=xl/tables/table6.xml><?xml version="1.0" encoding="utf-8"?>
<table xmlns="http://schemas.openxmlformats.org/spreadsheetml/2006/main" id="6" name="tblNetWorth" displayName="tblNetWorth" ref="E5:J23" headerRowCount="1">
  <autoFilter ref="E5:J23"/>
  <tableColumns count="6">
    <tableColumn id="5" name="Month"/>
    <tableColumn id="6" name="Total Assets"/>
    <tableColumn id="7" name="Total Liabilities"/>
    <tableColumn id="8" name="Net Worth"/>
    <tableColumn id="9" name="Change"/>
    <tableColumn id="10" name="Notes"/>
  </tableColumns>
  <tableStyleInfo name="TableStyleLight1"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Dashboard'!A1" TargetMode="External" Id="rId1"/><Relationship Type="http://schemas.openxmlformats.org/officeDocument/2006/relationships/hyperlink" Target="#'Import'!A1" TargetMode="External" Id="rId2"/><Relationship Type="http://schemas.openxmlformats.org/officeDocument/2006/relationships/hyperlink" Target="#'Transactions'!A1" TargetMode="External" Id="rId3"/><Relationship Type="http://schemas.openxmlformats.org/officeDocument/2006/relationships/hyperlink" Target="#'Accounts'!A1" TargetMode="External" Id="rId4"/><Relationship Type="http://schemas.openxmlformats.org/officeDocument/2006/relationships/hyperlink" Target="#'Import Profiles'!A1" TargetMode="External" Id="rId5"/><Relationship Type="http://schemas.openxmlformats.org/officeDocument/2006/relationships/hyperlink" Target="#'Categories'!A1" TargetMode="External" Id="rId6"/><Relationship Type="http://schemas.openxmlformats.org/officeDocument/2006/relationships/hyperlink" Target="#'Budget'!A1" TargetMode="External" Id="rId7"/><Relationship Type="http://schemas.openxmlformats.org/officeDocument/2006/relationships/hyperlink" Target="#'Net Worth'!A1" TargetMode="External" Id="rId8"/><Relationship Type="http://schemas.openxmlformats.org/officeDocument/2006/relationships/hyperlink" Target="#'Debt Payoff'!A1" TargetMode="External" Id="rId9"/><Relationship Type="http://schemas.openxmlformats.org/officeDocument/2006/relationships/hyperlink" Target="#'Savings Goals'!A1" TargetMode="External" Id="rId10"/><Relationship Type="http://schemas.openxmlformats.org/officeDocument/2006/relationships/hyperlink" Target="#'401(k)'!A1" TargetMode="External" Id="rId11"/><Relationship Type="http://schemas.openxmlformats.org/officeDocument/2006/relationships/hyperlink" Target="#'Retirement'!A1" TargetMode="External" Id="rId12"/><Relationship Type="http://schemas.openxmlformats.org/officeDocument/2006/relationships/hyperlink" Target="#'Mortgage'!A1" TargetMode="External" Id="rId13"/><Relationship Type="http://schemas.openxmlformats.org/officeDocument/2006/relationships/hyperlink" Target="#'Amortization'!A1" TargetMode="External" Id="rId14"/><Relationship Type="http://schemas.openxmlformats.org/officeDocument/2006/relationships/hyperlink" Target="https://arumsoft.com/resources/excel/personal-finance-workbook" TargetMode="External" Id="rId15"/><Relationship Type="http://schemas.openxmlformats.org/officeDocument/2006/relationships/drawing" Target="/xl/drawings/drawing8.xml" Id="rIdBtnDrw"/></Relationships>
</file>

<file path=xl/worksheets/_rels/sheet2.xml.rels><Relationships xmlns="http://schemas.openxmlformats.org/package/2006/relationships"><Relationship Type="http://schemas.openxmlformats.org/officeDocument/2006/relationships/drawing" Target="/xl/drawings/drawing1.xml" Id="rId1"/><Relationship Type="http://schemas.openxmlformats.org/officeDocument/2006/relationships/comments" Target="/xl/comments/comment1.xml" Id="comments"/><Relationship Type="http://schemas.openxmlformats.org/officeDocument/2006/relationships/vmlDrawing" Target="/xl/drawings/commentsDrawing1.vml" Id="anysvml"/></Relationships>
</file>

<file path=xl/worksheets/_rels/sheet3.xml.rels><Relationships xmlns="http://schemas.openxmlformats.org/package/2006/relationships"><Relationship Type="http://schemas.openxmlformats.org/officeDocument/2006/relationships/hyperlink" Target="#'Import Guide'!A1" TargetMode="External" Id="rId1"/><Relationship Type="http://schemas.openxmlformats.org/officeDocument/2006/relationships/comments" Target="/xl/comments/comment2.xml" Id="comments"/><Relationship Type="http://schemas.openxmlformats.org/officeDocument/2006/relationships/vmlDrawing" Target="/xl/drawings/commentsDrawing2.vml" Id="anysvml"/><Relationship Type="http://schemas.openxmlformats.org/officeDocument/2006/relationships/drawing" Target="/xl/drawings/drawing9.xml" Id="rIdBtnDrw"/></Relationships>
</file>

<file path=xl/worksheets/_rels/sheet4.xml.rels><Relationships xmlns="http://schemas.openxmlformats.org/package/2006/relationships"><Relationship Type="http://schemas.openxmlformats.org/officeDocument/2006/relationships/hyperlink" Target="#'Import'!A1" TargetMode="External" Id="rId1"/></Relationships>
</file>

<file path=xl/worksheets/_rels/sheet5.xml.rels><Relationships xmlns="http://schemas.openxmlformats.org/package/2006/relationships"><Relationship Type="http://schemas.openxmlformats.org/officeDocument/2006/relationships/table" Target="/xl/tables/table1.xml" Id="rId1"/><Relationship Type="http://schemas.openxmlformats.org/officeDocument/2006/relationships/comments" Target="/xl/comments/comment3.xml" Id="comments"/><Relationship Type="http://schemas.openxmlformats.org/officeDocument/2006/relationships/vmlDrawing" Target="/xl/drawings/commentsDrawing3.vml" Id="anysvml"/><Relationship Type="http://schemas.openxmlformats.org/officeDocument/2006/relationships/drawing" Target="/xl/drawings/drawing10.xml" Id="rIdBtnDrw"/></Relationships>
</file>

<file path=xl/worksheets/_rels/sheet6.xml.rels><Relationships xmlns="http://schemas.openxmlformats.org/package/2006/relationships"><Relationship Type="http://schemas.openxmlformats.org/officeDocument/2006/relationships/table" Target="/xl/tables/table2.xml" Id="rId1"/><Relationship Type="http://schemas.openxmlformats.org/officeDocument/2006/relationships/comments" Target="/xl/comments/comment4.xml" Id="comments"/><Relationship Type="http://schemas.openxmlformats.org/officeDocument/2006/relationships/vmlDrawing" Target="/xl/drawings/commentsDrawing4.vml" Id="anysvml"/></Relationships>
</file>

<file path=xl/worksheets/_rels/sheet7.xml.rels><Relationships xmlns="http://schemas.openxmlformats.org/package/2006/relationships"><Relationship Type="http://schemas.openxmlformats.org/officeDocument/2006/relationships/table" Target="/xl/tables/table3.xml" Id="rId1"/><Relationship Type="http://schemas.openxmlformats.org/officeDocument/2006/relationships/comments" Target="/xl/comments/comment5.xml" Id="comments"/><Relationship Type="http://schemas.openxmlformats.org/officeDocument/2006/relationships/vmlDrawing" Target="/xl/drawings/commentsDrawing5.vml" Id="anysvml"/></Relationships>
</file>

<file path=xl/worksheets/_rels/sheet8.xml.rels><Relationships xmlns="http://schemas.openxmlformats.org/package/2006/relationships"><Relationship Type="http://schemas.openxmlformats.org/officeDocument/2006/relationships/table" Target="/xl/tables/table4.xml" Id="rId1"/><Relationship Type="http://schemas.openxmlformats.org/officeDocument/2006/relationships/table" Target="/xl/tables/table5.xml" Id="rId2"/><Relationship Type="http://schemas.openxmlformats.org/officeDocument/2006/relationships/drawing" Target="/xl/drawings/drawing11.xml" Id="rIdBtnDrw"/></Relationships>
</file>

<file path=xl/worksheets/_rels/sheet9.xml.rels><Relationships xmlns="http://schemas.openxmlformats.org/package/2006/relationships"><Relationship Type="http://schemas.openxmlformats.org/officeDocument/2006/relationships/drawing" Target="/xl/drawings/drawing2.xml" Id="rId1"/></Relationships>
</file>

<file path=xl/worksheets/_rels/sheet10.xml.rels><Relationships xmlns="http://schemas.openxmlformats.org/package/2006/relationships"><Relationship Type="http://schemas.openxmlformats.org/officeDocument/2006/relationships/drawing" Target="/xl/drawings/drawing3.xml" Id="rId1"/><Relationship Type="http://schemas.openxmlformats.org/officeDocument/2006/relationships/table" Target="/xl/tables/table6.xml" Id="rId2"/></Relationships>
</file>

<file path=xl/worksheets/_rels/sheet11.xml.rels><Relationships xmlns="http://schemas.openxmlformats.org/package/2006/relationships"><Relationship Type="http://schemas.openxmlformats.org/officeDocument/2006/relationships/drawing" Target="/xl/drawings/drawing4.xml" Id="rId1"/><Relationship Type="http://schemas.openxmlformats.org/officeDocument/2006/relationships/comments" Target="/xl/comments/comment6.xml" Id="comments"/><Relationship Type="http://schemas.openxmlformats.org/officeDocument/2006/relationships/vmlDrawing" Target="/xl/drawings/commentsDrawing6.vml" Id="anysvml"/></Relationships>
</file>

<file path=xl/worksheets/_rels/sheet12.xml.rels><Relationships xmlns="http://schemas.openxmlformats.org/package/2006/relationships"><Relationship Type="http://schemas.openxmlformats.org/officeDocument/2006/relationships/comments" Target="/xl/comments/comment7.xml" Id="comments"/><Relationship Type="http://schemas.openxmlformats.org/officeDocument/2006/relationships/vmlDrawing" Target="/xl/drawings/commentsDrawing7.vml" Id="anysvml"/></Relationships>
</file>

<file path=xl/worksheets/_rels/sheet13.xml.rels><Relationships xmlns="http://schemas.openxmlformats.org/package/2006/relationships"><Relationship Type="http://schemas.openxmlformats.org/officeDocument/2006/relationships/drawing" Target="/xl/drawings/drawing5.xml" Id="rId1"/><Relationship Type="http://schemas.openxmlformats.org/officeDocument/2006/relationships/comments" Target="/xl/comments/comment8.xml" Id="comments"/><Relationship Type="http://schemas.openxmlformats.org/officeDocument/2006/relationships/vmlDrawing" Target="/xl/drawings/commentsDrawing8.vml" Id="anysvml"/></Relationships>
</file>

<file path=xl/worksheets/_rels/sheet14.xml.rels><Relationships xmlns="http://schemas.openxmlformats.org/package/2006/relationships"><Relationship Type="http://schemas.openxmlformats.org/officeDocument/2006/relationships/drawing" Target="/xl/drawings/drawing6.xml" Id="rId1"/><Relationship Type="http://schemas.openxmlformats.org/officeDocument/2006/relationships/comments" Target="/xl/comments/comment9.xml" Id="comments"/><Relationship Type="http://schemas.openxmlformats.org/officeDocument/2006/relationships/vmlDrawing" Target="/xl/drawings/commentsDrawing9.vml" Id="anysvml"/></Relationships>
</file>

<file path=xl/worksheets/_rels/sheet15.xml.rels><Relationships xmlns="http://schemas.openxmlformats.org/package/2006/relationships"><Relationship Type="http://schemas.openxmlformats.org/officeDocument/2006/relationships/drawing" Target="/xl/drawings/drawing7.xml" Id="rId1"/><Relationship Type="http://schemas.openxmlformats.org/officeDocument/2006/relationships/comments" Target="/xl/comments/comment10.xml" Id="comments"/><Relationship Type="http://schemas.openxmlformats.org/officeDocument/2006/relationships/vmlDrawing" Target="/xl/drawings/commentsDrawing10.vml" Id="anysvml"/></Relationships>
</file>

<file path=xl/worksheets/sheet1.xml><?xml version="1.0" encoding="utf-8"?>
<worksheet xmlns="http://schemas.openxmlformats.org/spreadsheetml/2006/main">
  <sheetPr codeName="shStart">
    <tabColor rgb="000F4C3A"/>
    <outlinePr summaryBelow="1" summaryRight="1"/>
    <pageSetUpPr fitToPage="1"/>
  </sheetPr>
  <dimension ref="A1:H27"/>
  <sheetViews>
    <sheetView showGridLines="0" tabSelected="1" zoomScale="100" workbookViewId="0">
      <selection activeCell="A1" sqref="A1"/>
    </sheetView>
  </sheetViews>
  <sheetFormatPr baseColWidth="8" defaultRowHeight="15"/>
  <cols>
    <col width="2" customWidth="1" min="1" max="1"/>
    <col width="5" customWidth="1" min="2" max="2"/>
    <col width="26" customWidth="1" min="3" max="3"/>
    <col width="62" customWidth="1" min="4" max="4"/>
    <col width="3" customWidth="1" min="5" max="5"/>
    <col width="5" customWidth="1" min="6" max="6"/>
    <col width="52" customWidth="1" min="7" max="7"/>
    <col width="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8" customHeight="1">
      <c r="B1" s="1" t="inlineStr">
        <is>
          <t>Personal Finance Workbook</t>
        </is>
      </c>
    </row>
    <row r="2">
      <c r="A2" s="2" t="n"/>
      <c r="B2" s="3" t="inlineStr">
        <is>
          <t>Import every account in one place, see your financial health, and plan for retirement, debt and a home.</t>
        </is>
      </c>
      <c r="C2" s="2" t="n"/>
      <c r="D2" s="2" t="n"/>
      <c r="E2" s="2" t="n"/>
      <c r="F2" s="2" t="n"/>
      <c r="G2" s="2" t="n"/>
      <c r="H2" s="2" t="n"/>
    </row>
    <row r="4" ht="24" customHeight="1">
      <c r="B4" s="4" t="inlineStr">
        <is>
          <t>GET STARTED</t>
        </is>
      </c>
      <c r="C4" s="2" t="n"/>
      <c r="D4" s="2" t="n"/>
      <c r="F4" s="4" t="inlineStr">
        <is>
          <t>BUTTONS</t>
        </is>
      </c>
      <c r="G4" s="2" t="n"/>
    </row>
    <row r="5" ht="34" customHeight="1">
      <c r="B5" s="5" t="n">
        <v>1</v>
      </c>
      <c r="C5" s="6" t="inlineStr">
        <is>
          <t>Enable macros</t>
        </is>
      </c>
      <c r="D5" s="7" t="inlineStr">
        <is>
          <t>When Excel shows a yellow Security Warning bar, click Enable Content. The Import buttons need it.</t>
        </is>
      </c>
    </row>
    <row r="6" ht="34" customHeight="1">
      <c r="B6" s="5" t="n">
        <v>2</v>
      </c>
      <c r="C6" s="6" t="inlineStr">
        <is>
          <t>Try it with the sample data</t>
        </is>
      </c>
      <c r="D6" s="7" t="inlineStr">
        <is>
          <t>Every tab is filled with a year of example data so you can see how it works. Sample download files come with it.</t>
        </is>
      </c>
    </row>
    <row r="7" ht="34" customHeight="1">
      <c r="B7" s="5" t="n">
        <v>3</v>
      </c>
      <c r="C7" s="6" t="inlineStr">
        <is>
          <t>Clear the sample data</t>
        </is>
      </c>
      <c r="D7" s="7" t="inlineStr">
        <is>
          <t>Press Clear Sample Data (right) when you're ready. Categories, rules and starter import profiles are kept.</t>
        </is>
      </c>
    </row>
    <row r="8" ht="34" customHeight="1">
      <c r="B8" s="5" t="n">
        <v>4</v>
      </c>
      <c r="C8" s="6" t="inlineStr">
        <is>
          <t>Add your accounts</t>
        </is>
      </c>
      <c r="D8" s="7" t="inlineStr">
        <is>
          <t>List each bank, card, loan and investment on the Accounts tab. Type statement balances for ones you won't import.</t>
        </is>
      </c>
    </row>
    <row r="9" ht="34" customHeight="1">
      <c r="B9" s="5" t="n">
        <v>5</v>
      </c>
      <c r="C9" s="6" t="inlineStr">
        <is>
          <t>Import your downloads</t>
        </is>
      </c>
      <c r="D9" s="7" t="inlineStr">
        <is>
          <t>On the Import tab, choose a CSV, Excel, OFX, QFX or QBO file, check the preview, then Import and Save Profile.</t>
        </is>
      </c>
    </row>
    <row r="10" ht="34" customHeight="1">
      <c r="B10" s="5" t="n">
        <v>6</v>
      </c>
      <c r="C10" s="6" t="inlineStr">
        <is>
          <t>Review and plan</t>
        </is>
      </c>
      <c r="D10" s="7" t="inlineStr">
        <is>
          <t>Fix categories on Transactions, add rules on Categories, then read the Dashboard and the planning tabs.</t>
        </is>
      </c>
    </row>
    <row r="12" ht="24" customHeight="1">
      <c r="B12" s="4" t="inlineStr">
        <is>
          <t>WHAT'S INSIDE</t>
        </is>
      </c>
      <c r="C12" s="2" t="n"/>
      <c r="D12" s="2" t="n"/>
      <c r="F12" s="4" t="inlineStr">
        <is>
          <t>HOW TO READ THE COLORS</t>
        </is>
      </c>
      <c r="G12" s="2" t="n"/>
    </row>
    <row r="13" ht="21" customHeight="1">
      <c r="C13" s="8" t="inlineStr">
        <is>
          <t>Dashboard</t>
        </is>
      </c>
      <c r="D13" s="9" t="inlineStr">
        <is>
          <t>Income, spending, savings rate, net worth and a financial health score.</t>
        </is>
      </c>
      <c r="F13" s="10" t="n"/>
      <c r="G13" s="11" t="inlineStr">
        <is>
          <t>Pale yellow: your inputs. Type here.</t>
        </is>
      </c>
    </row>
    <row r="14" ht="21" customHeight="1">
      <c r="C14" s="8" t="inlineStr">
        <is>
          <t>Import</t>
        </is>
      </c>
      <c r="D14" s="9" t="inlineStr">
        <is>
          <t>Bring in bank, card and lender downloads. Saves import profiles for next time.</t>
        </is>
      </c>
      <c r="F14" s="12" t="n"/>
      <c r="G14" s="11" t="inlineStr">
        <is>
          <t>Green: formulas. They update on their own.</t>
        </is>
      </c>
    </row>
    <row r="15" ht="21" customHeight="1">
      <c r="C15" s="8" t="inlineStr">
        <is>
          <t>Transactions</t>
        </is>
      </c>
      <c r="D15" s="9" t="inlineStr">
        <is>
          <t>All transactions in one format. Change categories here.</t>
        </is>
      </c>
      <c r="F15" s="13" t="n"/>
      <c r="G15" s="11" t="inlineStr">
        <is>
          <t>Blue: pulled from another tab. Type over it to change.</t>
        </is>
      </c>
    </row>
    <row r="16" ht="21" customHeight="1">
      <c r="C16" s="8" t="inlineStr">
        <is>
          <t>Accounts</t>
        </is>
      </c>
      <c r="D16" s="9" t="inlineStr">
        <is>
          <t>Banks, cards, loans and investments, with current balances.</t>
        </is>
      </c>
      <c r="F16" s="14" t="inlineStr">
        <is>
          <t>▾</t>
        </is>
      </c>
      <c r="G16" s="11" t="inlineStr">
        <is>
          <t>Dropdown arrow: pick from a list (Lists tab).</t>
        </is>
      </c>
    </row>
    <row r="17" ht="21" customHeight="1">
      <c r="C17" s="8" t="inlineStr">
        <is>
          <t>Import Profiles</t>
        </is>
      </c>
      <c r="D17" s="9" t="inlineStr">
        <is>
          <t>Saved import settings, one per download format.</t>
        </is>
      </c>
    </row>
    <row r="18" ht="24" customHeight="1">
      <c r="C18" s="8" t="inlineStr">
        <is>
          <t>Categories</t>
        </is>
      </c>
      <c r="D18" s="9" t="inlineStr">
        <is>
          <t>Categories, monthly budgets and auto-categorize rules.</t>
        </is>
      </c>
      <c r="F18" s="4" t="inlineStr">
        <is>
          <t>GOOD TO KNOW</t>
        </is>
      </c>
      <c r="G18" s="2" t="n"/>
    </row>
    <row r="19" ht="30" customHeight="1">
      <c r="C19" s="8" t="inlineStr">
        <is>
          <t>Budget</t>
        </is>
      </c>
      <c r="D19" s="9" t="inlineStr">
        <is>
          <t>Budget vs. actual by category, year to date and 50/30/20.</t>
        </is>
      </c>
      <c r="F19" s="15" t="inlineStr">
        <is>
          <t>•</t>
        </is>
      </c>
      <c r="G19" s="16" t="inlineStr">
        <is>
          <t>Your data stays in this file on your computer. Nothing is uploaded.</t>
        </is>
      </c>
    </row>
    <row r="20" ht="30" customHeight="1">
      <c r="C20" s="8" t="inlineStr">
        <is>
          <t>Net Worth</t>
        </is>
      </c>
      <c r="D20" s="9" t="inlineStr">
        <is>
          <t>Assets minus debts today, plus a monthly history.</t>
        </is>
      </c>
      <c r="F20" s="15" t="inlineStr">
        <is>
          <t>•</t>
        </is>
      </c>
      <c r="G20" s="16" t="inlineStr">
        <is>
          <t>Save the workbook as .xlsm (macro-enabled) or the import buttons stop working.</t>
        </is>
      </c>
    </row>
    <row r="21" ht="21" customHeight="1">
      <c r="C21" s="8" t="inlineStr">
        <is>
          <t>Debt Payoff</t>
        </is>
      </c>
      <c r="D21" s="9" t="inlineStr">
        <is>
          <t>Avalanche vs. snowball: debt-free date and interest saved.</t>
        </is>
      </c>
      <c r="F21" s="15" t="inlineStr">
        <is>
          <t>•</t>
        </is>
      </c>
      <c r="G21" s="16" t="inlineStr">
        <is>
          <t>Re-importing the same file is safe: duplicates are skipped.</t>
        </is>
      </c>
    </row>
    <row r="22" ht="30" customHeight="1">
      <c r="C22" s="8" t="inlineStr">
        <is>
          <t>Savings Goals</t>
        </is>
      </c>
      <c r="D22" s="9" t="inlineStr">
        <is>
          <t>Emergency fund and goals with target dates.</t>
        </is>
      </c>
      <c r="F22" s="15" t="inlineStr">
        <is>
          <t>•</t>
        </is>
      </c>
      <c r="G22" s="16" t="inlineStr">
        <is>
          <t>Money in is positive and money out is negative, for every account.</t>
        </is>
      </c>
    </row>
    <row r="23" ht="30" customHeight="1">
      <c r="C23" s="8" t="inlineStr">
        <is>
          <t>401(k)</t>
        </is>
      </c>
      <c r="D23" s="9" t="inlineStr">
        <is>
          <t>Projection from your fund's past returns, with IRS limits and employer match.</t>
        </is>
      </c>
      <c r="F23" s="15" t="inlineStr">
        <is>
          <t>•</t>
        </is>
      </c>
      <c r="G23" s="16" t="inlineStr">
        <is>
          <t>Transfers between your own accounts (card payments, savings) are not counted as spending.</t>
        </is>
      </c>
    </row>
    <row r="24" ht="30" customHeight="1">
      <c r="C24" s="8" t="inlineStr">
        <is>
          <t>Retirement</t>
        </is>
      </c>
      <c r="D24" s="9" t="inlineStr">
        <is>
          <t>Savings, Social Security and pension vs. what you'll spend.</t>
        </is>
      </c>
      <c r="F24" s="15" t="inlineStr">
        <is>
          <t>•</t>
        </is>
      </c>
      <c r="G24" s="16" t="inlineStr">
        <is>
          <t>Works in Excel 2010 and later for Windows. Planning tabs also work without macros.</t>
        </is>
      </c>
    </row>
    <row r="25" ht="21" customHeight="1">
      <c r="C25" s="8" t="inlineStr">
        <is>
          <t>Mortgage</t>
        </is>
      </c>
      <c r="D25" s="9" t="inlineStr">
        <is>
          <t>Payment with PMI and escrow, extra payments, refinance and affordability.</t>
        </is>
      </c>
    </row>
    <row r="26" ht="21" customHeight="1">
      <c r="C26" s="8" t="inlineStr">
        <is>
          <t>Amortization</t>
        </is>
      </c>
      <c r="D26" s="9" t="inlineStr">
        <is>
          <t>Month-by-month mortgage schedule.</t>
        </is>
      </c>
      <c r="F26" s="17" t="n"/>
      <c r="G26" s="17">
        <f>"Sample data: "&amp;SampleFlag</f>
        <v/>
      </c>
    </row>
    <row r="27">
      <c r="G27" s="18" t="inlineStr">
        <is>
          <t>Step-by-step guide: arumsoft.com/resources/excel/personal-finance-workbook</t>
        </is>
      </c>
    </row>
  </sheetData>
  <hyperlinks>
    <hyperlink xmlns:r="http://schemas.openxmlformats.org/officeDocument/2006/relationships" ref="C13" r:id="rId1"/>
    <hyperlink xmlns:r="http://schemas.openxmlformats.org/officeDocument/2006/relationships" ref="C14" r:id="rId2"/>
    <hyperlink xmlns:r="http://schemas.openxmlformats.org/officeDocument/2006/relationships" ref="C15" r:id="rId3"/>
    <hyperlink xmlns:r="http://schemas.openxmlformats.org/officeDocument/2006/relationships" ref="C16" r:id="rId4"/>
    <hyperlink xmlns:r="http://schemas.openxmlformats.org/officeDocument/2006/relationships" ref="C17" r:id="rId5"/>
    <hyperlink xmlns:r="http://schemas.openxmlformats.org/officeDocument/2006/relationships" ref="C18" r:id="rId6"/>
    <hyperlink xmlns:r="http://schemas.openxmlformats.org/officeDocument/2006/relationships" ref="C19" r:id="rId7"/>
    <hyperlink xmlns:r="http://schemas.openxmlformats.org/officeDocument/2006/relationships" ref="C20" r:id="rId8"/>
    <hyperlink xmlns:r="http://schemas.openxmlformats.org/officeDocument/2006/relationships" ref="C21" r:id="rId9"/>
    <hyperlink xmlns:r="http://schemas.openxmlformats.org/officeDocument/2006/relationships" ref="C22" r:id="rId10"/>
    <hyperlink xmlns:r="http://schemas.openxmlformats.org/officeDocument/2006/relationships" ref="C23" r:id="rId11"/>
    <hyperlink xmlns:r="http://schemas.openxmlformats.org/officeDocument/2006/relationships" ref="C24" r:id="rId12"/>
    <hyperlink xmlns:r="http://schemas.openxmlformats.org/officeDocument/2006/relationships" ref="C25" r:id="rId13"/>
    <hyperlink xmlns:r="http://schemas.openxmlformats.org/officeDocument/2006/relationships" ref="C26" r:id="rId14"/>
    <hyperlink xmlns:r="http://schemas.openxmlformats.org/officeDocument/2006/relationships" ref="G27" r:id="rId15"/>
  </hyperlinks>
  <pageMargins left="0.4" right="0.4" top="0.5" bottom="0.6" header="0.5" footer="0.5"/>
  <pageSetup orientation="portrait" paperSize="1" fitToHeight="0" fitToWidth="1"/>
  <headerFooter>
    <oddHeader/>
    <oddFooter>&amp;L&amp;A&amp;RPage &amp;P of &amp;N</oddFooter>
    <evenHeader/>
    <evenFooter/>
    <firstHeader/>
    <firstFooter/>
  </headerFooter>
  <drawing xmlns:r="http://schemas.openxmlformats.org/officeDocument/2006/relationships" r:id="rIdBtnDrw"/>
</worksheet>
</file>

<file path=xl/worksheets/sheet2.xml><?xml version="1.0" encoding="utf-8"?>
<worksheet xmlns="http://schemas.openxmlformats.org/spreadsheetml/2006/main">
  <sheetPr codeName="shDash">
    <tabColor rgb="003B6EA8"/>
    <outlinePr summaryBelow="1" summaryRight="1"/>
    <pageSetUpPr fitToPage="1"/>
  </sheetPr>
  <dimension ref="A1:R76"/>
  <sheetViews>
    <sheetView showGridLines="0" tabSelected="0" zoomScale="100" workbookViewId="0">
      <pane ySplit="4" topLeftCell="A5" activePane="bottomLeft" state="frozen"/>
      <selection pane="bottomLeft" activeCell="A1" sqref="A1"/>
    </sheetView>
  </sheetViews>
  <sheetFormatPr baseColWidth="8" defaultRowHeight="15"/>
  <cols>
    <col width="2" customWidth="1" min="1" max="1"/>
    <col width="12.5" customWidth="1" min="2" max="2"/>
    <col width="12.5" customWidth="1" min="3" max="3"/>
    <col width="12.5" customWidth="1" min="4" max="4"/>
    <col width="12.5" customWidth="1" min="5" max="5"/>
    <col width="12.5" customWidth="1" min="6" max="6"/>
    <col width="12.5" customWidth="1" min="7" max="7"/>
    <col width="12.5" customWidth="1" min="8" max="8"/>
    <col width="12.5" customWidth="1" min="9" max="9"/>
    <col width="12.5" customWidth="1" min="10" max="10"/>
    <col width="12.5" customWidth="1" min="11" max="11"/>
    <col width="12.5" customWidth="1" min="12" max="12"/>
    <col width="12.5" customWidth="1" min="13" max="13"/>
    <col width="3" customWidth="1" min="14" max="14"/>
    <col hidden="1" width="24" customWidth="1" min="15" max="15"/>
    <col hidden="1" width="13" customWidth="1" min="16" max="16"/>
    <col hidden="1" width="13" customWidth="1" min="17" max="17"/>
    <col hidden="1" width="9"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B1" s="19" t="inlineStr">
        <is>
          <t>Financial Dashboard</t>
        </is>
      </c>
    </row>
    <row r="2">
      <c r="A2" s="2" t="n"/>
      <c r="B2" s="3" t="inlineStr">
        <is>
          <t>Updates on its own from the Transactions and Accounts tabs. Pick a month to look back.</t>
        </is>
      </c>
      <c r="C2" s="2" t="n"/>
      <c r="D2" s="2" t="n"/>
      <c r="E2" s="2" t="n"/>
      <c r="F2" s="2" t="n"/>
      <c r="G2" s="2" t="n"/>
      <c r="H2" s="2" t="n"/>
      <c r="I2" s="2" t="n"/>
      <c r="J2" s="2" t="n"/>
      <c r="K2" s="2" t="n"/>
      <c r="L2" s="2" t="n"/>
      <c r="M2" s="2" t="n"/>
    </row>
    <row r="4" ht="24" customHeight="1">
      <c r="B4" s="20" t="inlineStr">
        <is>
          <t>Month</t>
        </is>
      </c>
      <c r="C4" s="21" t="n">
        <v>46266</v>
      </c>
      <c r="D4" s="22">
        <f>TEXT(RptMonth,"mmmm yyyy")&amp;IF(RptMonth=LatestMonth," (month to date)","")&amp;"   ·   data through "&amp;IF(LastTxnDate="","no data yet",TEXT(LastTxnDate,"mmm d, yyyy"))</f>
        <v/>
      </c>
    </row>
    <row r="5">
      <c r="O5" t="inlineStr">
        <is>
          <t>Category (helper)</t>
        </is>
      </c>
      <c r="P5" t="inlineStr">
        <is>
          <t>Spent</t>
        </is>
      </c>
      <c r="Q5" t="inlineStr">
        <is>
          <t>Rank key</t>
        </is>
      </c>
    </row>
    <row r="6" ht="18" customHeight="1">
      <c r="B6" s="23" t="inlineStr">
        <is>
          <t>INCOME</t>
        </is>
      </c>
      <c r="C6" s="24" t="n"/>
      <c r="D6" s="25" t="n"/>
      <c r="E6" s="23" t="inlineStr">
        <is>
          <t>SPENDING</t>
        </is>
      </c>
      <c r="F6" s="24" t="n"/>
      <c r="G6" s="25" t="n"/>
      <c r="H6" s="23" t="inlineStr">
        <is>
          <t>NET CASH FLOW</t>
        </is>
      </c>
      <c r="I6" s="24" t="n"/>
      <c r="J6" s="25" t="n"/>
      <c r="K6" s="23" t="inlineStr">
        <is>
          <t>SAVINGS RATE</t>
        </is>
      </c>
      <c r="L6" s="24" t="n"/>
      <c r="M6" s="25" t="n"/>
      <c r="O6">
        <f>IF(Categories!A6="","",Categories!A6)</f>
        <v/>
      </c>
      <c r="P6">
        <f>IF(O6="",0,IF(OR(Categories!B6="Income",Categories!B6="Transfer"),0,-SUMIFS(Transactions!$E:$E,Transactions!$D:$D,O6,Transactions!$G:$G,RptMonth,Transactions!$F:$F,"Expense")-IF(O6="Uncategorized",SUMIFS(Transactions!$E:$E,Transactions!$D:$D,"",Transactions!$G:$G,RptMonth,Transactions!$F:$F,"Expense"),0)))</f>
        <v/>
      </c>
      <c r="Q6">
        <f>IF(P6&gt;0,P6+ROW()/1000000,0)</f>
        <v/>
      </c>
    </row>
    <row r="7" ht="30" customHeight="1">
      <c r="B7" s="26">
        <f>$C$38</f>
        <v/>
      </c>
      <c r="C7" s="27" t="n"/>
      <c r="D7" s="28" t="n"/>
      <c r="E7" s="26">
        <f>$D$38</f>
        <v/>
      </c>
      <c r="F7" s="27" t="n"/>
      <c r="G7" s="28" t="n"/>
      <c r="H7" s="26">
        <f>$E$38</f>
        <v/>
      </c>
      <c r="I7" s="27" t="n"/>
      <c r="J7" s="28" t="n"/>
      <c r="K7" s="29">
        <f>$F$38</f>
        <v/>
      </c>
      <c r="L7" s="27" t="n"/>
      <c r="M7" s="28" t="n"/>
      <c r="O7">
        <f>IF(Categories!A7="","",Categories!A7)</f>
        <v/>
      </c>
      <c r="P7">
        <f>IF(O7="",0,IF(OR(Categories!B7="Income",Categories!B7="Transfer"),0,-SUMIFS(Transactions!$E:$E,Transactions!$D:$D,O7,Transactions!$G:$G,RptMonth,Transactions!$F:$F,"Expense")-IF(O7="Uncategorized",SUMIFS(Transactions!$E:$E,Transactions!$D:$D,"",Transactions!$G:$G,RptMonth,Transactions!$F:$F,"Expense"),0)))</f>
        <v/>
      </c>
      <c r="Q7">
        <f>IF(P7&gt;0,P7+ROW()/1000000,0)</f>
        <v/>
      </c>
    </row>
    <row r="8" ht="18" customHeight="1">
      <c r="B8" s="30">
        <f>"12-mo avg "&amp;TEXT(IF(COUNTIF($C$26:$C$37,"&gt;0")=0,0,SUM($C$26:$C$37)/COUNTIF($C$26:$C$37,"&gt;0")),"$#,##0")&amp;"  ·  YTD "&amp;TEXT(SUMIFS(Transactions!$E:$E,Transactions!$F:$F,"Income",Transactions!$G:$G,"&gt;="&amp;YTDStart,Transactions!$G:$G,"&lt;="&amp;RptMonth),"$#,##0")</f>
        <v/>
      </c>
      <c r="C8" s="31" t="n"/>
      <c r="D8" s="32" t="n"/>
      <c r="E8" s="30">
        <f>"12-mo avg "&amp;TEXT(IF(COUNTIF($D$26:$D$37,"&gt;0")=0,0,SUM($D$26:$D$37)/COUNTIF($D$26:$D$37,"&gt;0")),"$#,##0")&amp;"  ·  budget "&amp;TEXT(SUMIFS(Categories!$D$6:$D$65,Categories!$B$6:$B$65,"Expense"),"$#,##0")</f>
        <v/>
      </c>
      <c r="F8" s="31" t="n"/>
      <c r="G8" s="32" t="n"/>
      <c r="H8" s="30">
        <f>"YTD "&amp;TEXT(SUMIFS(Transactions!$E:$E,Transactions!$F:$F,"Income",Transactions!$G:$G,"&gt;="&amp;YTDStart,Transactions!$G:$G,"&lt;="&amp;RptMonth)+SUMIFS(Transactions!$E:$E,Transactions!$F:$F,"Expense",Transactions!$G:$G,"&gt;="&amp;YTDStart,Transactions!$G:$G,"&lt;="&amp;RptMonth),"$#,##0;-$#,##0")</f>
        <v/>
      </c>
      <c r="I8" s="31" t="n"/>
      <c r="J8" s="32" t="n"/>
      <c r="K8" s="30">
        <f>"12-mo "&amp;TEXT(IF(SUM($C$26:$C$37)&gt;0,SUM($E$26:$E$37)/SUM($C$26:$C$37),0),"0%")&amp;"  ·  target 20%"</f>
        <v/>
      </c>
      <c r="L8" s="31" t="n"/>
      <c r="M8" s="32" t="n"/>
      <c r="O8">
        <f>IF(Categories!A8="","",Categories!A8)</f>
        <v/>
      </c>
      <c r="P8">
        <f>IF(O8="",0,IF(OR(Categories!B8="Income",Categories!B8="Transfer"),0,-SUMIFS(Transactions!$E:$E,Transactions!$D:$D,O8,Transactions!$G:$G,RptMonth,Transactions!$F:$F,"Expense")-IF(O8="Uncategorized",SUMIFS(Transactions!$E:$E,Transactions!$D:$D,"",Transactions!$G:$G,RptMonth,Transactions!$F:$F,"Expense"),0)))</f>
        <v/>
      </c>
      <c r="Q8">
        <f>IF(P8&gt;0,P8+ROW()/1000000,0)</f>
        <v/>
      </c>
    </row>
    <row r="9" ht="8" customHeight="1">
      <c r="O9">
        <f>IF(Categories!A9="","",Categories!A9)</f>
        <v/>
      </c>
      <c r="P9">
        <f>IF(O9="",0,IF(OR(Categories!B9="Income",Categories!B9="Transfer"),0,-SUMIFS(Transactions!$E:$E,Transactions!$D:$D,O9,Transactions!$G:$G,RptMonth,Transactions!$F:$F,"Expense")-IF(O9="Uncategorized",SUMIFS(Transactions!$E:$E,Transactions!$D:$D,"",Transactions!$G:$G,RptMonth,Transactions!$F:$F,"Expense"),0)))</f>
        <v/>
      </c>
      <c r="Q9">
        <f>IF(P9&gt;0,P9+ROW()/1000000,0)</f>
        <v/>
      </c>
    </row>
    <row r="10" ht="18" customHeight="1">
      <c r="B10" s="23" t="inlineStr">
        <is>
          <t>NET WORTH TODAY</t>
        </is>
      </c>
      <c r="C10" s="24" t="n"/>
      <c r="D10" s="25" t="n"/>
      <c r="E10" s="23" t="inlineStr">
        <is>
          <t>TOTAL DEBT TODAY</t>
        </is>
      </c>
      <c r="F10" s="24" t="n"/>
      <c r="G10" s="25" t="n"/>
      <c r="H10" s="23" t="inlineStr">
        <is>
          <t>EMERGENCY FUND</t>
        </is>
      </c>
      <c r="I10" s="24" t="n"/>
      <c r="J10" s="25" t="n"/>
      <c r="K10" s="23" t="inlineStr">
        <is>
          <t>FINANCIAL HEALTH</t>
        </is>
      </c>
      <c r="L10" s="24" t="n"/>
      <c r="M10" s="25" t="n"/>
      <c r="O10">
        <f>IF(Categories!A10="","",Categories!A10)</f>
        <v/>
      </c>
      <c r="P10">
        <f>IF(O10="",0,IF(OR(Categories!B10="Income",Categories!B10="Transfer"),0,-SUMIFS(Transactions!$E:$E,Transactions!$D:$D,O10,Transactions!$G:$G,RptMonth,Transactions!$F:$F,"Expense")-IF(O10="Uncategorized",SUMIFS(Transactions!$E:$E,Transactions!$D:$D,"",Transactions!$G:$G,RptMonth,Transactions!$F:$F,"Expense"),0)))</f>
        <v/>
      </c>
      <c r="Q10">
        <f>IF(P10&gt;0,P10+ROW()/1000000,0)</f>
        <v/>
      </c>
    </row>
    <row r="11" ht="30" customHeight="1">
      <c r="B11" s="26">
        <f>SUM(Accounts!$M$6:$M$105)</f>
        <v/>
      </c>
      <c r="C11" s="27" t="n"/>
      <c r="D11" s="28" t="n"/>
      <c r="E11" s="26">
        <f>-SUMIFS(Accounts!$M:$M,Accounts!$E:$E,"Liability")</f>
        <v/>
      </c>
      <c r="F11" s="27" t="n"/>
      <c r="G11" s="28" t="n"/>
      <c r="H11" s="33">
        <f>IF(IF(COUNTIF($D$32:$D$37,"&gt;0")=0,0,AVERAGEIF($D$32:$D$37,"&gt;0"))=0,0,SUMIFS(Accounts!$M:$M,Accounts!$G:$G,"Yes")/IF(COUNTIF($D$32:$D$37,"&gt;0")=0,0,AVERAGEIF($D$32:$D$37,"&gt;0")))</f>
        <v/>
      </c>
      <c r="I11" s="27" t="n"/>
      <c r="J11" s="28" t="n"/>
      <c r="K11" s="34">
        <f>ROUND(AVERAGE($R$16:$R$22),0)</f>
        <v/>
      </c>
      <c r="L11" s="27" t="n"/>
      <c r="M11" s="28" t="n"/>
      <c r="O11">
        <f>IF(Categories!A11="","",Categories!A11)</f>
        <v/>
      </c>
      <c r="P11">
        <f>IF(O11="",0,IF(OR(Categories!B11="Income",Categories!B11="Transfer"),0,-SUMIFS(Transactions!$E:$E,Transactions!$D:$D,O11,Transactions!$G:$G,RptMonth,Transactions!$F:$F,"Expense")-IF(O11="Uncategorized",SUMIFS(Transactions!$E:$E,Transactions!$D:$D,"",Transactions!$G:$G,RptMonth,Transactions!$F:$F,"Expense"),0)))</f>
        <v/>
      </c>
      <c r="Q11">
        <f>IF(P11&gt;0,P11+ROW()/1000000,0)</f>
        <v/>
      </c>
    </row>
    <row r="12" ht="18" customHeight="1">
      <c r="B12" s="30">
        <f>"vs 12 months ago "&amp;IF(COUNT('Net Worth'!$E$6:$E$65)=0,"(no history yet)",TEXT(B11-NW12ago,"+$#,##0;-$#,##0"))</f>
        <v/>
      </c>
      <c r="C12" s="31" t="n"/>
      <c r="D12" s="32" t="n"/>
      <c r="E12" s="30">
        <f>"incl. mortgage "&amp;TEXT(-SUMIFS(Accounts!$M:$M,Accounts!$C:$C,"Mortgage"),"$#,##0")</f>
        <v/>
      </c>
      <c r="F12" s="31" t="n"/>
      <c r="G12" s="32" t="n"/>
      <c r="H12" s="30">
        <f>TEXT(SUMIFS(Accounts!$M:$M,Accounts!$G:$G,"Yes"),"$#,##0")&amp;" set aside  ·  target 6 months"</f>
        <v/>
      </c>
      <c r="I12" s="31" t="n"/>
      <c r="J12" s="32" t="n"/>
      <c r="K12" s="30">
        <f>IF(K11&gt;=80,"Strong",IF(K11&gt;=60,"Solid, with room to improve","Needs attention"))&amp;"  ·  details below"</f>
        <v/>
      </c>
      <c r="L12" s="31" t="n"/>
      <c r="M12" s="32" t="n"/>
      <c r="O12">
        <f>IF(Categories!A12="","",Categories!A12)</f>
        <v/>
      </c>
      <c r="P12">
        <f>IF(O12="",0,IF(OR(Categories!B12="Income",Categories!B12="Transfer"),0,-SUMIFS(Transactions!$E:$E,Transactions!$D:$D,O12,Transactions!$G:$G,RptMonth,Transactions!$F:$F,"Expense")-IF(O12="Uncategorized",SUMIFS(Transactions!$E:$E,Transactions!$D:$D,"",Transactions!$G:$G,RptMonth,Transactions!$F:$F,"Expense"),0)))</f>
        <v/>
      </c>
      <c r="Q12">
        <f>IF(P12&gt;0,P12+ROW()/1000000,0)</f>
        <v/>
      </c>
    </row>
    <row r="13">
      <c r="O13">
        <f>IF(Categories!A13="","",Categories!A13)</f>
        <v/>
      </c>
      <c r="P13">
        <f>IF(O13="",0,IF(OR(Categories!B13="Income",Categories!B13="Transfer"),0,-SUMIFS(Transactions!$E:$E,Transactions!$D:$D,O13,Transactions!$G:$G,RptMonth,Transactions!$F:$F,"Expense")-IF(O13="Uncategorized",SUMIFS(Transactions!$E:$E,Transactions!$D:$D,"",Transactions!$G:$G,RptMonth,Transactions!$F:$F,"Expense"),0)))</f>
        <v/>
      </c>
      <c r="Q13">
        <f>IF(P13&gt;0,P13+ROW()/1000000,0)</f>
        <v/>
      </c>
    </row>
    <row r="14" ht="24" customHeight="1">
      <c r="B14" s="4" t="inlineStr">
        <is>
          <t>FINANCIAL HEALTH CHECK</t>
        </is>
      </c>
      <c r="C14" s="2" t="n"/>
      <c r="D14" s="2" t="n"/>
      <c r="E14" s="2" t="n"/>
      <c r="F14" s="2" t="n"/>
      <c r="G14" s="2" t="n"/>
      <c r="H14" s="2" t="n"/>
      <c r="I14" s="2" t="n"/>
      <c r="J14" s="2" t="n"/>
      <c r="K14" s="2" t="n"/>
      <c r="L14" s="2" t="n"/>
      <c r="M14" s="2" t="n"/>
      <c r="O14">
        <f>IF(Categories!A14="","",Categories!A14)</f>
        <v/>
      </c>
      <c r="P14">
        <f>IF(O14="",0,IF(OR(Categories!B14="Income",Categories!B14="Transfer"),0,-SUMIFS(Transactions!$E:$E,Transactions!$D:$D,O14,Transactions!$G:$G,RptMonth,Transactions!$F:$F,"Expense")-IF(O14="Uncategorized",SUMIFS(Transactions!$E:$E,Transactions!$D:$D,"",Transactions!$G:$G,RptMonth,Transactions!$F:$F,"Expense"),0)))</f>
        <v/>
      </c>
      <c r="Q14">
        <f>IF(P14&gt;0,P14+ROW()/1000000,0)</f>
        <v/>
      </c>
    </row>
    <row r="15" ht="24" customHeight="1">
      <c r="B15" s="35" t="inlineStr">
        <is>
          <t>Measure</t>
        </is>
      </c>
      <c r="C15" s="36" t="n"/>
      <c r="D15" s="37" t="n"/>
      <c r="E15" s="38" t="inlineStr">
        <is>
          <t>You</t>
        </is>
      </c>
      <c r="F15" s="35" t="inlineStr">
        <is>
          <t>Target</t>
        </is>
      </c>
      <c r="G15" s="35" t="inlineStr">
        <is>
          <t>Status</t>
        </is>
      </c>
      <c r="H15" s="35" t="inlineStr">
        <is>
          <t>Why it matters</t>
        </is>
      </c>
      <c r="I15" s="36" t="n"/>
      <c r="J15" s="36" t="n"/>
      <c r="K15" s="36" t="n"/>
      <c r="L15" s="36" t="n"/>
      <c r="M15" s="37" t="n"/>
      <c r="O15">
        <f>IF(Categories!A15="","",Categories!A15)</f>
        <v/>
      </c>
      <c r="P15">
        <f>IF(O15="",0,IF(OR(Categories!B15="Income",Categories!B15="Transfer"),0,-SUMIFS(Transactions!$E:$E,Transactions!$D:$D,O15,Transactions!$G:$G,RptMonth,Transactions!$F:$F,"Expense")-IF(O15="Uncategorized",SUMIFS(Transactions!$E:$E,Transactions!$D:$D,"",Transactions!$G:$G,RptMonth,Transactions!$F:$F,"Expense"),0)))</f>
        <v/>
      </c>
      <c r="Q15">
        <f>IF(P15&gt;0,P15+ROW()/1000000,0)</f>
        <v/>
      </c>
      <c r="R15" s="39" t="inlineStr">
        <is>
          <t>Points</t>
        </is>
      </c>
    </row>
    <row r="16" ht="22" customHeight="1">
      <c r="B16" s="6" t="inlineStr">
        <is>
          <t>Savings rate (12 months)</t>
        </is>
      </c>
      <c r="C16" s="40" t="n"/>
      <c r="D16" s="40" t="n"/>
      <c r="E16" s="41">
        <f>IF(SUM($C$26:$C$37)&gt;0,SUM($E$26:$E$37)/SUM($C$26:$C$37),0)</f>
        <v/>
      </c>
      <c r="F16" s="42" t="inlineStr">
        <is>
          <t>≥ 20%</t>
        </is>
      </c>
      <c r="G16" s="43">
        <f>IF(E16&gt;=0.2,"Good",IF(E16&gt;=0.1,"Fair","Needs work"))</f>
        <v/>
      </c>
      <c r="H16" s="44" t="inlineStr">
        <is>
          <t>Share of take-home pay you keep. 20% or more builds savings steadily.</t>
        </is>
      </c>
      <c r="I16" s="40" t="n"/>
      <c r="J16" s="40" t="n"/>
      <c r="K16" s="40" t="n"/>
      <c r="L16" s="40" t="n"/>
      <c r="M16" s="40" t="n"/>
      <c r="O16">
        <f>IF(Categories!A16="","",Categories!A16)</f>
        <v/>
      </c>
      <c r="P16">
        <f>IF(O16="",0,IF(OR(Categories!B16="Income",Categories!B16="Transfer"),0,-SUMIFS(Transactions!$E:$E,Transactions!$D:$D,O16,Transactions!$G:$G,RptMonth,Transactions!$F:$F,"Expense")-IF(O16="Uncategorized",SUMIFS(Transactions!$E:$E,Transactions!$D:$D,"",Transactions!$G:$G,RptMonth,Transactions!$F:$F,"Expense"),0)))</f>
        <v/>
      </c>
      <c r="Q16">
        <f>IF(P16&gt;0,P16+ROW()/1000000,0)</f>
        <v/>
      </c>
      <c r="R16">
        <f>IF(G16="Good",100,IF(G16="Fair",60,25))</f>
        <v/>
      </c>
    </row>
    <row r="17" ht="22" customHeight="1">
      <c r="B17" s="6" t="inlineStr">
        <is>
          <t>Emergency fund</t>
        </is>
      </c>
      <c r="C17" s="40" t="n"/>
      <c r="D17" s="40" t="n"/>
      <c r="E17" s="45">
        <f>H11</f>
        <v/>
      </c>
      <c r="F17" s="42" t="inlineStr">
        <is>
          <t>≥ 6 months</t>
        </is>
      </c>
      <c r="G17" s="43">
        <f>IF(E17&gt;=6,"Good",IF(E17&gt;=3,"Fair","Needs work"))</f>
        <v/>
      </c>
      <c r="H17" s="44" t="inlineStr">
        <is>
          <t>Months of spending you could cover from accounts marked Emergency Fund.</t>
        </is>
      </c>
      <c r="I17" s="40" t="n"/>
      <c r="J17" s="40" t="n"/>
      <c r="K17" s="40" t="n"/>
      <c r="L17" s="40" t="n"/>
      <c r="M17" s="40" t="n"/>
      <c r="O17">
        <f>IF(Categories!A17="","",Categories!A17)</f>
        <v/>
      </c>
      <c r="P17">
        <f>IF(O17="",0,IF(OR(Categories!B17="Income",Categories!B17="Transfer"),0,-SUMIFS(Transactions!$E:$E,Transactions!$D:$D,O17,Transactions!$G:$G,RptMonth,Transactions!$F:$F,"Expense")-IF(O17="Uncategorized",SUMIFS(Transactions!$E:$E,Transactions!$D:$D,"",Transactions!$G:$G,RptMonth,Transactions!$F:$F,"Expense"),0)))</f>
        <v/>
      </c>
      <c r="Q17">
        <f>IF(P17&gt;0,P17+ROW()/1000000,0)</f>
        <v/>
      </c>
      <c r="R17">
        <f>IF(G17="Good",100,IF(G17="Fair",60,25))</f>
        <v/>
      </c>
    </row>
    <row r="18" ht="22" customHeight="1">
      <c r="B18" s="6" t="inlineStr">
        <is>
          <t>Debt payments vs. income</t>
        </is>
      </c>
      <c r="C18" s="40" t="n"/>
      <c r="D18" s="40" t="n"/>
      <c r="E18" s="41">
        <f>IF(IF(COUNTIF($C$26:$C$37,"&gt;0")=0,0,SUM($C$26:$C$37)/COUNTIF($C$26:$C$37,"&gt;0"))=0,0,SUMIFS(Accounts!$P:$P,Accounts!$E:$E,"Liability")/IF(COUNTIF($C$26:$C$37,"&gt;0")=0,0,SUM($C$26:$C$37)/COUNTIF($C$26:$C$37,"&gt;0")))</f>
        <v/>
      </c>
      <c r="F18" s="42" t="inlineStr">
        <is>
          <t>≤ 36%</t>
        </is>
      </c>
      <c r="G18" s="43">
        <f>IF(E18&lt;=0.36,"Good",IF(E18&lt;=0.43,"Fair","Needs work"))</f>
        <v/>
      </c>
      <c r="H18" s="44" t="inlineStr">
        <is>
          <t>Monthly debt payments (Accounts tab) as a share of the income you deposit.</t>
        </is>
      </c>
      <c r="I18" s="40" t="n"/>
      <c r="J18" s="40" t="n"/>
      <c r="K18" s="40" t="n"/>
      <c r="L18" s="40" t="n"/>
      <c r="M18" s="40" t="n"/>
      <c r="O18">
        <f>IF(Categories!A18="","",Categories!A18)</f>
        <v/>
      </c>
      <c r="P18">
        <f>IF(O18="",0,IF(OR(Categories!B18="Income",Categories!B18="Transfer"),0,-SUMIFS(Transactions!$E:$E,Transactions!$D:$D,O18,Transactions!$G:$G,RptMonth,Transactions!$F:$F,"Expense")-IF(O18="Uncategorized",SUMIFS(Transactions!$E:$E,Transactions!$D:$D,"",Transactions!$G:$G,RptMonth,Transactions!$F:$F,"Expense"),0)))</f>
        <v/>
      </c>
      <c r="Q18">
        <f>IF(P18&gt;0,P18+ROW()/1000000,0)</f>
        <v/>
      </c>
      <c r="R18">
        <f>IF(G18="Good",100,IF(G18="Fair",60,25))</f>
        <v/>
      </c>
    </row>
    <row r="19" ht="22" customHeight="1">
      <c r="B19" s="6" t="inlineStr">
        <is>
          <t>Credit card use</t>
        </is>
      </c>
      <c r="C19" s="40" t="n"/>
      <c r="D19" s="40" t="n"/>
      <c r="E19" s="41">
        <f>IF(SUMIFS(Accounts!$N:$N,Accounts!$C:$C,"Credit Card")=0,0,MAX(0,-SUMIFS(Accounts!$M:$M,Accounts!$C:$C,"Credit Card"))/SUMIFS(Accounts!$N:$N,Accounts!$C:$C,"Credit Card"))</f>
        <v/>
      </c>
      <c r="F19" s="42" t="inlineStr">
        <is>
          <t>≤ 30%</t>
        </is>
      </c>
      <c r="G19" s="43">
        <f>IF(E19&lt;=0.3,"Good",IF(E19&lt;=0.5,"Fair","Needs work"))</f>
        <v/>
      </c>
      <c r="H19" s="44" t="inlineStr">
        <is>
          <t>Card balances as a share of your credit limits. Lower helps your credit score.</t>
        </is>
      </c>
      <c r="I19" s="40" t="n"/>
      <c r="J19" s="40" t="n"/>
      <c r="K19" s="40" t="n"/>
      <c r="L19" s="40" t="n"/>
      <c r="M19" s="40" t="n"/>
      <c r="O19">
        <f>IF(Categories!A19="","",Categories!A19)</f>
        <v/>
      </c>
      <c r="P19">
        <f>IF(O19="",0,IF(OR(Categories!B19="Income",Categories!B19="Transfer"),0,-SUMIFS(Transactions!$E:$E,Transactions!$D:$D,O19,Transactions!$G:$G,RptMonth,Transactions!$F:$F,"Expense")-IF(O19="Uncategorized",SUMIFS(Transactions!$E:$E,Transactions!$D:$D,"",Transactions!$G:$G,RptMonth,Transactions!$F:$F,"Expense"),0)))</f>
        <v/>
      </c>
      <c r="Q19">
        <f>IF(P19&gt;0,P19+ROW()/1000000,0)</f>
        <v/>
      </c>
      <c r="R19">
        <f>IF(G19="Good",100,IF(G19="Fair",60,25))</f>
        <v/>
      </c>
    </row>
    <row r="20" ht="22" customHeight="1">
      <c r="B20" s="6" t="inlineStr">
        <is>
          <t>Housing cost vs. income</t>
        </is>
      </c>
      <c r="C20" s="40" t="n"/>
      <c r="D20" s="40" t="n"/>
      <c r="E20" s="41">
        <f>IF(IF(COUNTIF($C$26:$C$37,"&gt;0")=0,0,SUM($C$26:$C$37)/COUNTIF($C$26:$C$37,"&gt;0"))=0,0,-SUMIFS(Transactions!$E:$E,Transactions!$D:$D,"Mortgage / Rent",Transactions!$G:$G,"&gt;="&amp;EDATE(RptMonth,-12),Transactions!$G:$G,"&lt;"&amp;RptMonth)/MAX(1,COUNTIF($C$26:$C$37,"&gt;0"))/IF(COUNTIF($C$26:$C$37,"&gt;0")=0,0,SUM($C$26:$C$37)/COUNTIF($C$26:$C$37,"&gt;0")))</f>
        <v/>
      </c>
      <c r="F20" s="42" t="inlineStr">
        <is>
          <t>≤ 30%</t>
        </is>
      </c>
      <c r="G20" s="43">
        <f>IF(E20&lt;=0.3,"Good",IF(E20&lt;=0.4,"Fair","Needs work"))</f>
        <v/>
      </c>
      <c r="H20" s="44" t="inlineStr">
        <is>
          <t>Mortgage or rent as a share of take-home pay, averaged over 12 months.</t>
        </is>
      </c>
      <c r="I20" s="40" t="n"/>
      <c r="J20" s="40" t="n"/>
      <c r="K20" s="40" t="n"/>
      <c r="L20" s="40" t="n"/>
      <c r="M20" s="40" t="n"/>
      <c r="O20">
        <f>IF(Categories!A20="","",Categories!A20)</f>
        <v/>
      </c>
      <c r="P20">
        <f>IF(O20="",0,IF(OR(Categories!B20="Income",Categories!B20="Transfer"),0,-SUMIFS(Transactions!$E:$E,Transactions!$D:$D,O20,Transactions!$G:$G,RptMonth,Transactions!$F:$F,"Expense")-IF(O20="Uncategorized",SUMIFS(Transactions!$E:$E,Transactions!$D:$D,"",Transactions!$G:$G,RptMonth,Transactions!$F:$F,"Expense"),0)))</f>
        <v/>
      </c>
      <c r="Q20">
        <f>IF(P20&gt;0,P20+ROW()/1000000,0)</f>
        <v/>
      </c>
      <c r="R20">
        <f>IF(G20="Good",100,IF(G20="Fair",60,25))</f>
        <v/>
      </c>
    </row>
    <row r="21" ht="22" customHeight="1">
      <c r="B21" s="6" t="inlineStr">
        <is>
          <t>Net worth change (12 months)</t>
        </is>
      </c>
      <c r="C21" s="40" t="n"/>
      <c r="D21" s="40" t="n"/>
      <c r="E21" s="46">
        <f>IF(COUNT('Net Worth'!$E$6:$E$65)=0,0,B11-NW12ago)</f>
        <v/>
      </c>
      <c r="F21" s="42" t="inlineStr">
        <is>
          <t>Growing</t>
        </is>
      </c>
      <c r="G21" s="43">
        <f>IF(E21&gt;0,"Good",IF(E21=0,"Fair","Needs work"))</f>
        <v/>
      </c>
      <c r="H21" s="44" t="inlineStr">
        <is>
          <t>Are you building wealth year over year? Record a snapshot monthly on the Net Worth tab.</t>
        </is>
      </c>
      <c r="I21" s="40" t="n"/>
      <c r="J21" s="40" t="n"/>
      <c r="K21" s="40" t="n"/>
      <c r="L21" s="40" t="n"/>
      <c r="M21" s="40" t="n"/>
      <c r="O21">
        <f>IF(Categories!A21="","",Categories!A21)</f>
        <v/>
      </c>
      <c r="P21">
        <f>IF(O21="",0,IF(OR(Categories!B21="Income",Categories!B21="Transfer"),0,-SUMIFS(Transactions!$E:$E,Transactions!$D:$D,O21,Transactions!$G:$G,RptMonth,Transactions!$F:$F,"Expense")-IF(O21="Uncategorized",SUMIFS(Transactions!$E:$E,Transactions!$D:$D,"",Transactions!$G:$G,RptMonth,Transactions!$F:$F,"Expense"),0)))</f>
        <v/>
      </c>
      <c r="Q21">
        <f>IF(P21&gt;0,P21+ROW()/1000000,0)</f>
        <v/>
      </c>
      <c r="R21">
        <f>IF(G21="Good",100,IF(G21="Fair",60,25))</f>
        <v/>
      </c>
    </row>
    <row r="22" ht="22" customHeight="1">
      <c r="B22" s="6" t="inlineStr">
        <is>
          <t>Spending vs. budget (this month)</t>
        </is>
      </c>
      <c r="C22" s="40" t="n"/>
      <c r="D22" s="40" t="n"/>
      <c r="E22" s="41">
        <f>IF(SUMIFS(Categories!$D$6:$D$65,Categories!$B$6:$B$65,"Expense")=0,0,E7/SUMIFS(Categories!$D$6:$D$65,Categories!$B$6:$B$65,"Expense"))</f>
        <v/>
      </c>
      <c r="F22" s="42" t="inlineStr">
        <is>
          <t>≤ 100%</t>
        </is>
      </c>
      <c r="G22" s="43">
        <f>IF(E22&lt;=1,"Good",IF(E22&lt;=1.1,"Fair","Needs work"))</f>
        <v/>
      </c>
      <c r="H22" s="44" t="inlineStr">
        <is>
          <t>This month's spending against the monthly budgets on the Categories tab.</t>
        </is>
      </c>
      <c r="I22" s="40" t="n"/>
      <c r="J22" s="40" t="n"/>
      <c r="K22" s="40" t="n"/>
      <c r="L22" s="40" t="n"/>
      <c r="M22" s="40" t="n"/>
      <c r="O22">
        <f>IF(Categories!A22="","",Categories!A22)</f>
        <v/>
      </c>
      <c r="P22">
        <f>IF(O22="",0,IF(OR(Categories!B22="Income",Categories!B22="Transfer"),0,-SUMIFS(Transactions!$E:$E,Transactions!$D:$D,O22,Transactions!$G:$G,RptMonth,Transactions!$F:$F,"Expense")-IF(O22="Uncategorized",SUMIFS(Transactions!$E:$E,Transactions!$D:$D,"",Transactions!$G:$G,RptMonth,Transactions!$F:$F,"Expense"),0)))</f>
        <v/>
      </c>
      <c r="Q22">
        <f>IF(P22&gt;0,P22+ROW()/1000000,0)</f>
        <v/>
      </c>
      <c r="R22">
        <f>IF(G22="Good",100,IF(G22="Fair",60,25))</f>
        <v/>
      </c>
    </row>
    <row r="23">
      <c r="O23">
        <f>IF(Categories!A23="","",Categories!A23)</f>
        <v/>
      </c>
      <c r="P23">
        <f>IF(O23="",0,IF(OR(Categories!B23="Income",Categories!B23="Transfer"),0,-SUMIFS(Transactions!$E:$E,Transactions!$D:$D,O23,Transactions!$G:$G,RptMonth,Transactions!$F:$F,"Expense")-IF(O23="Uncategorized",SUMIFS(Transactions!$E:$E,Transactions!$D:$D,"",Transactions!$G:$G,RptMonth,Transactions!$F:$F,"Expense"),0)))</f>
        <v/>
      </c>
      <c r="Q23">
        <f>IF(P23&gt;0,P23+ROW()/1000000,0)</f>
        <v/>
      </c>
    </row>
    <row r="24" ht="24" customHeight="1">
      <c r="B24" s="4" t="inlineStr">
        <is>
          <t>LAST 12 MONTHS</t>
        </is>
      </c>
      <c r="C24" s="2" t="n"/>
      <c r="D24" s="2" t="n"/>
      <c r="E24" s="2" t="n"/>
      <c r="F24" s="2" t="n"/>
      <c r="G24" s="2" t="n"/>
      <c r="H24" s="2" t="n"/>
      <c r="I24" s="2" t="n"/>
      <c r="J24" s="2" t="n"/>
      <c r="K24" s="2" t="n"/>
      <c r="L24" s="2" t="n"/>
      <c r="M24" s="2" t="n"/>
      <c r="O24">
        <f>IF(Categories!A24="","",Categories!A24)</f>
        <v/>
      </c>
      <c r="P24">
        <f>IF(O24="",0,IF(OR(Categories!B24="Income",Categories!B24="Transfer"),0,-SUMIFS(Transactions!$E:$E,Transactions!$D:$D,O24,Transactions!$G:$G,RptMonth,Transactions!$F:$F,"Expense")-IF(O24="Uncategorized",SUMIFS(Transactions!$E:$E,Transactions!$D:$D,"",Transactions!$G:$G,RptMonth,Transactions!$F:$F,"Expense"),0)))</f>
        <v/>
      </c>
      <c r="Q24">
        <f>IF(P24&gt;0,P24+ROW()/1000000,0)</f>
        <v/>
      </c>
    </row>
    <row r="25" ht="24" customHeight="1">
      <c r="B25" s="35" t="inlineStr">
        <is>
          <t>Month</t>
        </is>
      </c>
      <c r="C25" s="38" t="inlineStr">
        <is>
          <t>Income</t>
        </is>
      </c>
      <c r="D25" s="38" t="inlineStr">
        <is>
          <t>Spending</t>
        </is>
      </c>
      <c r="E25" s="38" t="inlineStr">
        <is>
          <t>Net</t>
        </is>
      </c>
      <c r="F25" s="38" t="inlineStr">
        <is>
          <t>Savings Rate</t>
        </is>
      </c>
      <c r="O25">
        <f>IF(Categories!A25="","",Categories!A25)</f>
        <v/>
      </c>
      <c r="P25">
        <f>IF(O25="",0,IF(OR(Categories!B25="Income",Categories!B25="Transfer"),0,-SUMIFS(Transactions!$E:$E,Transactions!$D:$D,O25,Transactions!$G:$G,RptMonth,Transactions!$F:$F,"Expense")-IF(O25="Uncategorized",SUMIFS(Transactions!$E:$E,Transactions!$D:$D,"",Transactions!$G:$G,RptMonth,Transactions!$F:$F,"Expense"),0)))</f>
        <v/>
      </c>
      <c r="Q25">
        <f>IF(P25&gt;0,P25+ROW()/1000000,0)</f>
        <v/>
      </c>
    </row>
    <row r="26">
      <c r="B26" s="47">
        <f>EDATE(RptMonth,-12)</f>
        <v/>
      </c>
      <c r="C26" s="48">
        <f>SUMIFS(Transactions!$E:$E,Transactions!$F:$F,"Income",Transactions!$G:$G,B26)</f>
        <v/>
      </c>
      <c r="D26" s="48">
        <f>-SUMIFS(Transactions!$E:$E,Transactions!$F:$F,"Expense",Transactions!$G:$G,B26)</f>
        <v/>
      </c>
      <c r="E26" s="48">
        <f>C26-D26</f>
        <v/>
      </c>
      <c r="F26" s="49">
        <f>IF(C26&gt;0,E26/C26,0)</f>
        <v/>
      </c>
      <c r="O26">
        <f>IF(Categories!A26="","",Categories!A26)</f>
        <v/>
      </c>
      <c r="P26">
        <f>IF(O26="",0,IF(OR(Categories!B26="Income",Categories!B26="Transfer"),0,-SUMIFS(Transactions!$E:$E,Transactions!$D:$D,O26,Transactions!$G:$G,RptMonth,Transactions!$F:$F,"Expense")-IF(O26="Uncategorized",SUMIFS(Transactions!$E:$E,Transactions!$D:$D,"",Transactions!$G:$G,RptMonth,Transactions!$F:$F,"Expense"),0)))</f>
        <v/>
      </c>
      <c r="Q26">
        <f>IF(P26&gt;0,P26+ROW()/1000000,0)</f>
        <v/>
      </c>
    </row>
    <row r="27">
      <c r="B27" s="50">
        <f>EDATE(RptMonth,-11)</f>
        <v/>
      </c>
      <c r="C27" s="51">
        <f>SUMIFS(Transactions!$E:$E,Transactions!$F:$F,"Income",Transactions!$G:$G,B27)</f>
        <v/>
      </c>
      <c r="D27" s="51">
        <f>-SUMIFS(Transactions!$E:$E,Transactions!$F:$F,"Expense",Transactions!$G:$G,B27)</f>
        <v/>
      </c>
      <c r="E27" s="51">
        <f>C27-D27</f>
        <v/>
      </c>
      <c r="F27" s="52">
        <f>IF(C27&gt;0,E27/C27,0)</f>
        <v/>
      </c>
      <c r="O27">
        <f>IF(Categories!A27="","",Categories!A27)</f>
        <v/>
      </c>
      <c r="P27">
        <f>IF(O27="",0,IF(OR(Categories!B27="Income",Categories!B27="Transfer"),0,-SUMIFS(Transactions!$E:$E,Transactions!$D:$D,O27,Transactions!$G:$G,RptMonth,Transactions!$F:$F,"Expense")-IF(O27="Uncategorized",SUMIFS(Transactions!$E:$E,Transactions!$D:$D,"",Transactions!$G:$G,RptMonth,Transactions!$F:$F,"Expense"),0)))</f>
        <v/>
      </c>
      <c r="Q27">
        <f>IF(P27&gt;0,P27+ROW()/1000000,0)</f>
        <v/>
      </c>
    </row>
    <row r="28">
      <c r="B28" s="50">
        <f>EDATE(RptMonth,-10)</f>
        <v/>
      </c>
      <c r="C28" s="51">
        <f>SUMIFS(Transactions!$E:$E,Transactions!$F:$F,"Income",Transactions!$G:$G,B28)</f>
        <v/>
      </c>
      <c r="D28" s="51">
        <f>-SUMIFS(Transactions!$E:$E,Transactions!$F:$F,"Expense",Transactions!$G:$G,B28)</f>
        <v/>
      </c>
      <c r="E28" s="51">
        <f>C28-D28</f>
        <v/>
      </c>
      <c r="F28" s="52">
        <f>IF(C28&gt;0,E28/C28,0)</f>
        <v/>
      </c>
      <c r="O28">
        <f>IF(Categories!A28="","",Categories!A28)</f>
        <v/>
      </c>
      <c r="P28">
        <f>IF(O28="",0,IF(OR(Categories!B28="Income",Categories!B28="Transfer"),0,-SUMIFS(Transactions!$E:$E,Transactions!$D:$D,O28,Transactions!$G:$G,RptMonth,Transactions!$F:$F,"Expense")-IF(O28="Uncategorized",SUMIFS(Transactions!$E:$E,Transactions!$D:$D,"",Transactions!$G:$G,RptMonth,Transactions!$F:$F,"Expense"),0)))</f>
        <v/>
      </c>
      <c r="Q28">
        <f>IF(P28&gt;0,P28+ROW()/1000000,0)</f>
        <v/>
      </c>
    </row>
    <row r="29">
      <c r="B29" s="50">
        <f>EDATE(RptMonth,-9)</f>
        <v/>
      </c>
      <c r="C29" s="51">
        <f>SUMIFS(Transactions!$E:$E,Transactions!$F:$F,"Income",Transactions!$G:$G,B29)</f>
        <v/>
      </c>
      <c r="D29" s="51">
        <f>-SUMIFS(Transactions!$E:$E,Transactions!$F:$F,"Expense",Transactions!$G:$G,B29)</f>
        <v/>
      </c>
      <c r="E29" s="51">
        <f>C29-D29</f>
        <v/>
      </c>
      <c r="F29" s="52">
        <f>IF(C29&gt;0,E29/C29,0)</f>
        <v/>
      </c>
      <c r="O29">
        <f>IF(Categories!A29="","",Categories!A29)</f>
        <v/>
      </c>
      <c r="P29">
        <f>IF(O29="",0,IF(OR(Categories!B29="Income",Categories!B29="Transfer"),0,-SUMIFS(Transactions!$E:$E,Transactions!$D:$D,O29,Transactions!$G:$G,RptMonth,Transactions!$F:$F,"Expense")-IF(O29="Uncategorized",SUMIFS(Transactions!$E:$E,Transactions!$D:$D,"",Transactions!$G:$G,RptMonth,Transactions!$F:$F,"Expense"),0)))</f>
        <v/>
      </c>
      <c r="Q29">
        <f>IF(P29&gt;0,P29+ROW()/1000000,0)</f>
        <v/>
      </c>
    </row>
    <row r="30">
      <c r="B30" s="50">
        <f>EDATE(RptMonth,-8)</f>
        <v/>
      </c>
      <c r="C30" s="51">
        <f>SUMIFS(Transactions!$E:$E,Transactions!$F:$F,"Income",Transactions!$G:$G,B30)</f>
        <v/>
      </c>
      <c r="D30" s="51">
        <f>-SUMIFS(Transactions!$E:$E,Transactions!$F:$F,"Expense",Transactions!$G:$G,B30)</f>
        <v/>
      </c>
      <c r="E30" s="51">
        <f>C30-D30</f>
        <v/>
      </c>
      <c r="F30" s="52">
        <f>IF(C30&gt;0,E30/C30,0)</f>
        <v/>
      </c>
      <c r="O30">
        <f>IF(Categories!A30="","",Categories!A30)</f>
        <v/>
      </c>
      <c r="P30">
        <f>IF(O30="",0,IF(OR(Categories!B30="Income",Categories!B30="Transfer"),0,-SUMIFS(Transactions!$E:$E,Transactions!$D:$D,O30,Transactions!$G:$G,RptMonth,Transactions!$F:$F,"Expense")-IF(O30="Uncategorized",SUMIFS(Transactions!$E:$E,Transactions!$D:$D,"",Transactions!$G:$G,RptMonth,Transactions!$F:$F,"Expense"),0)))</f>
        <v/>
      </c>
      <c r="Q30">
        <f>IF(P30&gt;0,P30+ROW()/1000000,0)</f>
        <v/>
      </c>
    </row>
    <row r="31">
      <c r="B31" s="50">
        <f>EDATE(RptMonth,-7)</f>
        <v/>
      </c>
      <c r="C31" s="51">
        <f>SUMIFS(Transactions!$E:$E,Transactions!$F:$F,"Income",Transactions!$G:$G,B31)</f>
        <v/>
      </c>
      <c r="D31" s="51">
        <f>-SUMIFS(Transactions!$E:$E,Transactions!$F:$F,"Expense",Transactions!$G:$G,B31)</f>
        <v/>
      </c>
      <c r="E31" s="51">
        <f>C31-D31</f>
        <v/>
      </c>
      <c r="F31" s="52">
        <f>IF(C31&gt;0,E31/C31,0)</f>
        <v/>
      </c>
      <c r="O31">
        <f>IF(Categories!A31="","",Categories!A31)</f>
        <v/>
      </c>
      <c r="P31">
        <f>IF(O31="",0,IF(OR(Categories!B31="Income",Categories!B31="Transfer"),0,-SUMIFS(Transactions!$E:$E,Transactions!$D:$D,O31,Transactions!$G:$G,RptMonth,Transactions!$F:$F,"Expense")-IF(O31="Uncategorized",SUMIFS(Transactions!$E:$E,Transactions!$D:$D,"",Transactions!$G:$G,RptMonth,Transactions!$F:$F,"Expense"),0)))</f>
        <v/>
      </c>
      <c r="Q31">
        <f>IF(P31&gt;0,P31+ROW()/1000000,0)</f>
        <v/>
      </c>
    </row>
    <row r="32">
      <c r="B32" s="50">
        <f>EDATE(RptMonth,-6)</f>
        <v/>
      </c>
      <c r="C32" s="51">
        <f>SUMIFS(Transactions!$E:$E,Transactions!$F:$F,"Income",Transactions!$G:$G,B32)</f>
        <v/>
      </c>
      <c r="D32" s="51">
        <f>-SUMIFS(Transactions!$E:$E,Transactions!$F:$F,"Expense",Transactions!$G:$G,B32)</f>
        <v/>
      </c>
      <c r="E32" s="51">
        <f>C32-D32</f>
        <v/>
      </c>
      <c r="F32" s="52">
        <f>IF(C32&gt;0,E32/C32,0)</f>
        <v/>
      </c>
      <c r="O32">
        <f>IF(Categories!A32="","",Categories!A32)</f>
        <v/>
      </c>
      <c r="P32">
        <f>IF(O32="",0,IF(OR(Categories!B32="Income",Categories!B32="Transfer"),0,-SUMIFS(Transactions!$E:$E,Transactions!$D:$D,O32,Transactions!$G:$G,RptMonth,Transactions!$F:$F,"Expense")-IF(O32="Uncategorized",SUMIFS(Transactions!$E:$E,Transactions!$D:$D,"",Transactions!$G:$G,RptMonth,Transactions!$F:$F,"Expense"),0)))</f>
        <v/>
      </c>
      <c r="Q32">
        <f>IF(P32&gt;0,P32+ROW()/1000000,0)</f>
        <v/>
      </c>
    </row>
    <row r="33">
      <c r="B33" s="50">
        <f>EDATE(RptMonth,-5)</f>
        <v/>
      </c>
      <c r="C33" s="51">
        <f>SUMIFS(Transactions!$E:$E,Transactions!$F:$F,"Income",Transactions!$G:$G,B33)</f>
        <v/>
      </c>
      <c r="D33" s="51">
        <f>-SUMIFS(Transactions!$E:$E,Transactions!$F:$F,"Expense",Transactions!$G:$G,B33)</f>
        <v/>
      </c>
      <c r="E33" s="51">
        <f>C33-D33</f>
        <v/>
      </c>
      <c r="F33" s="52">
        <f>IF(C33&gt;0,E33/C33,0)</f>
        <v/>
      </c>
      <c r="O33">
        <f>IF(Categories!A33="","",Categories!A33)</f>
        <v/>
      </c>
      <c r="P33">
        <f>IF(O33="",0,IF(OR(Categories!B33="Income",Categories!B33="Transfer"),0,-SUMIFS(Transactions!$E:$E,Transactions!$D:$D,O33,Transactions!$G:$G,RptMonth,Transactions!$F:$F,"Expense")-IF(O33="Uncategorized",SUMIFS(Transactions!$E:$E,Transactions!$D:$D,"",Transactions!$G:$G,RptMonth,Transactions!$F:$F,"Expense"),0)))</f>
        <v/>
      </c>
      <c r="Q33">
        <f>IF(P33&gt;0,P33+ROW()/1000000,0)</f>
        <v/>
      </c>
    </row>
    <row r="34">
      <c r="B34" s="50">
        <f>EDATE(RptMonth,-4)</f>
        <v/>
      </c>
      <c r="C34" s="51">
        <f>SUMIFS(Transactions!$E:$E,Transactions!$F:$F,"Income",Transactions!$G:$G,B34)</f>
        <v/>
      </c>
      <c r="D34" s="51">
        <f>-SUMIFS(Transactions!$E:$E,Transactions!$F:$F,"Expense",Transactions!$G:$G,B34)</f>
        <v/>
      </c>
      <c r="E34" s="51">
        <f>C34-D34</f>
        <v/>
      </c>
      <c r="F34" s="52">
        <f>IF(C34&gt;0,E34/C34,0)</f>
        <v/>
      </c>
      <c r="O34">
        <f>IF(Categories!A34="","",Categories!A34)</f>
        <v/>
      </c>
      <c r="P34">
        <f>IF(O34="",0,IF(OR(Categories!B34="Income",Categories!B34="Transfer"),0,-SUMIFS(Transactions!$E:$E,Transactions!$D:$D,O34,Transactions!$G:$G,RptMonth,Transactions!$F:$F,"Expense")-IF(O34="Uncategorized",SUMIFS(Transactions!$E:$E,Transactions!$D:$D,"",Transactions!$G:$G,RptMonth,Transactions!$F:$F,"Expense"),0)))</f>
        <v/>
      </c>
      <c r="Q34">
        <f>IF(P34&gt;0,P34+ROW()/1000000,0)</f>
        <v/>
      </c>
    </row>
    <row r="35">
      <c r="B35" s="50">
        <f>EDATE(RptMonth,-3)</f>
        <v/>
      </c>
      <c r="C35" s="51">
        <f>SUMIFS(Transactions!$E:$E,Transactions!$F:$F,"Income",Transactions!$G:$G,B35)</f>
        <v/>
      </c>
      <c r="D35" s="51">
        <f>-SUMIFS(Transactions!$E:$E,Transactions!$F:$F,"Expense",Transactions!$G:$G,B35)</f>
        <v/>
      </c>
      <c r="E35" s="51">
        <f>C35-D35</f>
        <v/>
      </c>
      <c r="F35" s="52">
        <f>IF(C35&gt;0,E35/C35,0)</f>
        <v/>
      </c>
      <c r="O35">
        <f>IF(Categories!A35="","",Categories!A35)</f>
        <v/>
      </c>
      <c r="P35">
        <f>IF(O35="",0,IF(OR(Categories!B35="Income",Categories!B35="Transfer"),0,-SUMIFS(Transactions!$E:$E,Transactions!$D:$D,O35,Transactions!$G:$G,RptMonth,Transactions!$F:$F,"Expense")-IF(O35="Uncategorized",SUMIFS(Transactions!$E:$E,Transactions!$D:$D,"",Transactions!$G:$G,RptMonth,Transactions!$F:$F,"Expense"),0)))</f>
        <v/>
      </c>
      <c r="Q35">
        <f>IF(P35&gt;0,P35+ROW()/1000000,0)</f>
        <v/>
      </c>
    </row>
    <row r="36">
      <c r="B36" s="50">
        <f>EDATE(RptMonth,-2)</f>
        <v/>
      </c>
      <c r="C36" s="51">
        <f>SUMIFS(Transactions!$E:$E,Transactions!$F:$F,"Income",Transactions!$G:$G,B36)</f>
        <v/>
      </c>
      <c r="D36" s="51">
        <f>-SUMIFS(Transactions!$E:$E,Transactions!$F:$F,"Expense",Transactions!$G:$G,B36)</f>
        <v/>
      </c>
      <c r="E36" s="51">
        <f>C36-D36</f>
        <v/>
      </c>
      <c r="F36" s="52">
        <f>IF(C36&gt;0,E36/C36,0)</f>
        <v/>
      </c>
      <c r="O36">
        <f>IF(Categories!A36="","",Categories!A36)</f>
        <v/>
      </c>
      <c r="P36">
        <f>IF(O36="",0,IF(OR(Categories!B36="Income",Categories!B36="Transfer"),0,-SUMIFS(Transactions!$E:$E,Transactions!$D:$D,O36,Transactions!$G:$G,RptMonth,Transactions!$F:$F,"Expense")-IF(O36="Uncategorized",SUMIFS(Transactions!$E:$E,Transactions!$D:$D,"",Transactions!$G:$G,RptMonth,Transactions!$F:$F,"Expense"),0)))</f>
        <v/>
      </c>
      <c r="Q36">
        <f>IF(P36&gt;0,P36+ROW()/1000000,0)</f>
        <v/>
      </c>
    </row>
    <row r="37">
      <c r="B37" s="50">
        <f>EDATE(RptMonth,-1)</f>
        <v/>
      </c>
      <c r="C37" s="51">
        <f>SUMIFS(Transactions!$E:$E,Transactions!$F:$F,"Income",Transactions!$G:$G,B37)</f>
        <v/>
      </c>
      <c r="D37" s="51">
        <f>-SUMIFS(Transactions!$E:$E,Transactions!$F:$F,"Expense",Transactions!$G:$G,B37)</f>
        <v/>
      </c>
      <c r="E37" s="51">
        <f>C37-D37</f>
        <v/>
      </c>
      <c r="F37" s="52">
        <f>IF(C37&gt;0,E37/C37,0)</f>
        <v/>
      </c>
      <c r="O37">
        <f>IF(Categories!A37="","",Categories!A37)</f>
        <v/>
      </c>
      <c r="P37">
        <f>IF(O37="",0,IF(OR(Categories!B37="Income",Categories!B37="Transfer"),0,-SUMIFS(Transactions!$E:$E,Transactions!$D:$D,O37,Transactions!$G:$G,RptMonth,Transactions!$F:$F,"Expense")-IF(O37="Uncategorized",SUMIFS(Transactions!$E:$E,Transactions!$D:$D,"",Transactions!$G:$G,RptMonth,Transactions!$F:$F,"Expense"),0)))</f>
        <v/>
      </c>
      <c r="Q37">
        <f>IF(P37&gt;0,P37+ROW()/1000000,0)</f>
        <v/>
      </c>
    </row>
    <row r="38">
      <c r="B38" s="50">
        <f>EDATE(RptMonth,0)</f>
        <v/>
      </c>
      <c r="C38" s="51">
        <f>SUMIFS(Transactions!$E:$E,Transactions!$F:$F,"Income",Transactions!$G:$G,B38)</f>
        <v/>
      </c>
      <c r="D38" s="51">
        <f>-SUMIFS(Transactions!$E:$E,Transactions!$F:$F,"Expense",Transactions!$G:$G,B38)</f>
        <v/>
      </c>
      <c r="E38" s="51">
        <f>C38-D38</f>
        <v/>
      </c>
      <c r="F38" s="52">
        <f>IF(C38&gt;0,E38/C38,0)</f>
        <v/>
      </c>
      <c r="O38">
        <f>IF(Categories!A38="","",Categories!A38)</f>
        <v/>
      </c>
      <c r="P38">
        <f>IF(O38="",0,IF(OR(Categories!B38="Income",Categories!B38="Transfer"),0,-SUMIFS(Transactions!$E:$E,Transactions!$D:$D,O38,Transactions!$G:$G,RptMonth,Transactions!$F:$F,"Expense")-IF(O38="Uncategorized",SUMIFS(Transactions!$E:$E,Transactions!$D:$D,"",Transactions!$G:$G,RptMonth,Transactions!$F:$F,"Expense"),0)))</f>
        <v/>
      </c>
      <c r="Q38">
        <f>IF(P38&gt;0,P38+ROW()/1000000,0)</f>
        <v/>
      </c>
    </row>
    <row r="39">
      <c r="O39">
        <f>IF(Categories!A39="","",Categories!A39)</f>
        <v/>
      </c>
      <c r="P39">
        <f>IF(O39="",0,IF(OR(Categories!B39="Income",Categories!B39="Transfer"),0,-SUMIFS(Transactions!$E:$E,Transactions!$D:$D,O39,Transactions!$G:$G,RptMonth,Transactions!$F:$F,"Expense")-IF(O39="Uncategorized",SUMIFS(Transactions!$E:$E,Transactions!$D:$D,"",Transactions!$G:$G,RptMonth,Transactions!$F:$F,"Expense"),0)))</f>
        <v/>
      </c>
      <c r="Q39">
        <f>IF(P39&gt;0,P39+ROW()/1000000,0)</f>
        <v/>
      </c>
    </row>
    <row r="40" ht="24" customHeight="1">
      <c r="B40" s="4" t="inlineStr">
        <is>
          <t>WHERE THE MONEY WENT THIS MONTH</t>
        </is>
      </c>
      <c r="C40" s="2" t="n"/>
      <c r="D40" s="2" t="n"/>
      <c r="E40" s="2" t="n"/>
      <c r="F40" s="2" t="n"/>
      <c r="G40" s="2" t="n"/>
      <c r="H40" s="2" t="n"/>
      <c r="I40" s="2" t="n"/>
      <c r="J40" s="2" t="n"/>
      <c r="K40" s="2" t="n"/>
      <c r="L40" s="2" t="n"/>
      <c r="M40" s="2" t="n"/>
      <c r="O40">
        <f>IF(Categories!A40="","",Categories!A40)</f>
        <v/>
      </c>
      <c r="P40">
        <f>IF(O40="",0,IF(OR(Categories!B40="Income",Categories!B40="Transfer"),0,-SUMIFS(Transactions!$E:$E,Transactions!$D:$D,O40,Transactions!$G:$G,RptMonth,Transactions!$F:$F,"Expense")-IF(O40="Uncategorized",SUMIFS(Transactions!$E:$E,Transactions!$D:$D,"",Transactions!$G:$G,RptMonth,Transactions!$F:$F,"Expense"),0)))</f>
        <v/>
      </c>
      <c r="Q40">
        <f>IF(P40&gt;0,P40+ROW()/1000000,0)</f>
        <v/>
      </c>
    </row>
    <row r="41" ht="24" customHeight="1">
      <c r="B41" s="35" t="inlineStr">
        <is>
          <t>Category</t>
        </is>
      </c>
      <c r="C41" s="37" t="n"/>
      <c r="D41" s="38" t="inlineStr">
        <is>
          <t>Spent</t>
        </is>
      </c>
      <c r="E41" s="38" t="inlineStr">
        <is>
          <t>Share</t>
        </is>
      </c>
      <c r="F41" s="38" t="inlineStr">
        <is>
          <t>Of Budget</t>
        </is>
      </c>
      <c r="O41">
        <f>IF(Categories!A41="","",Categories!A41)</f>
        <v/>
      </c>
      <c r="P41">
        <f>IF(O41="",0,IF(OR(Categories!B41="Income",Categories!B41="Transfer"),0,-SUMIFS(Transactions!$E:$E,Transactions!$D:$D,O41,Transactions!$G:$G,RptMonth,Transactions!$F:$F,"Expense")-IF(O41="Uncategorized",SUMIFS(Transactions!$E:$E,Transactions!$D:$D,"",Transactions!$G:$G,RptMonth,Transactions!$F:$F,"Expense"),0)))</f>
        <v/>
      </c>
      <c r="Q41">
        <f>IF(P41&gt;0,P41+ROW()/1000000,0)</f>
        <v/>
      </c>
    </row>
    <row r="42">
      <c r="B42" s="53">
        <f>IF(LARGE($Q$6:$Q$65,1)&lt;=0,"",INDEX($O$6:$O$65,MATCH(LARGE($Q$6:$Q$65,1),$Q$6:$Q$65,0)))</f>
        <v/>
      </c>
      <c r="C42" s="53" t="n"/>
      <c r="D42" s="51">
        <f>IF(B42="","",INDEX($P$6:$P$65,MATCH(LARGE($Q$6:$Q$65,1),$Q$6:$Q$65,0)))</f>
        <v/>
      </c>
      <c r="E42" s="54">
        <f>IF(OR(B42="",$E$7=0),"",D42/$E$7)</f>
        <v/>
      </c>
      <c r="F42" s="54">
        <f>IF(B42="","",IF(N(INDEX(Categories!$D$6:$D$65,MATCH(B42,Categories!$A$6:$A$65,0)))=0,"no budget",D42/INDEX(Categories!$D$6:$D$65,MATCH(B42,Categories!$A$6:$A$65,0))))</f>
        <v/>
      </c>
      <c r="O42">
        <f>IF(Categories!A42="","",Categories!A42)</f>
        <v/>
      </c>
      <c r="P42">
        <f>IF(O42="",0,IF(OR(Categories!B42="Income",Categories!B42="Transfer"),0,-SUMIFS(Transactions!$E:$E,Transactions!$D:$D,O42,Transactions!$G:$G,RptMonth,Transactions!$F:$F,"Expense")-IF(O42="Uncategorized",SUMIFS(Transactions!$E:$E,Transactions!$D:$D,"",Transactions!$G:$G,RptMonth,Transactions!$F:$F,"Expense"),0)))</f>
        <v/>
      </c>
      <c r="Q42">
        <f>IF(P42&gt;0,P42+ROW()/1000000,0)</f>
        <v/>
      </c>
    </row>
    <row r="43">
      <c r="B43" s="53">
        <f>IF(LARGE($Q$6:$Q$65,2)&lt;=0,"",INDEX($O$6:$O$65,MATCH(LARGE($Q$6:$Q$65,2),$Q$6:$Q$65,0)))</f>
        <v/>
      </c>
      <c r="C43" s="53" t="n"/>
      <c r="D43" s="51">
        <f>IF(B43="","",INDEX($P$6:$P$65,MATCH(LARGE($Q$6:$Q$65,2),$Q$6:$Q$65,0)))</f>
        <v/>
      </c>
      <c r="E43" s="54">
        <f>IF(OR(B43="",$E$7=0),"",D43/$E$7)</f>
        <v/>
      </c>
      <c r="F43" s="54">
        <f>IF(B43="","",IF(N(INDEX(Categories!$D$6:$D$65,MATCH(B43,Categories!$A$6:$A$65,0)))=0,"no budget",D43/INDEX(Categories!$D$6:$D$65,MATCH(B43,Categories!$A$6:$A$65,0))))</f>
        <v/>
      </c>
      <c r="O43">
        <f>IF(Categories!A43="","",Categories!A43)</f>
        <v/>
      </c>
      <c r="P43">
        <f>IF(O43="",0,IF(OR(Categories!B43="Income",Categories!B43="Transfer"),0,-SUMIFS(Transactions!$E:$E,Transactions!$D:$D,O43,Transactions!$G:$G,RptMonth,Transactions!$F:$F,"Expense")-IF(O43="Uncategorized",SUMIFS(Transactions!$E:$E,Transactions!$D:$D,"",Transactions!$G:$G,RptMonth,Transactions!$F:$F,"Expense"),0)))</f>
        <v/>
      </c>
      <c r="Q43">
        <f>IF(P43&gt;0,P43+ROW()/1000000,0)</f>
        <v/>
      </c>
    </row>
    <row r="44">
      <c r="B44" s="53">
        <f>IF(LARGE($Q$6:$Q$65,3)&lt;=0,"",INDEX($O$6:$O$65,MATCH(LARGE($Q$6:$Q$65,3),$Q$6:$Q$65,0)))</f>
        <v/>
      </c>
      <c r="C44" s="53" t="n"/>
      <c r="D44" s="51">
        <f>IF(B44="","",INDEX($P$6:$P$65,MATCH(LARGE($Q$6:$Q$65,3),$Q$6:$Q$65,0)))</f>
        <v/>
      </c>
      <c r="E44" s="54">
        <f>IF(OR(B44="",$E$7=0),"",D44/$E$7)</f>
        <v/>
      </c>
      <c r="F44" s="54">
        <f>IF(B44="","",IF(N(INDEX(Categories!$D$6:$D$65,MATCH(B44,Categories!$A$6:$A$65,0)))=0,"no budget",D44/INDEX(Categories!$D$6:$D$65,MATCH(B44,Categories!$A$6:$A$65,0))))</f>
        <v/>
      </c>
      <c r="O44">
        <f>IF(Categories!A44="","",Categories!A44)</f>
        <v/>
      </c>
      <c r="P44">
        <f>IF(O44="",0,IF(OR(Categories!B44="Income",Categories!B44="Transfer"),0,-SUMIFS(Transactions!$E:$E,Transactions!$D:$D,O44,Transactions!$G:$G,RptMonth,Transactions!$F:$F,"Expense")-IF(O44="Uncategorized",SUMIFS(Transactions!$E:$E,Transactions!$D:$D,"",Transactions!$G:$G,RptMonth,Transactions!$F:$F,"Expense"),0)))</f>
        <v/>
      </c>
      <c r="Q44">
        <f>IF(P44&gt;0,P44+ROW()/1000000,0)</f>
        <v/>
      </c>
    </row>
    <row r="45">
      <c r="B45" s="53">
        <f>IF(LARGE($Q$6:$Q$65,4)&lt;=0,"",INDEX($O$6:$O$65,MATCH(LARGE($Q$6:$Q$65,4),$Q$6:$Q$65,0)))</f>
        <v/>
      </c>
      <c r="C45" s="53" t="n"/>
      <c r="D45" s="51">
        <f>IF(B45="","",INDEX($P$6:$P$65,MATCH(LARGE($Q$6:$Q$65,4),$Q$6:$Q$65,0)))</f>
        <v/>
      </c>
      <c r="E45" s="54">
        <f>IF(OR(B45="",$E$7=0),"",D45/$E$7)</f>
        <v/>
      </c>
      <c r="F45" s="54">
        <f>IF(B45="","",IF(N(INDEX(Categories!$D$6:$D$65,MATCH(B45,Categories!$A$6:$A$65,0)))=0,"no budget",D45/INDEX(Categories!$D$6:$D$65,MATCH(B45,Categories!$A$6:$A$65,0))))</f>
        <v/>
      </c>
      <c r="O45">
        <f>IF(Categories!A45="","",Categories!A45)</f>
        <v/>
      </c>
      <c r="P45">
        <f>IF(O45="",0,IF(OR(Categories!B45="Income",Categories!B45="Transfer"),0,-SUMIFS(Transactions!$E:$E,Transactions!$D:$D,O45,Transactions!$G:$G,RptMonth,Transactions!$F:$F,"Expense")-IF(O45="Uncategorized",SUMIFS(Transactions!$E:$E,Transactions!$D:$D,"",Transactions!$G:$G,RptMonth,Transactions!$F:$F,"Expense"),0)))</f>
        <v/>
      </c>
      <c r="Q45">
        <f>IF(P45&gt;0,P45+ROW()/1000000,0)</f>
        <v/>
      </c>
    </row>
    <row r="46">
      <c r="B46" s="53">
        <f>IF(LARGE($Q$6:$Q$65,5)&lt;=0,"",INDEX($O$6:$O$65,MATCH(LARGE($Q$6:$Q$65,5),$Q$6:$Q$65,0)))</f>
        <v/>
      </c>
      <c r="C46" s="53" t="n"/>
      <c r="D46" s="51">
        <f>IF(B46="","",INDEX($P$6:$P$65,MATCH(LARGE($Q$6:$Q$65,5),$Q$6:$Q$65,0)))</f>
        <v/>
      </c>
      <c r="E46" s="54">
        <f>IF(OR(B46="",$E$7=0),"",D46/$E$7)</f>
        <v/>
      </c>
      <c r="F46" s="54">
        <f>IF(B46="","",IF(N(INDEX(Categories!$D$6:$D$65,MATCH(B46,Categories!$A$6:$A$65,0)))=0,"no budget",D46/INDEX(Categories!$D$6:$D$65,MATCH(B46,Categories!$A$6:$A$65,0))))</f>
        <v/>
      </c>
      <c r="O46">
        <f>IF(Categories!A46="","",Categories!A46)</f>
        <v/>
      </c>
      <c r="P46">
        <f>IF(O46="",0,IF(OR(Categories!B46="Income",Categories!B46="Transfer"),0,-SUMIFS(Transactions!$E:$E,Transactions!$D:$D,O46,Transactions!$G:$G,RptMonth,Transactions!$F:$F,"Expense")-IF(O46="Uncategorized",SUMIFS(Transactions!$E:$E,Transactions!$D:$D,"",Transactions!$G:$G,RptMonth,Transactions!$F:$F,"Expense"),0)))</f>
        <v/>
      </c>
      <c r="Q46">
        <f>IF(P46&gt;0,P46+ROW()/1000000,0)</f>
        <v/>
      </c>
    </row>
    <row r="47">
      <c r="B47" s="53">
        <f>IF(LARGE($Q$6:$Q$65,6)&lt;=0,"",INDEX($O$6:$O$65,MATCH(LARGE($Q$6:$Q$65,6),$Q$6:$Q$65,0)))</f>
        <v/>
      </c>
      <c r="C47" s="53" t="n"/>
      <c r="D47" s="51">
        <f>IF(B47="","",INDEX($P$6:$P$65,MATCH(LARGE($Q$6:$Q$65,6),$Q$6:$Q$65,0)))</f>
        <v/>
      </c>
      <c r="E47" s="54">
        <f>IF(OR(B47="",$E$7=0),"",D47/$E$7)</f>
        <v/>
      </c>
      <c r="F47" s="54">
        <f>IF(B47="","",IF(N(INDEX(Categories!$D$6:$D$65,MATCH(B47,Categories!$A$6:$A$65,0)))=0,"no budget",D47/INDEX(Categories!$D$6:$D$65,MATCH(B47,Categories!$A$6:$A$65,0))))</f>
        <v/>
      </c>
      <c r="O47">
        <f>IF(Categories!A47="","",Categories!A47)</f>
        <v/>
      </c>
      <c r="P47">
        <f>IF(O47="",0,IF(OR(Categories!B47="Income",Categories!B47="Transfer"),0,-SUMIFS(Transactions!$E:$E,Transactions!$D:$D,O47,Transactions!$G:$G,RptMonth,Transactions!$F:$F,"Expense")-IF(O47="Uncategorized",SUMIFS(Transactions!$E:$E,Transactions!$D:$D,"",Transactions!$G:$G,RptMonth,Transactions!$F:$F,"Expense"),0)))</f>
        <v/>
      </c>
      <c r="Q47">
        <f>IF(P47&gt;0,P47+ROW()/1000000,0)</f>
        <v/>
      </c>
    </row>
    <row r="48">
      <c r="B48" s="53">
        <f>IF(LARGE($Q$6:$Q$65,7)&lt;=0,"",INDEX($O$6:$O$65,MATCH(LARGE($Q$6:$Q$65,7),$Q$6:$Q$65,0)))</f>
        <v/>
      </c>
      <c r="C48" s="53" t="n"/>
      <c r="D48" s="51">
        <f>IF(B48="","",INDEX($P$6:$P$65,MATCH(LARGE($Q$6:$Q$65,7),$Q$6:$Q$65,0)))</f>
        <v/>
      </c>
      <c r="E48" s="54">
        <f>IF(OR(B48="",$E$7=0),"",D48/$E$7)</f>
        <v/>
      </c>
      <c r="F48" s="54">
        <f>IF(B48="","",IF(N(INDEX(Categories!$D$6:$D$65,MATCH(B48,Categories!$A$6:$A$65,0)))=0,"no budget",D48/INDEX(Categories!$D$6:$D$65,MATCH(B48,Categories!$A$6:$A$65,0))))</f>
        <v/>
      </c>
      <c r="O48">
        <f>IF(Categories!A48="","",Categories!A48)</f>
        <v/>
      </c>
      <c r="P48">
        <f>IF(O48="",0,IF(OR(Categories!B48="Income",Categories!B48="Transfer"),0,-SUMIFS(Transactions!$E:$E,Transactions!$D:$D,O48,Transactions!$G:$G,RptMonth,Transactions!$F:$F,"Expense")-IF(O48="Uncategorized",SUMIFS(Transactions!$E:$E,Transactions!$D:$D,"",Transactions!$G:$G,RptMonth,Transactions!$F:$F,"Expense"),0)))</f>
        <v/>
      </c>
      <c r="Q48">
        <f>IF(P48&gt;0,P48+ROW()/1000000,0)</f>
        <v/>
      </c>
    </row>
    <row r="49">
      <c r="B49" s="53">
        <f>IF(LARGE($Q$6:$Q$65,8)&lt;=0,"",INDEX($O$6:$O$65,MATCH(LARGE($Q$6:$Q$65,8),$Q$6:$Q$65,0)))</f>
        <v/>
      </c>
      <c r="C49" s="53" t="n"/>
      <c r="D49" s="51">
        <f>IF(B49="","",INDEX($P$6:$P$65,MATCH(LARGE($Q$6:$Q$65,8),$Q$6:$Q$65,0)))</f>
        <v/>
      </c>
      <c r="E49" s="54">
        <f>IF(OR(B49="",$E$7=0),"",D49/$E$7)</f>
        <v/>
      </c>
      <c r="F49" s="54">
        <f>IF(B49="","",IF(N(INDEX(Categories!$D$6:$D$65,MATCH(B49,Categories!$A$6:$A$65,0)))=0,"no budget",D49/INDEX(Categories!$D$6:$D$65,MATCH(B49,Categories!$A$6:$A$65,0))))</f>
        <v/>
      </c>
      <c r="O49">
        <f>IF(Categories!A49="","",Categories!A49)</f>
        <v/>
      </c>
      <c r="P49">
        <f>IF(O49="",0,IF(OR(Categories!B49="Income",Categories!B49="Transfer"),0,-SUMIFS(Transactions!$E:$E,Transactions!$D:$D,O49,Transactions!$G:$G,RptMonth,Transactions!$F:$F,"Expense")-IF(O49="Uncategorized",SUMIFS(Transactions!$E:$E,Transactions!$D:$D,"",Transactions!$G:$G,RptMonth,Transactions!$F:$F,"Expense"),0)))</f>
        <v/>
      </c>
      <c r="Q49">
        <f>IF(P49&gt;0,P49+ROW()/1000000,0)</f>
        <v/>
      </c>
    </row>
    <row r="50">
      <c r="B50" s="53">
        <f>IF(LARGE($Q$6:$Q$65,9)&lt;=0,"",INDEX($O$6:$O$65,MATCH(LARGE($Q$6:$Q$65,9),$Q$6:$Q$65,0)))</f>
        <v/>
      </c>
      <c r="C50" s="53" t="n"/>
      <c r="D50" s="51">
        <f>IF(B50="","",INDEX($P$6:$P$65,MATCH(LARGE($Q$6:$Q$65,9),$Q$6:$Q$65,0)))</f>
        <v/>
      </c>
      <c r="E50" s="54">
        <f>IF(OR(B50="",$E$7=0),"",D50/$E$7)</f>
        <v/>
      </c>
      <c r="F50" s="54">
        <f>IF(B50="","",IF(N(INDEX(Categories!$D$6:$D$65,MATCH(B50,Categories!$A$6:$A$65,0)))=0,"no budget",D50/INDEX(Categories!$D$6:$D$65,MATCH(B50,Categories!$A$6:$A$65,0))))</f>
        <v/>
      </c>
      <c r="O50">
        <f>IF(Categories!A50="","",Categories!A50)</f>
        <v/>
      </c>
      <c r="P50">
        <f>IF(O50="",0,IF(OR(Categories!B50="Income",Categories!B50="Transfer"),0,-SUMIFS(Transactions!$E:$E,Transactions!$D:$D,O50,Transactions!$G:$G,RptMonth,Transactions!$F:$F,"Expense")-IF(O50="Uncategorized",SUMIFS(Transactions!$E:$E,Transactions!$D:$D,"",Transactions!$G:$G,RptMonth,Transactions!$F:$F,"Expense"),0)))</f>
        <v/>
      </c>
      <c r="Q50">
        <f>IF(P50&gt;0,P50+ROW()/1000000,0)</f>
        <v/>
      </c>
    </row>
    <row r="51">
      <c r="B51" s="53">
        <f>IF(LARGE($Q$6:$Q$65,10)&lt;=0,"",INDEX($O$6:$O$65,MATCH(LARGE($Q$6:$Q$65,10),$Q$6:$Q$65,0)))</f>
        <v/>
      </c>
      <c r="C51" s="53" t="n"/>
      <c r="D51" s="51">
        <f>IF(B51="","",INDEX($P$6:$P$65,MATCH(LARGE($Q$6:$Q$65,10),$Q$6:$Q$65,0)))</f>
        <v/>
      </c>
      <c r="E51" s="54">
        <f>IF(OR(B51="",$E$7=0),"",D51/$E$7)</f>
        <v/>
      </c>
      <c r="F51" s="54">
        <f>IF(B51="","",IF(N(INDEX(Categories!$D$6:$D$65,MATCH(B51,Categories!$A$6:$A$65,0)))=0,"no budget",D51/INDEX(Categories!$D$6:$D$65,MATCH(B51,Categories!$A$6:$A$65,0))))</f>
        <v/>
      </c>
      <c r="O51">
        <f>IF(Categories!A51="","",Categories!A51)</f>
        <v/>
      </c>
      <c r="P51">
        <f>IF(O51="",0,IF(OR(Categories!B51="Income",Categories!B51="Transfer"),0,-SUMIFS(Transactions!$E:$E,Transactions!$D:$D,O51,Transactions!$G:$G,RptMonth,Transactions!$F:$F,"Expense")-IF(O51="Uncategorized",SUMIFS(Transactions!$E:$E,Transactions!$D:$D,"",Transactions!$G:$G,RptMonth,Transactions!$F:$F,"Expense"),0)))</f>
        <v/>
      </c>
      <c r="Q51">
        <f>IF(P51&gt;0,P51+ROW()/1000000,0)</f>
        <v/>
      </c>
    </row>
    <row r="52">
      <c r="O52">
        <f>IF(Categories!A52="","",Categories!A52)</f>
        <v/>
      </c>
      <c r="P52">
        <f>IF(O52="",0,IF(OR(Categories!B52="Income",Categories!B52="Transfer"),0,-SUMIFS(Transactions!$E:$E,Transactions!$D:$D,O52,Transactions!$G:$G,RptMonth,Transactions!$F:$F,"Expense")-IF(O52="Uncategorized",SUMIFS(Transactions!$E:$E,Transactions!$D:$D,"",Transactions!$G:$G,RptMonth,Transactions!$F:$F,"Expense"),0)))</f>
        <v/>
      </c>
      <c r="Q52">
        <f>IF(P52&gt;0,P52+ROW()/1000000,0)</f>
        <v/>
      </c>
    </row>
    <row r="53">
      <c r="O53">
        <f>IF(Categories!A53="","",Categories!A53)</f>
        <v/>
      </c>
      <c r="P53">
        <f>IF(O53="",0,IF(OR(Categories!B53="Income",Categories!B53="Transfer"),0,-SUMIFS(Transactions!$E:$E,Transactions!$D:$D,O53,Transactions!$G:$G,RptMonth,Transactions!$F:$F,"Expense")-IF(O53="Uncategorized",SUMIFS(Transactions!$E:$E,Transactions!$D:$D,"",Transactions!$G:$G,RptMonth,Transactions!$F:$F,"Expense"),0)))</f>
        <v/>
      </c>
      <c r="Q53">
        <f>IF(P53&gt;0,P53+ROW()/1000000,0)</f>
        <v/>
      </c>
    </row>
    <row r="54" ht="24" customHeight="1">
      <c r="B54" s="4" t="inlineStr">
        <is>
          <t>LARGEST EXPENSES THIS MONTH</t>
        </is>
      </c>
      <c r="C54" s="2" t="n"/>
      <c r="D54" s="2" t="n"/>
      <c r="E54" s="2" t="n"/>
      <c r="F54" s="2" t="n"/>
      <c r="G54" s="2" t="n"/>
      <c r="H54" s="2" t="n"/>
      <c r="I54" s="2" t="n"/>
      <c r="J54" s="2" t="n"/>
      <c r="K54" s="2" t="n"/>
      <c r="L54" s="2" t="n"/>
      <c r="M54" s="2" t="n"/>
      <c r="O54">
        <f>IF(Categories!A54="","",Categories!A54)</f>
        <v/>
      </c>
      <c r="P54">
        <f>IF(O54="",0,IF(OR(Categories!B54="Income",Categories!B54="Transfer"),0,-SUMIFS(Transactions!$E:$E,Transactions!$D:$D,O54,Transactions!$G:$G,RptMonth,Transactions!$F:$F,"Expense")-IF(O54="Uncategorized",SUMIFS(Transactions!$E:$E,Transactions!$D:$D,"",Transactions!$G:$G,RptMonth,Transactions!$F:$F,"Expense"),0)))</f>
        <v/>
      </c>
      <c r="Q54">
        <f>IF(P54&gt;0,P54+ROW()/1000000,0)</f>
        <v/>
      </c>
    </row>
    <row r="55" ht="24" customHeight="1">
      <c r="B55" s="35" t="inlineStr">
        <is>
          <t>Date</t>
        </is>
      </c>
      <c r="C55" s="35" t="inlineStr">
        <is>
          <t>Description</t>
        </is>
      </c>
      <c r="D55" s="36" t="n"/>
      <c r="E55" s="36" t="n"/>
      <c r="F55" s="37" t="n"/>
      <c r="G55" s="35" t="inlineStr">
        <is>
          <t>Category</t>
        </is>
      </c>
      <c r="H55" s="37" t="n"/>
      <c r="I55" s="35" t="inlineStr">
        <is>
          <t>Account</t>
        </is>
      </c>
      <c r="J55" s="37" t="n"/>
      <c r="K55" s="38" t="inlineStr">
        <is>
          <t>Amount</t>
        </is>
      </c>
      <c r="O55">
        <f>IF(Categories!A55="","",Categories!A55)</f>
        <v/>
      </c>
      <c r="P55">
        <f>IF(O55="",0,IF(OR(Categories!B55="Income",Categories!B55="Transfer"),0,-SUMIFS(Transactions!$E:$E,Transactions!$D:$D,O55,Transactions!$G:$G,RptMonth,Transactions!$F:$F,"Expense")-IF(O55="Uncategorized",SUMIFS(Transactions!$E:$E,Transactions!$D:$D,"",Transactions!$G:$G,RptMonth,Transactions!$F:$F,"Expense"),0)))</f>
        <v/>
      </c>
      <c r="Q55">
        <f>IF(P55&gt;0,P55+ROW()/1000000,0)</f>
        <v/>
      </c>
    </row>
    <row r="56" ht="20" customHeight="1">
      <c r="B56" s="55">
        <f>IF($R56=0,"",INDEX(Transactions!$A$6:$A$50005,$R56))</f>
        <v/>
      </c>
      <c r="C56" s="56">
        <f>IF($R56=0,"",INDEX(Transactions!$C$6:$C$50005,$R56))</f>
        <v/>
      </c>
      <c r="D56" s="56" t="n"/>
      <c r="E56" s="56" t="n"/>
      <c r="F56" s="56" t="n"/>
      <c r="G56" s="56">
        <f>IF($R56=0,"",INDEX(Transactions!$D$6:$D$50005,$R56))</f>
        <v/>
      </c>
      <c r="H56" s="56" t="n"/>
      <c r="I56" s="56">
        <f>IF($R56=0,"",INDEX(Transactions!$B$6:$B$50005,$R56))</f>
        <v/>
      </c>
      <c r="J56" s="56" t="n"/>
      <c r="K56" s="57">
        <f>IF($R56=0,"",INDEX(Transactions!$E$6:$E$50005,$R56))</f>
        <v/>
      </c>
      <c r="O56">
        <f>IF(Categories!A56="","",Categories!A56)</f>
        <v/>
      </c>
      <c r="P56">
        <f>IF(O56="",0,IF(OR(Categories!B56="Income",Categories!B56="Transfer"),0,-SUMIFS(Transactions!$E:$E,Transactions!$D:$D,O56,Transactions!$G:$G,RptMonth,Transactions!$F:$F,"Expense")-IF(O56="Uncategorized",SUMIFS(Transactions!$E:$E,Transactions!$D:$D,"",Transactions!$G:$G,RptMonth,Transactions!$F:$F,"Expense"),0)))</f>
        <v/>
      </c>
      <c r="Q56">
        <f>IF(P56&gt;0,P56+ROW()/1000000,0)</f>
        <v/>
      </c>
      <c r="R56">
        <f>IFERROR(MATCH(LARGE(Transactions!$Q$6:$Q$50005,1),Transactions!$Q$6:$Q$50005,0),0)</f>
        <v/>
      </c>
    </row>
    <row r="57" ht="20" customHeight="1">
      <c r="B57" s="55">
        <f>IF($R57=0,"",INDEX(Transactions!$A$6:$A$50005,$R57))</f>
        <v/>
      </c>
      <c r="C57" s="56">
        <f>IF($R57=0,"",INDEX(Transactions!$C$6:$C$50005,$R57))</f>
        <v/>
      </c>
      <c r="D57" s="56" t="n"/>
      <c r="E57" s="56" t="n"/>
      <c r="F57" s="56" t="n"/>
      <c r="G57" s="56">
        <f>IF($R57=0,"",INDEX(Transactions!$D$6:$D$50005,$R57))</f>
        <v/>
      </c>
      <c r="H57" s="56" t="n"/>
      <c r="I57" s="56">
        <f>IF($R57=0,"",INDEX(Transactions!$B$6:$B$50005,$R57))</f>
        <v/>
      </c>
      <c r="J57" s="56" t="n"/>
      <c r="K57" s="57">
        <f>IF($R57=0,"",INDEX(Transactions!$E$6:$E$50005,$R57))</f>
        <v/>
      </c>
      <c r="O57">
        <f>IF(Categories!A57="","",Categories!A57)</f>
        <v/>
      </c>
      <c r="P57">
        <f>IF(O57="",0,IF(OR(Categories!B57="Income",Categories!B57="Transfer"),0,-SUMIFS(Transactions!$E:$E,Transactions!$D:$D,O57,Transactions!$G:$G,RptMonth,Transactions!$F:$F,"Expense")-IF(O57="Uncategorized",SUMIFS(Transactions!$E:$E,Transactions!$D:$D,"",Transactions!$G:$G,RptMonth,Transactions!$F:$F,"Expense"),0)))</f>
        <v/>
      </c>
      <c r="Q57">
        <f>IF(P57&gt;0,P57+ROW()/1000000,0)</f>
        <v/>
      </c>
      <c r="R57">
        <f>IFERROR(MATCH(LARGE(Transactions!$Q$6:$Q$50005,2),Transactions!$Q$6:$Q$50005,0),0)</f>
        <v/>
      </c>
    </row>
    <row r="58" ht="20" customHeight="1">
      <c r="B58" s="55">
        <f>IF($R58=0,"",INDEX(Transactions!$A$6:$A$50005,$R58))</f>
        <v/>
      </c>
      <c r="C58" s="56">
        <f>IF($R58=0,"",INDEX(Transactions!$C$6:$C$50005,$R58))</f>
        <v/>
      </c>
      <c r="D58" s="56" t="n"/>
      <c r="E58" s="56" t="n"/>
      <c r="F58" s="56" t="n"/>
      <c r="G58" s="56">
        <f>IF($R58=0,"",INDEX(Transactions!$D$6:$D$50005,$R58))</f>
        <v/>
      </c>
      <c r="H58" s="56" t="n"/>
      <c r="I58" s="56">
        <f>IF($R58=0,"",INDEX(Transactions!$B$6:$B$50005,$R58))</f>
        <v/>
      </c>
      <c r="J58" s="56" t="n"/>
      <c r="K58" s="57">
        <f>IF($R58=0,"",INDEX(Transactions!$E$6:$E$50005,$R58))</f>
        <v/>
      </c>
      <c r="O58">
        <f>IF(Categories!A58="","",Categories!A58)</f>
        <v/>
      </c>
      <c r="P58">
        <f>IF(O58="",0,IF(OR(Categories!B58="Income",Categories!B58="Transfer"),0,-SUMIFS(Transactions!$E:$E,Transactions!$D:$D,O58,Transactions!$G:$G,RptMonth,Transactions!$F:$F,"Expense")-IF(O58="Uncategorized",SUMIFS(Transactions!$E:$E,Transactions!$D:$D,"",Transactions!$G:$G,RptMonth,Transactions!$F:$F,"Expense"),0)))</f>
        <v/>
      </c>
      <c r="Q58">
        <f>IF(P58&gt;0,P58+ROW()/1000000,0)</f>
        <v/>
      </c>
      <c r="R58">
        <f>IFERROR(MATCH(LARGE(Transactions!$Q$6:$Q$50005,3),Transactions!$Q$6:$Q$50005,0),0)</f>
        <v/>
      </c>
    </row>
    <row r="59" ht="20" customHeight="1">
      <c r="B59" s="55">
        <f>IF($R59=0,"",INDEX(Transactions!$A$6:$A$50005,$R59))</f>
        <v/>
      </c>
      <c r="C59" s="56">
        <f>IF($R59=0,"",INDEX(Transactions!$C$6:$C$50005,$R59))</f>
        <v/>
      </c>
      <c r="D59" s="56" t="n"/>
      <c r="E59" s="56" t="n"/>
      <c r="F59" s="56" t="n"/>
      <c r="G59" s="56">
        <f>IF($R59=0,"",INDEX(Transactions!$D$6:$D$50005,$R59))</f>
        <v/>
      </c>
      <c r="H59" s="56" t="n"/>
      <c r="I59" s="56">
        <f>IF($R59=0,"",INDEX(Transactions!$B$6:$B$50005,$R59))</f>
        <v/>
      </c>
      <c r="J59" s="56" t="n"/>
      <c r="K59" s="57">
        <f>IF($R59=0,"",INDEX(Transactions!$E$6:$E$50005,$R59))</f>
        <v/>
      </c>
      <c r="O59">
        <f>IF(Categories!A59="","",Categories!A59)</f>
        <v/>
      </c>
      <c r="P59">
        <f>IF(O59="",0,IF(OR(Categories!B59="Income",Categories!B59="Transfer"),0,-SUMIFS(Transactions!$E:$E,Transactions!$D:$D,O59,Transactions!$G:$G,RptMonth,Transactions!$F:$F,"Expense")-IF(O59="Uncategorized",SUMIFS(Transactions!$E:$E,Transactions!$D:$D,"",Transactions!$G:$G,RptMonth,Transactions!$F:$F,"Expense"),0)))</f>
        <v/>
      </c>
      <c r="Q59">
        <f>IF(P59&gt;0,P59+ROW()/1000000,0)</f>
        <v/>
      </c>
      <c r="R59">
        <f>IFERROR(MATCH(LARGE(Transactions!$Q$6:$Q$50005,4),Transactions!$Q$6:$Q$50005,0),0)</f>
        <v/>
      </c>
    </row>
    <row r="60" ht="20" customHeight="1">
      <c r="B60" s="55">
        <f>IF($R60=0,"",INDEX(Transactions!$A$6:$A$50005,$R60))</f>
        <v/>
      </c>
      <c r="C60" s="56">
        <f>IF($R60=0,"",INDEX(Transactions!$C$6:$C$50005,$R60))</f>
        <v/>
      </c>
      <c r="D60" s="56" t="n"/>
      <c r="E60" s="56" t="n"/>
      <c r="F60" s="56" t="n"/>
      <c r="G60" s="56">
        <f>IF($R60=0,"",INDEX(Transactions!$D$6:$D$50005,$R60))</f>
        <v/>
      </c>
      <c r="H60" s="56" t="n"/>
      <c r="I60" s="56">
        <f>IF($R60=0,"",INDEX(Transactions!$B$6:$B$50005,$R60))</f>
        <v/>
      </c>
      <c r="J60" s="56" t="n"/>
      <c r="K60" s="57">
        <f>IF($R60=0,"",INDEX(Transactions!$E$6:$E$50005,$R60))</f>
        <v/>
      </c>
      <c r="O60">
        <f>IF(Categories!A60="","",Categories!A60)</f>
        <v/>
      </c>
      <c r="P60">
        <f>IF(O60="",0,IF(OR(Categories!B60="Income",Categories!B60="Transfer"),0,-SUMIFS(Transactions!$E:$E,Transactions!$D:$D,O60,Transactions!$G:$G,RptMonth,Transactions!$F:$F,"Expense")-IF(O60="Uncategorized",SUMIFS(Transactions!$E:$E,Transactions!$D:$D,"",Transactions!$G:$G,RptMonth,Transactions!$F:$F,"Expense"),0)))</f>
        <v/>
      </c>
      <c r="Q60">
        <f>IF(P60&gt;0,P60+ROW()/1000000,0)</f>
        <v/>
      </c>
      <c r="R60">
        <f>IFERROR(MATCH(LARGE(Transactions!$Q$6:$Q$50005,5),Transactions!$Q$6:$Q$50005,0),0)</f>
        <v/>
      </c>
    </row>
    <row r="61" ht="20" customHeight="1">
      <c r="B61" s="55">
        <f>IF($R61=0,"",INDEX(Transactions!$A$6:$A$50005,$R61))</f>
        <v/>
      </c>
      <c r="C61" s="56">
        <f>IF($R61=0,"",INDEX(Transactions!$C$6:$C$50005,$R61))</f>
        <v/>
      </c>
      <c r="D61" s="56" t="n"/>
      <c r="E61" s="56" t="n"/>
      <c r="F61" s="56" t="n"/>
      <c r="G61" s="56">
        <f>IF($R61=0,"",INDEX(Transactions!$D$6:$D$50005,$R61))</f>
        <v/>
      </c>
      <c r="H61" s="56" t="n"/>
      <c r="I61" s="56">
        <f>IF($R61=0,"",INDEX(Transactions!$B$6:$B$50005,$R61))</f>
        <v/>
      </c>
      <c r="J61" s="56" t="n"/>
      <c r="K61" s="57">
        <f>IF($R61=0,"",INDEX(Transactions!$E$6:$E$50005,$R61))</f>
        <v/>
      </c>
      <c r="O61">
        <f>IF(Categories!A61="","",Categories!A61)</f>
        <v/>
      </c>
      <c r="P61">
        <f>IF(O61="",0,IF(OR(Categories!B61="Income",Categories!B61="Transfer"),0,-SUMIFS(Transactions!$E:$E,Transactions!$D:$D,O61,Transactions!$G:$G,RptMonth,Transactions!$F:$F,"Expense")-IF(O61="Uncategorized",SUMIFS(Transactions!$E:$E,Transactions!$D:$D,"",Transactions!$G:$G,RptMonth,Transactions!$F:$F,"Expense"),0)))</f>
        <v/>
      </c>
      <c r="Q61">
        <f>IF(P61&gt;0,P61+ROW()/1000000,0)</f>
        <v/>
      </c>
      <c r="R61">
        <f>IFERROR(MATCH(LARGE(Transactions!$Q$6:$Q$50005,6),Transactions!$Q$6:$Q$50005,0),0)</f>
        <v/>
      </c>
    </row>
    <row r="62" ht="20" customHeight="1">
      <c r="B62" s="55">
        <f>IF($R62=0,"",INDEX(Transactions!$A$6:$A$50005,$R62))</f>
        <v/>
      </c>
      <c r="C62" s="56">
        <f>IF($R62=0,"",INDEX(Transactions!$C$6:$C$50005,$R62))</f>
        <v/>
      </c>
      <c r="D62" s="56" t="n"/>
      <c r="E62" s="56" t="n"/>
      <c r="F62" s="56" t="n"/>
      <c r="G62" s="56">
        <f>IF($R62=0,"",INDEX(Transactions!$D$6:$D$50005,$R62))</f>
        <v/>
      </c>
      <c r="H62" s="56" t="n"/>
      <c r="I62" s="56">
        <f>IF($R62=0,"",INDEX(Transactions!$B$6:$B$50005,$R62))</f>
        <v/>
      </c>
      <c r="J62" s="56" t="n"/>
      <c r="K62" s="57">
        <f>IF($R62=0,"",INDEX(Transactions!$E$6:$E$50005,$R62))</f>
        <v/>
      </c>
      <c r="O62">
        <f>IF(Categories!A62="","",Categories!A62)</f>
        <v/>
      </c>
      <c r="P62">
        <f>IF(O62="",0,IF(OR(Categories!B62="Income",Categories!B62="Transfer"),0,-SUMIFS(Transactions!$E:$E,Transactions!$D:$D,O62,Transactions!$G:$G,RptMonth,Transactions!$F:$F,"Expense")-IF(O62="Uncategorized",SUMIFS(Transactions!$E:$E,Transactions!$D:$D,"",Transactions!$G:$G,RptMonth,Transactions!$F:$F,"Expense"),0)))</f>
        <v/>
      </c>
      <c r="Q62">
        <f>IF(P62&gt;0,P62+ROW()/1000000,0)</f>
        <v/>
      </c>
      <c r="R62">
        <f>IFERROR(MATCH(LARGE(Transactions!$Q$6:$Q$50005,7),Transactions!$Q$6:$Q$50005,0),0)</f>
        <v/>
      </c>
    </row>
    <row r="63" ht="20" customHeight="1">
      <c r="B63" s="55">
        <f>IF($R63=0,"",INDEX(Transactions!$A$6:$A$50005,$R63))</f>
        <v/>
      </c>
      <c r="C63" s="56">
        <f>IF($R63=0,"",INDEX(Transactions!$C$6:$C$50005,$R63))</f>
        <v/>
      </c>
      <c r="D63" s="56" t="n"/>
      <c r="E63" s="56" t="n"/>
      <c r="F63" s="56" t="n"/>
      <c r="G63" s="56">
        <f>IF($R63=0,"",INDEX(Transactions!$D$6:$D$50005,$R63))</f>
        <v/>
      </c>
      <c r="H63" s="56" t="n"/>
      <c r="I63" s="56">
        <f>IF($R63=0,"",INDEX(Transactions!$B$6:$B$50005,$R63))</f>
        <v/>
      </c>
      <c r="J63" s="56" t="n"/>
      <c r="K63" s="57">
        <f>IF($R63=0,"",INDEX(Transactions!$E$6:$E$50005,$R63))</f>
        <v/>
      </c>
      <c r="O63">
        <f>IF(Categories!A63="","",Categories!A63)</f>
        <v/>
      </c>
      <c r="P63">
        <f>IF(O63="",0,IF(OR(Categories!B63="Income",Categories!B63="Transfer"),0,-SUMIFS(Transactions!$E:$E,Transactions!$D:$D,O63,Transactions!$G:$G,RptMonth,Transactions!$F:$F,"Expense")-IF(O63="Uncategorized",SUMIFS(Transactions!$E:$E,Transactions!$D:$D,"",Transactions!$G:$G,RptMonth,Transactions!$F:$F,"Expense"),0)))</f>
        <v/>
      </c>
      <c r="Q63">
        <f>IF(P63&gt;0,P63+ROW()/1000000,0)</f>
        <v/>
      </c>
      <c r="R63">
        <f>IFERROR(MATCH(LARGE(Transactions!$Q$6:$Q$50005,8),Transactions!$Q$6:$Q$50005,0),0)</f>
        <v/>
      </c>
    </row>
    <row r="64">
      <c r="O64">
        <f>IF(Categories!A64="","",Categories!A64)</f>
        <v/>
      </c>
      <c r="P64">
        <f>IF(O64="",0,IF(OR(Categories!B64="Income",Categories!B64="Transfer"),0,-SUMIFS(Transactions!$E:$E,Transactions!$D:$D,O64,Transactions!$G:$G,RptMonth,Transactions!$F:$F,"Expense")-IF(O64="Uncategorized",SUMIFS(Transactions!$E:$E,Transactions!$D:$D,"",Transactions!$G:$G,RptMonth,Transactions!$F:$F,"Expense"),0)))</f>
        <v/>
      </c>
      <c r="Q64">
        <f>IF(P64&gt;0,P64+ROW()/1000000,0)</f>
        <v/>
      </c>
    </row>
    <row r="65" ht="24" customHeight="1">
      <c r="B65" s="4" t="inlineStr">
        <is>
          <t>WHAT YOU HAVE AND WHAT YOU OWE</t>
        </is>
      </c>
      <c r="C65" s="2" t="n"/>
      <c r="D65" s="2" t="n"/>
      <c r="E65" s="2" t="n"/>
      <c r="F65" s="2" t="n"/>
      <c r="G65" s="2" t="n"/>
      <c r="H65" s="2" t="n"/>
      <c r="I65" s="2" t="n"/>
      <c r="J65" s="2" t="n"/>
      <c r="K65" s="2" t="n"/>
      <c r="L65" s="2" t="n"/>
      <c r="M65" s="2" t="n"/>
      <c r="O65">
        <f>IF(Categories!A65="","",Categories!A65)</f>
        <v/>
      </c>
      <c r="P65">
        <f>IF(O65="",0,IF(OR(Categories!B65="Income",Categories!B65="Transfer"),0,-SUMIFS(Transactions!$E:$E,Transactions!$D:$D,O65,Transactions!$G:$G,RptMonth,Transactions!$F:$F,"Expense")-IF(O65="Uncategorized",SUMIFS(Transactions!$E:$E,Transactions!$D:$D,"",Transactions!$G:$G,RptMonth,Transactions!$F:$F,"Expense"),0)))</f>
        <v/>
      </c>
      <c r="Q65">
        <f>IF(P65&gt;0,P65+ROW()/1000000,0)</f>
        <v/>
      </c>
    </row>
    <row r="66" ht="24" customHeight="1">
      <c r="B66" s="35" t="inlineStr">
        <is>
          <t>Group</t>
        </is>
      </c>
      <c r="C66" s="37" t="n"/>
      <c r="D66" s="38" t="inlineStr">
        <is>
          <t>Balance</t>
        </is>
      </c>
    </row>
    <row r="67">
      <c r="B67" s="9" t="inlineStr">
        <is>
          <t>Cash</t>
        </is>
      </c>
      <c r="D67" s="58">
        <f>SUMIFS(Accounts!$M:$M,Accounts!$F:$F,B67)</f>
        <v/>
      </c>
    </row>
    <row r="68">
      <c r="B68" s="9" t="inlineStr">
        <is>
          <t>Investments</t>
        </is>
      </c>
      <c r="D68" s="58">
        <f>SUMIFS(Accounts!$M:$M,Accounts!$F:$F,B68)</f>
        <v/>
      </c>
    </row>
    <row r="69">
      <c r="B69" s="9" t="inlineStr">
        <is>
          <t>Retirement</t>
        </is>
      </c>
      <c r="D69" s="58">
        <f>SUMIFS(Accounts!$M:$M,Accounts!$F:$F,B69)</f>
        <v/>
      </c>
    </row>
    <row r="70">
      <c r="B70" s="9" t="inlineStr">
        <is>
          <t>Property</t>
        </is>
      </c>
      <c r="D70" s="58">
        <f>SUMIFS(Accounts!$M:$M,Accounts!$F:$F,B70)</f>
        <v/>
      </c>
    </row>
    <row r="71">
      <c r="B71" s="9" t="inlineStr">
        <is>
          <t>Other Assets</t>
        </is>
      </c>
      <c r="D71" s="58">
        <f>SUMIFS(Accounts!$M:$M,Accounts!$F:$F,B71)</f>
        <v/>
      </c>
    </row>
    <row r="72">
      <c r="B72" s="9" t="inlineStr">
        <is>
          <t>Credit Cards</t>
        </is>
      </c>
      <c r="D72" s="58">
        <f>SUMIFS(Accounts!$M:$M,Accounts!$F:$F,B72)</f>
        <v/>
      </c>
    </row>
    <row r="73">
      <c r="B73" s="9" t="inlineStr">
        <is>
          <t>Mortgage</t>
        </is>
      </c>
      <c r="D73" s="58">
        <f>SUMIFS(Accounts!$M:$M,Accounts!$F:$F,B73)</f>
        <v/>
      </c>
    </row>
    <row r="74">
      <c r="B74" s="9" t="inlineStr">
        <is>
          <t>Loans</t>
        </is>
      </c>
      <c r="D74" s="58">
        <f>SUMIFS(Accounts!$M:$M,Accounts!$F:$F,B74)</f>
        <v/>
      </c>
    </row>
    <row r="75">
      <c r="B75" s="9" t="inlineStr">
        <is>
          <t>Other Debts</t>
        </is>
      </c>
      <c r="D75" s="58">
        <f>SUMIFS(Accounts!$M:$M,Accounts!$F:$F,B75)</f>
        <v/>
      </c>
    </row>
    <row r="76">
      <c r="B76" s="20" t="inlineStr">
        <is>
          <t>Net worth</t>
        </is>
      </c>
      <c r="D76" s="59">
        <f>SUM(D67:D75)</f>
        <v/>
      </c>
    </row>
  </sheetData>
  <mergeCells count="90">
    <mergeCell ref="B11:D11"/>
    <mergeCell ref="H21:M21"/>
    <mergeCell ref="C61:F61"/>
    <mergeCell ref="H11:J11"/>
    <mergeCell ref="B67:C67"/>
    <mergeCell ref="G57:H57"/>
    <mergeCell ref="C62:F62"/>
    <mergeCell ref="E7:G7"/>
    <mergeCell ref="B6:D6"/>
    <mergeCell ref="I58:J58"/>
    <mergeCell ref="B20:D20"/>
    <mergeCell ref="B69:C69"/>
    <mergeCell ref="K10:M10"/>
    <mergeCell ref="G58:H58"/>
    <mergeCell ref="C63:F63"/>
    <mergeCell ref="B49:C49"/>
    <mergeCell ref="C56:F56"/>
    <mergeCell ref="B51:C51"/>
    <mergeCell ref="B41:C41"/>
    <mergeCell ref="K11:M11"/>
    <mergeCell ref="G59:H59"/>
    <mergeCell ref="B8:D8"/>
    <mergeCell ref="B17:D17"/>
    <mergeCell ref="B66:C66"/>
    <mergeCell ref="G61:H61"/>
    <mergeCell ref="K12:M12"/>
    <mergeCell ref="I61:J61"/>
    <mergeCell ref="H7:J7"/>
    <mergeCell ref="E6:G6"/>
    <mergeCell ref="B10:D10"/>
    <mergeCell ref="K8:M8"/>
    <mergeCell ref="I57:J57"/>
    <mergeCell ref="B19:D19"/>
    <mergeCell ref="D4:I4"/>
    <mergeCell ref="G62:H62"/>
    <mergeCell ref="K7:M7"/>
    <mergeCell ref="I56:J56"/>
    <mergeCell ref="H15:M15"/>
    <mergeCell ref="H18:M18"/>
    <mergeCell ref="E8:G8"/>
    <mergeCell ref="I59:J59"/>
    <mergeCell ref="B21:D21"/>
    <mergeCell ref="G60:H60"/>
    <mergeCell ref="I60:J60"/>
    <mergeCell ref="H6:J6"/>
    <mergeCell ref="E10:G10"/>
    <mergeCell ref="B72:C72"/>
    <mergeCell ref="H17:M17"/>
    <mergeCell ref="C57:F57"/>
    <mergeCell ref="B71:C71"/>
    <mergeCell ref="B43:C43"/>
    <mergeCell ref="E11:G11"/>
    <mergeCell ref="H19:M19"/>
    <mergeCell ref="B42:C42"/>
    <mergeCell ref="C58:F58"/>
    <mergeCell ref="B44:C44"/>
    <mergeCell ref="I62:J62"/>
    <mergeCell ref="H8:J8"/>
    <mergeCell ref="E12:G12"/>
    <mergeCell ref="H10:J10"/>
    <mergeCell ref="B22:D22"/>
    <mergeCell ref="G63:H63"/>
    <mergeCell ref="B76:C76"/>
    <mergeCell ref="B45:C45"/>
    <mergeCell ref="I63:J63"/>
    <mergeCell ref="B12:D12"/>
    <mergeCell ref="C60:F60"/>
    <mergeCell ref="G56:H56"/>
    <mergeCell ref="B75:C75"/>
    <mergeCell ref="B47:C47"/>
    <mergeCell ref="B46:C46"/>
    <mergeCell ref="H16:M16"/>
    <mergeCell ref="B70:C70"/>
    <mergeCell ref="B48:C48"/>
    <mergeCell ref="H22:M22"/>
    <mergeCell ref="H12:J12"/>
    <mergeCell ref="B15:D15"/>
    <mergeCell ref="B73:C73"/>
    <mergeCell ref="K6:M6"/>
    <mergeCell ref="I55:J55"/>
    <mergeCell ref="B7:D7"/>
    <mergeCell ref="C55:F55"/>
    <mergeCell ref="H20:M20"/>
    <mergeCell ref="B16:D16"/>
    <mergeCell ref="G55:H55"/>
    <mergeCell ref="B74:C74"/>
    <mergeCell ref="B68:C68"/>
    <mergeCell ref="B18:D18"/>
    <mergeCell ref="C59:F59"/>
    <mergeCell ref="B50:C50"/>
  </mergeCells>
  <conditionalFormatting sqref="G16:G22">
    <cfRule type="expression" priority="1" dxfId="0">
      <formula>G16="Good"</formula>
    </cfRule>
    <cfRule type="expression" priority="2" dxfId="1">
      <formula>G16="Fair"</formula>
    </cfRule>
    <cfRule type="expression" priority="3" dxfId="2">
      <formula>G16="Needs work"</formula>
    </cfRule>
  </conditionalFormatting>
  <conditionalFormatting sqref="F42:F51">
    <cfRule type="cellIs" priority="4" operator="greaterThan" dxfId="2">
      <formula>1</formula>
    </cfRule>
  </conditionalFormatting>
  <dataValidations count="1">
    <dataValidation sqref="C4" showDropDown="0" showInputMessage="1" showErrorMessage="1" allowBlank="1" errorTitle="Not in the list" error="Pick a value from the dropdown." promptTitle="Pick from the list" prompt="Latest follows your newest transaction. Pick an earlier month to look back." type="list" errorStyle="stop">
      <formula1>=lst_Months</formula1>
    </dataValidation>
  </dataValidations>
  <pageMargins left="0.4" right="0.4" top="0.5" bottom="0.6" header="0.5" footer="0.5"/>
  <pageSetup orientation="portrait" paperSize="1" fitToHeight="0" fitToWidth="1"/>
  <headerFooter>
    <oddHeader/>
    <oddFooter>&amp;L&amp;A&amp;RPage &amp;P of &amp;N</oddFooter>
    <evenHeader/>
    <evenFooter/>
    <firstHeader/>
    <firstFooter/>
  </headerFooter>
  <drawing xmlns:r="http://schemas.openxmlformats.org/officeDocument/2006/relationships" r:id="rId1"/>
  <legacyDrawing xmlns:r="http://schemas.openxmlformats.org/officeDocument/2006/relationships" r:id="anysvml"/>
</worksheet>
</file>

<file path=xl/worksheets/sheet3.xml><?xml version="1.0" encoding="utf-8"?>
<worksheet xmlns="http://schemas.openxmlformats.org/spreadsheetml/2006/main">
  <sheetPr codeName="shImport">
    <tabColor rgb="00177A5A"/>
    <outlinePr summaryBelow="1" summaryRight="1"/>
    <pageSetUpPr fitToPage="1"/>
  </sheetPr>
  <dimension ref="A1:M70"/>
  <sheetViews>
    <sheetView showGridLines="0" tabSelected="0" zoomScale="100" workbookViewId="0">
      <pane ySplit="3" topLeftCell="A4" activePane="bottomLeft" state="frozen"/>
      <selection pane="bottomLeft" activeCell="A1" sqref="A1"/>
    </sheetView>
  </sheetViews>
  <sheetFormatPr baseColWidth="8" defaultRowHeight="15"/>
  <cols>
    <col width="2" customWidth="1" min="1" max="1"/>
    <col width="30" customWidth="1" min="2" max="2"/>
    <col width="30" customWidth="1" min="3" max="3"/>
    <col width="22"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n"/>
      <c r="B1" s="19" t="inlineStr">
        <is>
          <t>Import Transactions</t>
        </is>
      </c>
    </row>
    <row r="2" ht="20" customHeight="1">
      <c r="A2" s="61" t="n"/>
      <c r="B2" s="3" t="inlineStr">
        <is>
          <t>Bring in downloads from any bank, card or lender: CSV, TXT, Excel, OFX, QFX or QBO. Your files never leave this computer.</t>
        </is>
      </c>
      <c r="C2" s="2" t="n"/>
      <c r="D2" s="2" t="n"/>
      <c r="E2" s="2" t="n"/>
      <c r="F2" s="2" t="n"/>
      <c r="G2" s="2" t="n"/>
      <c r="H2" s="2" t="n"/>
      <c r="I2" s="2" t="n"/>
      <c r="J2" s="2" t="n"/>
      <c r="K2" s="2" t="n"/>
      <c r="L2" s="2" t="n"/>
      <c r="M2" s="2" t="n"/>
    </row>
    <row r="3">
      <c r="B3" s="62" t="inlineStr">
        <is>
          <t>New here? Read the Import Guide</t>
        </is>
      </c>
    </row>
    <row r="4" ht="24" customHeight="1">
      <c r="B4" s="4" t="inlineStr">
        <is>
          <t>STEP 1 · CHOOSE A FILE</t>
        </is>
      </c>
      <c r="C4" s="2" t="n"/>
      <c r="D4" s="2" t="n"/>
      <c r="E4" s="2" t="n"/>
      <c r="F4" s="2" t="n"/>
      <c r="G4" s="2" t="n"/>
      <c r="H4" s="2" t="n"/>
      <c r="I4" s="2" t="n"/>
      <c r="J4" s="2" t="n"/>
      <c r="K4" s="2" t="n"/>
      <c r="L4" s="2" t="n"/>
      <c r="M4" s="2" t="n"/>
    </row>
    <row r="5">
      <c r="B5" s="20" t="inlineStr">
        <is>
          <t>File</t>
        </is>
      </c>
      <c r="C5" s="63" t="n"/>
    </row>
    <row r="6">
      <c r="B6" s="20" t="inlineStr">
        <is>
          <t>What was found</t>
        </is>
      </c>
      <c r="C6" s="17" t="inlineStr">
        <is>
          <t>Sample data loaded. Press Choose File to import your own download.</t>
        </is>
      </c>
    </row>
    <row r="8" ht="24" customHeight="1">
      <c r="B8" s="4" t="inlineStr">
        <is>
          <t>STEP 2 · PROFILE AND ACCOUNT</t>
        </is>
      </c>
      <c r="C8" s="2" t="n"/>
      <c r="D8" s="2" t="n"/>
      <c r="E8" s="2" t="n"/>
      <c r="F8" s="2" t="n"/>
      <c r="G8" s="2" t="n"/>
      <c r="H8" s="2" t="n"/>
      <c r="I8" s="2" t="n"/>
      <c r="J8" s="2" t="n"/>
      <c r="K8" s="2" t="n"/>
      <c r="L8" s="2" t="n"/>
      <c r="M8" s="2" t="n"/>
    </row>
    <row r="9">
      <c r="B9" s="20" t="inlineStr">
        <is>
          <t>Saved profile</t>
        </is>
      </c>
      <c r="C9" s="64" t="inlineStr">
        <is>
          <t>(New profile)</t>
        </is>
      </c>
      <c r="D9" s="17" t="inlineStr">
        <is>
          <t>Pick a saved setup, or keep (New profile). Choosing a file picks a matching profile for you.</t>
        </is>
      </c>
    </row>
    <row r="10">
      <c r="B10" s="20" t="inlineStr">
        <is>
          <t>Account</t>
        </is>
      </c>
      <c r="C10" s="64" t="n"/>
      <c r="D10" s="17" t="inlineStr">
        <is>
          <t>The account these transactions belong to. A new name is added to the Accounts tab.</t>
        </is>
      </c>
    </row>
    <row r="12" ht="24" customHeight="1">
      <c r="B12" s="4" t="inlineStr">
        <is>
          <t>STEP 3 · HOW TO READ THE FILE (FILLED IN FOR YOU; CHANGE ANYTHING THAT LOOKS WRONG)</t>
        </is>
      </c>
      <c r="C12" s="2" t="n"/>
      <c r="D12" s="2" t="n"/>
      <c r="E12" s="2" t="n"/>
      <c r="F12" s="2" t="n"/>
      <c r="G12" s="2" t="n"/>
      <c r="H12" s="2" t="n"/>
      <c r="I12" s="2" t="n"/>
      <c r="J12" s="2" t="n"/>
      <c r="K12" s="2" t="n"/>
      <c r="L12" s="2" t="n"/>
      <c r="M12" s="2" t="n"/>
    </row>
    <row r="13" ht="20" customHeight="1">
      <c r="B13" s="20" t="inlineStr">
        <is>
          <t>File type</t>
        </is>
      </c>
      <c r="C13" s="65" t="inlineStr">
        <is>
          <t>Auto</t>
        </is>
      </c>
      <c r="D13" s="17" t="inlineStr">
        <is>
          <t>Auto reads the file extension and content.</t>
        </is>
      </c>
    </row>
    <row r="14" ht="20" customHeight="1">
      <c r="B14" s="20" t="inlineStr">
        <is>
          <t>Delimiter</t>
        </is>
      </c>
      <c r="C14" s="65" t="inlineStr">
        <is>
          <t>Auto</t>
        </is>
      </c>
      <c r="D14" s="17" t="inlineStr">
        <is>
          <t>For text files: what separates the columns.</t>
        </is>
      </c>
    </row>
    <row r="15" ht="20" customHeight="1">
      <c r="B15" s="20" t="inlineStr">
        <is>
          <t>Header row</t>
        </is>
      </c>
      <c r="C15" s="65" t="inlineStr">
        <is>
          <t>Auto</t>
        </is>
      </c>
      <c r="D15" s="17" t="inlineStr">
        <is>
          <t>Row number of the column names. 0 = the file has no header row.</t>
        </is>
      </c>
    </row>
    <row r="16" ht="20" customHeight="1">
      <c r="B16" s="20" t="inlineStr">
        <is>
          <t>Skip rows at the end</t>
        </is>
      </c>
      <c r="C16" s="66" t="n">
        <v>0</v>
      </c>
      <c r="D16" s="17" t="inlineStr">
        <is>
          <t>Number of total or summary lines at the bottom to ignore.</t>
        </is>
      </c>
    </row>
    <row r="17" ht="20" customHeight="1">
      <c r="B17" s="20" t="inlineStr">
        <is>
          <t>Date column</t>
        </is>
      </c>
      <c r="C17" s="65" t="n"/>
      <c r="D17" s="17" t="inlineStr">
        <is>
          <t>Usually the transaction date (or posting date).</t>
        </is>
      </c>
    </row>
    <row r="18" ht="20" customHeight="1">
      <c r="B18" s="20" t="inlineStr">
        <is>
          <t>Date format</t>
        </is>
      </c>
      <c r="C18" s="65" t="inlineStr">
        <is>
          <t>Auto</t>
        </is>
      </c>
      <c r="D18" s="17" t="inlineStr">
        <is>
          <t>Auto handles US dates, day-first dates, 2026-01-15 and Jan 15, 2026.</t>
        </is>
      </c>
    </row>
    <row r="19" ht="20" customHeight="1">
      <c r="B19" s="20" t="inlineStr">
        <is>
          <t>Description column</t>
        </is>
      </c>
      <c r="C19" s="65" t="n"/>
      <c r="D19" s="17" t="inlineStr">
        <is>
          <t>Payee, merchant or description.</t>
        </is>
      </c>
    </row>
    <row r="20" ht="20" customHeight="1">
      <c r="B20" s="20" t="inlineStr">
        <is>
          <t>Amount mode</t>
        </is>
      </c>
      <c r="C20" s="65" t="inlineStr">
        <is>
          <t>Signed amount</t>
        </is>
      </c>
      <c r="D20" s="17" t="inlineStr">
        <is>
          <t>Signed: one column, negative = money out. Debit/Credit: two columns. Indicator: amount plus a DR/CR column.</t>
        </is>
      </c>
    </row>
    <row r="21" ht="20" customHeight="1">
      <c r="B21" s="20" t="inlineStr">
        <is>
          <t>Amount column</t>
        </is>
      </c>
      <c r="C21" s="65" t="n"/>
      <c r="D21" s="17" t="inlineStr">
        <is>
          <t>For Signed amount and Amount + indicator.</t>
        </is>
      </c>
    </row>
    <row r="22" ht="20" customHeight="1">
      <c r="B22" s="20" t="inlineStr">
        <is>
          <t>Debit column (money out)</t>
        </is>
      </c>
      <c r="C22" s="65" t="n"/>
      <c r="D22" s="17" t="inlineStr">
        <is>
          <t>For Debit / Credit columns.</t>
        </is>
      </c>
    </row>
    <row r="23" ht="20" customHeight="1">
      <c r="B23" s="20" t="inlineStr">
        <is>
          <t>Credit column (money in)</t>
        </is>
      </c>
      <c r="C23" s="65" t="n"/>
      <c r="D23" s="17" t="inlineStr">
        <is>
          <t>For Debit / Credit columns.</t>
        </is>
      </c>
    </row>
    <row r="24" ht="20" customHeight="1">
      <c r="B24" s="20" t="inlineStr">
        <is>
          <t>Indicator column</t>
        </is>
      </c>
      <c r="C24" s="65" t="n"/>
      <c r="D24" s="17" t="inlineStr">
        <is>
          <t>For Amount + indicator: the column that says Debit or Credit.</t>
        </is>
      </c>
    </row>
    <row r="25" ht="20" customHeight="1">
      <c r="B25" s="20" t="inlineStr">
        <is>
          <t>Words that mean money out</t>
        </is>
      </c>
      <c r="C25" s="65" t="inlineStr">
        <is>
          <t>DEBIT, DR, WITHDRAWAL, SALE, PURCHASE, CHARGE, FEE</t>
        </is>
      </c>
      <c r="D25" s="17" t="inlineStr">
        <is>
          <t>Indicator values that mean money out, separated by commas.</t>
        </is>
      </c>
    </row>
    <row r="26" ht="20" customHeight="1">
      <c r="B26" s="20" t="inlineStr">
        <is>
          <t>Flip the sign</t>
        </is>
      </c>
      <c r="C26" s="65" t="inlineStr">
        <is>
          <t>No</t>
        </is>
      </c>
      <c r="D26" s="17" t="inlineStr">
        <is>
          <t>Yes if the file shows purchases as positive numbers (many credit cards).</t>
        </is>
      </c>
    </row>
    <row r="27" ht="20" customHeight="1">
      <c r="B27" s="20" t="inlineStr">
        <is>
          <t>Memo column</t>
        </is>
      </c>
      <c r="C27" s="65" t="n"/>
      <c r="D27" s="17" t="inlineStr">
        <is>
          <t>Optional extra details.</t>
        </is>
      </c>
    </row>
    <row r="28" ht="20" customHeight="1">
      <c r="B28" s="20" t="inlineStr">
        <is>
          <t>Check number column</t>
        </is>
      </c>
      <c r="C28" s="65" t="n"/>
      <c r="D28" s="17" t="inlineStr">
        <is>
          <t>Optional.</t>
        </is>
      </c>
    </row>
    <row r="29" ht="20" customHeight="1">
      <c r="B29" s="20" t="inlineStr">
        <is>
          <t>Bank category column</t>
        </is>
      </c>
      <c r="C29" s="65" t="n"/>
      <c r="D29" s="17" t="inlineStr">
        <is>
          <t>Optional. Used when no rule matches and the name is one of your categories.</t>
        </is>
      </c>
    </row>
    <row r="30" ht="20" customHeight="1">
      <c r="B30" s="20" t="inlineStr">
        <is>
          <t>Account column</t>
        </is>
      </c>
      <c r="C30" s="65" t="n"/>
      <c r="D30" s="17" t="inlineStr">
        <is>
          <t>Optional, for files with several accounts. Matched to Account Name or Last 4.</t>
        </is>
      </c>
    </row>
    <row r="31" ht="20" customHeight="1">
      <c r="B31" s="20" t="inlineStr">
        <is>
          <t>Transaction ID column</t>
        </is>
      </c>
      <c r="C31" s="65" t="n"/>
      <c r="D31" s="17" t="inlineStr">
        <is>
          <t>Optional. Makes duplicate checks exact (OFX files always have one).</t>
        </is>
      </c>
    </row>
    <row r="32" ht="20" customHeight="1">
      <c r="B32" s="20" t="inlineStr">
        <is>
          <t>Skip duplicates</t>
        </is>
      </c>
      <c r="C32" s="65" t="inlineStr">
        <is>
          <t>Yes</t>
        </is>
      </c>
      <c r="D32" s="17" t="inlineStr">
        <is>
          <t>Yes skips transactions already in the workbook, so re-importing a file is safe.</t>
        </is>
      </c>
    </row>
    <row r="33" ht="20" customHeight="1">
      <c r="B33" s="20" t="inlineStr">
        <is>
          <t>Apply category rules</t>
        </is>
      </c>
      <c r="C33" s="65" t="inlineStr">
        <is>
          <t>Yes</t>
        </is>
      </c>
      <c r="D33" s="17" t="inlineStr">
        <is>
          <t>Uses the rules on the Categories tab to set categories.</t>
        </is>
      </c>
    </row>
    <row r="35" ht="24" customHeight="1">
      <c r="B35" s="4" t="inlineStr">
        <is>
          <t>STEP 4 · PREVIEW AND IMPORT</t>
        </is>
      </c>
      <c r="C35" s="2" t="n"/>
      <c r="D35" s="2" t="n"/>
      <c r="E35" s="2" t="n"/>
      <c r="F35" s="2" t="n"/>
      <c r="G35" s="2" t="n"/>
      <c r="H35" s="2" t="n"/>
      <c r="I35" s="2" t="n"/>
      <c r="J35" s="2" t="n"/>
      <c r="K35" s="2" t="n"/>
      <c r="L35" s="2" t="n"/>
      <c r="M35" s="2" t="n"/>
    </row>
    <row r="36" ht="30" customHeight="1"/>
    <row r="37" ht="6" customHeight="1"/>
    <row r="39" ht="34" customHeight="1">
      <c r="B39" s="20" t="inlineStr">
        <is>
          <t>Status</t>
        </is>
      </c>
      <c r="C39" s="16" t="inlineStr">
        <is>
          <t>Choose a file to start. The sample data on the other tabs was imported from the sample files that come with this workbook.</t>
        </is>
      </c>
    </row>
    <row r="40">
      <c r="B40" s="20" t="inlineStr">
        <is>
          <t>Last import</t>
        </is>
      </c>
      <c r="C40" s="67" t="inlineStr">
        <is>
          <t>Transactions read</t>
        </is>
      </c>
      <c r="D40" s="68" t="n"/>
      <c r="E40" s="67" t="inlineStr">
        <is>
          <t>Imported</t>
        </is>
      </c>
      <c r="F40" s="68" t="n"/>
      <c r="G40" s="67" t="inlineStr">
        <is>
          <t>Duplicates skipped</t>
        </is>
      </c>
      <c r="H40" s="68" t="n"/>
      <c r="I40" s="67" t="inlineStr">
        <is>
          <t>Rows skipped</t>
        </is>
      </c>
      <c r="J40" s="68" t="n"/>
      <c r="K40" s="67" t="inlineStr">
        <is>
          <t>When</t>
        </is>
      </c>
      <c r="L40" s="69" t="n"/>
      <c r="M40" s="70" t="n"/>
    </row>
    <row r="41">
      <c r="B41" s="20" t="inlineStr">
        <is>
          <t>From file</t>
        </is>
      </c>
      <c r="C41" s="63" t="n"/>
    </row>
    <row r="43" ht="24" customHeight="1">
      <c r="B43" s="4" t="inlineStr">
        <is>
          <t>FILE PREVIEW: FIRST ROWS EXACTLY AS READ</t>
        </is>
      </c>
      <c r="C43" s="2" t="n"/>
      <c r="D43" s="2" t="n"/>
      <c r="E43" s="2" t="n"/>
      <c r="F43" s="2" t="n"/>
      <c r="G43" s="2" t="n"/>
      <c r="H43" s="2" t="n"/>
      <c r="I43" s="2" t="n"/>
      <c r="J43" s="2" t="n"/>
      <c r="K43" s="2" t="n"/>
      <c r="L43" s="2" t="n"/>
      <c r="M43" s="2" t="n"/>
    </row>
    <row r="44">
      <c r="B44" s="71" t="inlineStr">
        <is>
          <t>Details</t>
        </is>
      </c>
      <c r="C44" s="71" t="inlineStr">
        <is>
          <t>Posting Date</t>
        </is>
      </c>
      <c r="D44" s="71" t="inlineStr">
        <is>
          <t>Description</t>
        </is>
      </c>
      <c r="E44" s="71" t="inlineStr">
        <is>
          <t>Amount</t>
        </is>
      </c>
      <c r="F44" s="71" t="inlineStr">
        <is>
          <t>Type</t>
        </is>
      </c>
      <c r="G44" s="71" t="inlineStr">
        <is>
          <t>Balance</t>
        </is>
      </c>
      <c r="H44" s="71" t="inlineStr">
        <is>
          <t>Check or Slip #</t>
        </is>
      </c>
      <c r="I44" s="71" t="n"/>
      <c r="J44" s="71" t="n"/>
      <c r="K44" s="71" t="n"/>
      <c r="L44" s="71" t="n"/>
      <c r="M44" s="71" t="n"/>
    </row>
    <row r="45">
      <c r="B45" s="72" t="n"/>
      <c r="C45" s="72" t="n"/>
      <c r="D45" s="72" t="n"/>
      <c r="E45" s="72" t="n"/>
      <c r="F45" s="72" t="n"/>
      <c r="G45" s="72" t="n"/>
      <c r="H45" s="72" t="n"/>
      <c r="I45" s="72" t="n"/>
      <c r="J45" s="72" t="n"/>
      <c r="K45" s="72" t="n"/>
      <c r="L45" s="72" t="n"/>
      <c r="M45" s="72" t="n"/>
    </row>
    <row r="46">
      <c r="B46" s="72" t="n"/>
      <c r="C46" s="72" t="n"/>
      <c r="D46" s="72" t="n"/>
      <c r="E46" s="72" t="n"/>
      <c r="F46" s="72" t="n"/>
      <c r="G46" s="72" t="n"/>
      <c r="H46" s="72" t="n"/>
      <c r="I46" s="72" t="n"/>
      <c r="J46" s="72" t="n"/>
      <c r="K46" s="72" t="n"/>
      <c r="L46" s="72" t="n"/>
      <c r="M46" s="72" t="n"/>
    </row>
    <row r="47">
      <c r="B47" s="72" t="n"/>
      <c r="C47" s="72" t="n"/>
      <c r="D47" s="72" t="n"/>
      <c r="E47" s="72" t="n"/>
      <c r="F47" s="72" t="n"/>
      <c r="G47" s="72" t="n"/>
      <c r="H47" s="72" t="n"/>
      <c r="I47" s="72" t="n"/>
      <c r="J47" s="72" t="n"/>
      <c r="K47" s="72" t="n"/>
      <c r="L47" s="72" t="n"/>
      <c r="M47" s="72" t="n"/>
    </row>
    <row r="48">
      <c r="B48" s="72" t="n"/>
      <c r="C48" s="72" t="n"/>
      <c r="D48" s="72" t="n"/>
      <c r="E48" s="72" t="n"/>
      <c r="F48" s="72" t="n"/>
      <c r="G48" s="72" t="n"/>
      <c r="H48" s="72" t="n"/>
      <c r="I48" s="72" t="n"/>
      <c r="J48" s="72" t="n"/>
      <c r="K48" s="72" t="n"/>
      <c r="L48" s="72" t="n"/>
      <c r="M48" s="72" t="n"/>
    </row>
    <row r="49">
      <c r="B49" s="72" t="n"/>
      <c r="C49" s="72" t="n"/>
      <c r="D49" s="72" t="n"/>
      <c r="E49" s="72" t="n"/>
      <c r="F49" s="72" t="n"/>
      <c r="G49" s="72" t="n"/>
      <c r="H49" s="72" t="n"/>
      <c r="I49" s="72" t="n"/>
      <c r="J49" s="72" t="n"/>
      <c r="K49" s="72" t="n"/>
      <c r="L49" s="72" t="n"/>
      <c r="M49" s="72" t="n"/>
    </row>
    <row r="50">
      <c r="B50" s="72" t="n"/>
      <c r="C50" s="72" t="n"/>
      <c r="D50" s="72" t="n"/>
      <c r="E50" s="72" t="n"/>
      <c r="F50" s="72" t="n"/>
      <c r="G50" s="72" t="n"/>
      <c r="H50" s="72" t="n"/>
      <c r="I50" s="72" t="n"/>
      <c r="J50" s="72" t="n"/>
      <c r="K50" s="72" t="n"/>
      <c r="L50" s="72" t="n"/>
      <c r="M50" s="72" t="n"/>
    </row>
    <row r="51">
      <c r="B51" s="72" t="n"/>
      <c r="C51" s="72" t="n"/>
      <c r="D51" s="72" t="n"/>
      <c r="E51" s="72" t="n"/>
      <c r="F51" s="72" t="n"/>
      <c r="G51" s="72" t="n"/>
      <c r="H51" s="72" t="n"/>
      <c r="I51" s="72" t="n"/>
      <c r="J51" s="72" t="n"/>
      <c r="K51" s="72" t="n"/>
      <c r="L51" s="72" t="n"/>
      <c r="M51" s="72" t="n"/>
    </row>
    <row r="52">
      <c r="B52" s="72" t="n"/>
      <c r="C52" s="72" t="n"/>
      <c r="D52" s="72" t="n"/>
      <c r="E52" s="72" t="n"/>
      <c r="F52" s="72" t="n"/>
      <c r="G52" s="72" t="n"/>
      <c r="H52" s="72" t="n"/>
      <c r="I52" s="72" t="n"/>
      <c r="J52" s="72" t="n"/>
      <c r="K52" s="72" t="n"/>
      <c r="L52" s="72" t="n"/>
      <c r="M52" s="72" t="n"/>
    </row>
    <row r="53">
      <c r="B53" s="72" t="n"/>
      <c r="C53" s="72" t="n"/>
      <c r="D53" s="72" t="n"/>
      <c r="E53" s="72" t="n"/>
      <c r="F53" s="72" t="n"/>
      <c r="G53" s="72" t="n"/>
      <c r="H53" s="72" t="n"/>
      <c r="I53" s="72" t="n"/>
      <c r="J53" s="72" t="n"/>
      <c r="K53" s="72" t="n"/>
      <c r="L53" s="72" t="n"/>
      <c r="M53" s="72" t="n"/>
    </row>
    <row r="54">
      <c r="B54" s="72" t="n"/>
      <c r="C54" s="72" t="n"/>
      <c r="D54" s="72" t="n"/>
      <c r="E54" s="72" t="n"/>
      <c r="F54" s="72" t="n"/>
      <c r="G54" s="72" t="n"/>
      <c r="H54" s="72" t="n"/>
      <c r="I54" s="72" t="n"/>
      <c r="J54" s="72" t="n"/>
      <c r="K54" s="72" t="n"/>
      <c r="L54" s="72" t="n"/>
      <c r="M54" s="72" t="n"/>
    </row>
    <row r="55">
      <c r="B55" s="72" t="n"/>
      <c r="C55" s="72" t="n"/>
      <c r="D55" s="72" t="n"/>
      <c r="E55" s="72" t="n"/>
      <c r="F55" s="72" t="n"/>
      <c r="G55" s="72" t="n"/>
      <c r="H55" s="72" t="n"/>
      <c r="I55" s="72" t="n"/>
      <c r="J55" s="72" t="n"/>
      <c r="K55" s="72" t="n"/>
      <c r="L55" s="72" t="n"/>
      <c r="M55" s="72" t="n"/>
    </row>
    <row r="57" ht="24" customHeight="1">
      <c r="B57" s="4" t="inlineStr">
        <is>
          <t>HOW IT WILL BE IMPORTED (WITH CATEGORIES FROM YOUR RULES)</t>
        </is>
      </c>
      <c r="C57" s="2" t="n"/>
      <c r="D57" s="2" t="n"/>
      <c r="E57" s="2" t="n"/>
      <c r="F57" s="2" t="n"/>
      <c r="G57" s="2" t="n"/>
      <c r="H57" s="2" t="n"/>
      <c r="I57" s="2" t="n"/>
      <c r="J57" s="2" t="n"/>
      <c r="K57" s="2" t="n"/>
      <c r="L57" s="2" t="n"/>
      <c r="M57" s="2" t="n"/>
    </row>
    <row r="58" ht="24" customHeight="1">
      <c r="B58" s="35" t="inlineStr">
        <is>
          <t>Date</t>
        </is>
      </c>
      <c r="C58" s="35" t="inlineStr">
        <is>
          <t>Description</t>
        </is>
      </c>
      <c r="D58" s="35" t="inlineStr">
        <is>
          <t>Category</t>
        </is>
      </c>
      <c r="E58" s="38" t="inlineStr">
        <is>
          <t>Amount</t>
        </is>
      </c>
      <c r="F58" s="35" t="inlineStr">
        <is>
          <t>Account</t>
        </is>
      </c>
      <c r="G58" s="35" t="inlineStr">
        <is>
          <t>Memo</t>
        </is>
      </c>
    </row>
    <row r="59">
      <c r="B59" s="73" t="n"/>
      <c r="C59" s="53" t="n"/>
      <c r="D59" s="53" t="n"/>
      <c r="E59" s="74" t="n"/>
      <c r="F59" s="53" t="n"/>
      <c r="G59" s="53" t="n"/>
    </row>
    <row r="60">
      <c r="B60" s="73" t="n"/>
      <c r="C60" s="53" t="n"/>
      <c r="D60" s="53" t="n"/>
      <c r="E60" s="74" t="n"/>
      <c r="F60" s="53" t="n"/>
      <c r="G60" s="53" t="n"/>
    </row>
    <row r="61">
      <c r="B61" s="73" t="n"/>
      <c r="C61" s="53" t="n"/>
      <c r="D61" s="53" t="n"/>
      <c r="E61" s="74" t="n"/>
      <c r="F61" s="53" t="n"/>
      <c r="G61" s="53" t="n"/>
    </row>
    <row r="62">
      <c r="B62" s="73" t="n"/>
      <c r="C62" s="53" t="n"/>
      <c r="D62" s="53" t="n"/>
      <c r="E62" s="74" t="n"/>
      <c r="F62" s="53" t="n"/>
      <c r="G62" s="53" t="n"/>
    </row>
    <row r="63">
      <c r="B63" s="73" t="n"/>
      <c r="C63" s="53" t="n"/>
      <c r="D63" s="53" t="n"/>
      <c r="E63" s="74" t="n"/>
      <c r="F63" s="53" t="n"/>
      <c r="G63" s="53" t="n"/>
    </row>
    <row r="64">
      <c r="B64" s="73" t="n"/>
      <c r="C64" s="53" t="n"/>
      <c r="D64" s="53" t="n"/>
      <c r="E64" s="74" t="n"/>
      <c r="F64" s="53" t="n"/>
      <c r="G64" s="53" t="n"/>
    </row>
    <row r="65">
      <c r="B65" s="73" t="n"/>
      <c r="C65" s="53" t="n"/>
      <c r="D65" s="53" t="n"/>
      <c r="E65" s="74" t="n"/>
      <c r="F65" s="53" t="n"/>
      <c r="G65" s="53" t="n"/>
    </row>
    <row r="66">
      <c r="B66" s="73" t="n"/>
      <c r="C66" s="53" t="n"/>
      <c r="D66" s="53" t="n"/>
      <c r="E66" s="74" t="n"/>
      <c r="F66" s="53" t="n"/>
      <c r="G66" s="53" t="n"/>
    </row>
    <row r="67">
      <c r="B67" s="73" t="n"/>
      <c r="C67" s="53" t="n"/>
      <c r="D67" s="53" t="n"/>
      <c r="E67" s="74" t="n"/>
      <c r="F67" s="53" t="n"/>
      <c r="G67" s="53" t="n"/>
    </row>
    <row r="68">
      <c r="B68" s="73" t="n"/>
      <c r="C68" s="53" t="n"/>
      <c r="D68" s="53" t="n"/>
      <c r="E68" s="74" t="n"/>
      <c r="F68" s="53" t="n"/>
      <c r="G68" s="53" t="n"/>
    </row>
    <row r="69">
      <c r="B69" s="73" t="n"/>
      <c r="C69" s="53" t="n"/>
      <c r="D69" s="53" t="n"/>
      <c r="E69" s="74" t="n"/>
      <c r="F69" s="53" t="n"/>
      <c r="G69" s="53" t="n"/>
    </row>
    <row r="70">
      <c r="B70" s="73" t="n"/>
      <c r="C70" s="53" t="n"/>
      <c r="D70" s="53" t="n"/>
      <c r="E70" s="74" t="n"/>
      <c r="F70" s="53" t="n"/>
      <c r="G70" s="53" t="n"/>
    </row>
  </sheetData>
  <mergeCells count="5">
    <mergeCell ref="C39:M39"/>
    <mergeCell ref="C5:I5"/>
    <mergeCell ref="C6:I6"/>
    <mergeCell ref="C41:I41"/>
    <mergeCell ref="L40:M40"/>
  </mergeCells>
  <dataValidations count="22">
    <dataValidation sqref="C9" showDropDown="0" showInputMessage="1" showErrorMessage="1" allowBlank="1" errorTitle="Not in the list" error="Pick a value from the dropdown." promptTitle="Pick from the list" prompt="Saved import profiles. Saving a profile adds it here." type="list" errorStyle="stop">
      <formula1>=lst_Profiles</formula1>
    </dataValidation>
    <dataValidation sqref="C10" showDropDown="0" showInputMessage="1" showErrorMessage="1" allowBlank="1" errorTitle="Not in the list" error="This value isn't in the list. Keep it anyway?" promptTitle="Pick from the list" prompt="Accounts from the Accounts tab. Type a new name to add one." type="list" errorStyle="warning">
      <formula1>=lst_Accounts</formula1>
    </dataValidation>
    <dataValidation sqref="C13" showDropDown="0" showInputMessage="0" showErrorMessage="1" allowBlank="1" errorTitle="Not in the list" error="Pick a value from the dropdown." type="list" errorStyle="stop">
      <formula1>=lst_FileTypes</formula1>
    </dataValidation>
    <dataValidation sqref="C14" showDropDown="0" showInputMessage="0" showErrorMessage="1" allowBlank="1" errorTitle="Not in the list" error="Pick a value from the dropdown." type="list" errorStyle="stop">
      <formula1>=lst_Delims</formula1>
    </dataValidation>
    <dataValidation sqref="C15" showDropDown="0" showInputMessage="0" showErrorMessage="1" allowBlank="1" errorTitle="Not in the list" error="This value isn't in the list. Keep it anyway?" type="list" errorStyle="warning">
      <formula1>=lst_HeaderRows</formula1>
    </dataValidation>
    <dataValidation sqref="C17" showDropDown="0" showInputMessage="0" showErrorMessage="1" allowBlank="1" errorTitle="Not in the list" error="This value isn't in the list. Keep it anyway?" type="list" errorStyle="warning">
      <formula1>=lst_Headers</formula1>
    </dataValidation>
    <dataValidation sqref="C18" showDropDown="0" showInputMessage="0" showErrorMessage="1" allowBlank="1" errorTitle="Not in the list" error="Pick a value from the dropdown." type="list" errorStyle="stop">
      <formula1>=lst_DateFmts</formula1>
    </dataValidation>
    <dataValidation sqref="C19" showDropDown="0" showInputMessage="0" showErrorMessage="1" allowBlank="1" errorTitle="Not in the list" error="This value isn't in the list. Keep it anyway?" type="list" errorStyle="warning">
      <formula1>=lst_Headers</formula1>
    </dataValidation>
    <dataValidation sqref="C20" showDropDown="0" showInputMessage="0" showErrorMessage="1" allowBlank="1" errorTitle="Not in the list" error="Pick a value from the dropdown." type="list" errorStyle="stop">
      <formula1>=lst_AmountModes</formula1>
    </dataValidation>
    <dataValidation sqref="C21" showDropDown="0" showInputMessage="0" showErrorMessage="1" allowBlank="1" errorTitle="Not in the list" error="This value isn't in the list. Keep it anyway?" type="list" errorStyle="warning">
      <formula1>=lst_Headers</formula1>
    </dataValidation>
    <dataValidation sqref="C22" showDropDown="0" showInputMessage="0" showErrorMessage="1" allowBlank="1" errorTitle="Not in the list" error="This value isn't in the list. Keep it anyway?" type="list" errorStyle="warning">
      <formula1>=lst_Headers</formula1>
    </dataValidation>
    <dataValidation sqref="C23" showDropDown="0" showInputMessage="0" showErrorMessage="1" allowBlank="1" errorTitle="Not in the list" error="This value isn't in the list. Keep it anyway?" type="list" errorStyle="warning">
      <formula1>=lst_Headers</formula1>
    </dataValidation>
    <dataValidation sqref="C24" showDropDown="0" showInputMessage="0" showErrorMessage="1" allowBlank="1" errorTitle="Not in the list" error="This value isn't in the list. Keep it anyway?" type="list" errorStyle="warning">
      <formula1>=lst_Headers</formula1>
    </dataValidation>
    <dataValidation sqref="C26" showDropDown="0" showInputMessage="0" showErrorMessage="1" allowBlank="1" errorTitle="Not in the list" error="Pick a value from the dropdown." type="list" errorStyle="stop">
      <formula1>=lst_YesNo</formula1>
    </dataValidation>
    <dataValidation sqref="C27" showDropDown="0" showInputMessage="0" showErrorMessage="1" allowBlank="1" errorTitle="Not in the list" error="This value isn't in the list. Keep it anyway?" type="list" errorStyle="warning">
      <formula1>=lst_Headers</formula1>
    </dataValidation>
    <dataValidation sqref="C28" showDropDown="0" showInputMessage="0" showErrorMessage="1" allowBlank="1" errorTitle="Not in the list" error="This value isn't in the list. Keep it anyway?" type="list" errorStyle="warning">
      <formula1>=lst_Headers</formula1>
    </dataValidation>
    <dataValidation sqref="C29" showDropDown="0" showInputMessage="0" showErrorMessage="1" allowBlank="1" errorTitle="Not in the list" error="This value isn't in the list. Keep it anyway?" type="list" errorStyle="warning">
      <formula1>=lst_Headers</formula1>
    </dataValidation>
    <dataValidation sqref="C30" showDropDown="0" showInputMessage="0" showErrorMessage="1" allowBlank="1" errorTitle="Not in the list" error="This value isn't in the list. Keep it anyway?" type="list" errorStyle="warning">
      <formula1>=lst_Headers</formula1>
    </dataValidation>
    <dataValidation sqref="C31" showDropDown="0" showInputMessage="0" showErrorMessage="1" allowBlank="1" errorTitle="Not in the list" error="This value isn't in the list. Keep it anyway?" type="list" errorStyle="warning">
      <formula1>=lst_Headers</formula1>
    </dataValidation>
    <dataValidation sqref="C32" showDropDown="0" showInputMessage="0" showErrorMessage="1" allowBlank="1" errorTitle="Not in the list" error="Pick a value from the dropdown." type="list" errorStyle="stop">
      <formula1>=lst_YesNo</formula1>
    </dataValidation>
    <dataValidation sqref="C33" showDropDown="0" showInputMessage="0" showErrorMessage="1" allowBlank="1" errorTitle="Not in the list" error="Pick a value from the dropdown." type="list" errorStyle="stop">
      <formula1>=lst_YesNo</formula1>
    </dataValidation>
    <dataValidation sqref="C16" showDropDown="0" showInputMessage="0" showErrorMessage="1" allowBlank="1" error="Enter a value from 0 to 100." type="whole" operator="between">
      <formula1>0</formula1>
      <formula2>100</formula2>
    </dataValidation>
  </dataValidations>
  <hyperlinks>
    <hyperlink xmlns:r="http://schemas.openxmlformats.org/officeDocument/2006/relationships" ref="B3" r:id="rId1"/>
  </hyperlinks>
  <pageMargins left="0.4" right="0.4" top="0.5" bottom="0.6" header="0.5" footer="0.5"/>
  <pageSetup orientation="portrait" paperSize="1" fitToHeight="0" fitToWidth="1"/>
  <headerFooter>
    <oddHeader/>
    <oddFooter>&amp;L&amp;A&amp;RPage &amp;P of &amp;N</oddFooter>
    <evenHeader/>
    <evenFooter/>
    <firstHeader/>
    <firstFooter/>
  </headerFooter>
  <drawing xmlns:r="http://schemas.openxmlformats.org/officeDocument/2006/relationships" r:id="rIdBtnDrw"/>
  <legacyDrawing xmlns:r="http://schemas.openxmlformats.org/officeDocument/2006/relationships" r:id="anysvml"/>
</worksheet>
</file>

<file path=xl/worksheets/sheet4.xml><?xml version="1.0" encoding="utf-8"?>
<worksheet xmlns="http://schemas.openxmlformats.org/spreadsheetml/2006/main">
  <sheetPr>
    <tabColor rgb="00177A5A"/>
    <outlinePr summaryBelow="1" summaryRight="1"/>
    <pageSetUpPr fitToPage="1"/>
  </sheetPr>
  <dimension ref="B1:C97"/>
  <sheetViews>
    <sheetView showGridLines="0" tabSelected="0" zoomScale="100" workbookViewId="0">
      <selection activeCell="A1" sqref="A1"/>
    </sheetView>
  </sheetViews>
  <sheetFormatPr baseColWidth="8" defaultRowHeight="15"/>
  <cols>
    <col width="2" customWidth="1" min="1" max="1"/>
    <col width="34" customWidth="1" min="2" max="2"/>
    <col width="100" customWidth="1" min="3" max="3"/>
    <col width="2" customWidth="1" min="4" max="4"/>
    <col width="13" customWidth="1" min="5" max="5"/>
    <col width="13" customWidth="1" min="6" max="6"/>
    <col width="13" customWidth="1" min="7" max="7"/>
    <col width="1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0" customHeight="1">
      <c r="B1" s="60" t="inlineStr">
        <is>
          <t>Import Guide</t>
        </is>
      </c>
      <c r="C1" s="75" t="inlineStr">
        <is>
          <t>Go to the Import tab</t>
        </is>
      </c>
    </row>
    <row r="2" ht="18" customHeight="1">
      <c r="B2" s="76" t="inlineStr">
        <is>
          <t>How to bring in transactions from any bank, card or lender, and what every setting on the Import tab does.</t>
        </is>
      </c>
    </row>
    <row r="3" ht="10" customHeight="1"/>
    <row r="4" ht="26" customHeight="1">
      <c r="B4" s="77" t="inlineStr">
        <is>
          <t>1 · Quick start: the first import from a new bank or card</t>
        </is>
      </c>
    </row>
    <row r="5" ht="34.4" customHeight="1">
      <c r="B5" s="78" t="inlineStr">
        <is>
          <t>Step 1</t>
        </is>
      </c>
      <c r="C5" s="79" t="inlineStr">
        <is>
          <t>Download your transactions from the bank's website (see section 2). Save the file anywhere, for example Downloads.</t>
        </is>
      </c>
    </row>
    <row r="6" ht="21.2" customHeight="1">
      <c r="B6" s="78" t="inlineStr">
        <is>
          <t>Step 2</t>
        </is>
      </c>
      <c r="C6" s="79" t="inlineStr">
        <is>
          <t>Go to the Import tab and press Choose File. Pick the file you downloaded.</t>
        </is>
      </c>
    </row>
    <row r="7" ht="34.4" customHeight="1">
      <c r="B7" s="78" t="inlineStr">
        <is>
          <t>Step 3</t>
        </is>
      </c>
      <c r="C7" s="79" t="inlineStr">
        <is>
          <t>The workbook reads the file and fills in Step 3 for you. If a saved profile matches the file, it is picked in Step 2 automatically.</t>
        </is>
      </c>
    </row>
    <row r="8" ht="34.4" customHeight="1">
      <c r="B8" s="78" t="inlineStr">
        <is>
          <t>Step 4</t>
        </is>
      </c>
      <c r="C8" s="79" t="inlineStr">
        <is>
          <t>In Step 2, pick the Account the transactions belong to. Typing a new name adds it to the Accounts tab.</t>
        </is>
      </c>
    </row>
    <row r="9" ht="34.4" customHeight="1">
      <c r="B9" s="78" t="inlineStr">
        <is>
          <t>Step 5</t>
        </is>
      </c>
      <c r="C9" s="79" t="inlineStr">
        <is>
          <t>Look at the two preview grids at the bottom. The top grid is the file exactly as read; the bottom grid is what will be imported.</t>
        </is>
      </c>
    </row>
    <row r="10" ht="34.4" customHeight="1">
      <c r="B10" s="78" t="inlineStr">
        <is>
          <t>Step 6</t>
        </is>
      </c>
      <c r="C10" s="79" t="inlineStr">
        <is>
          <t>Check that dates are right, descriptions make sense, and money out (purchases, bills) is negative. If not, change Step 3 and press Preview again.</t>
        </is>
      </c>
    </row>
    <row r="11" ht="34.4" customHeight="1">
      <c r="B11" s="78" t="inlineStr">
        <is>
          <t>Step 7</t>
        </is>
      </c>
      <c r="C11" s="79" t="inlineStr">
        <is>
          <t>Press Import. A message tells you how many transactions were added and how many duplicates were skipped.</t>
        </is>
      </c>
    </row>
    <row r="12" ht="34.4" customHeight="1">
      <c r="B12" s="78" t="inlineStr">
        <is>
          <t>Step 8</t>
        </is>
      </c>
      <c r="C12" s="79" t="inlineStr">
        <is>
          <t>Press Save Profile. Next time you import a file from the same bank, all of these settings are filled in for you.</t>
        </is>
      </c>
    </row>
    <row r="13" ht="21.2" customHeight="1">
      <c r="B13" s="80" t="inlineStr">
        <is>
          <t>Tip: After the first time, importing is just: Choose File, check the preview, Import.</t>
        </is>
      </c>
    </row>
    <row r="14" ht="10" customHeight="1"/>
    <row r="15" ht="26" customHeight="1">
      <c r="B15" s="77" t="inlineStr">
        <is>
          <t>2 · Getting the file from your bank</t>
        </is>
      </c>
    </row>
    <row r="16" ht="34.4" customHeight="1">
      <c r="B16" s="79" t="inlineStr">
        <is>
          <t>Sign in to the bank, card or lender website, open the account, and look for Download, Export or a download icon near the list of transactions. Pick a date range and a file type.</t>
        </is>
      </c>
    </row>
    <row r="17" ht="22" customHeight="1">
      <c r="B17" s="81" t="inlineStr">
        <is>
          <t>File type offered</t>
        </is>
      </c>
      <c r="C17" s="81" t="inlineStr">
        <is>
          <t>What to pick</t>
        </is>
      </c>
    </row>
    <row r="18" ht="21.2" customHeight="1">
      <c r="B18" s="82" t="inlineStr">
        <is>
          <t>CSV / Spreadsheet / Excel</t>
        </is>
      </c>
      <c r="C18" s="83" t="inlineStr">
        <is>
          <t>Works with every bank. Best first choice.</t>
        </is>
      </c>
    </row>
    <row r="19" ht="34.4" customHeight="1">
      <c r="B19" s="82" t="inlineStr">
        <is>
          <t>Quicken (QFX), Web Connect (QBO), Money (OFX)</t>
        </is>
      </c>
      <c r="C19" s="83" t="inlineStr">
        <is>
          <t>Also very good: dates, amounts and a unique ID per transaction are always in the same place, so duplicates are detected exactly.</t>
        </is>
      </c>
    </row>
    <row r="20" ht="21.2" customHeight="1">
      <c r="B20" s="82" t="inlineStr">
        <is>
          <t>Text (TXT, tab separated)</t>
        </is>
      </c>
      <c r="C20" s="83" t="inlineStr">
        <is>
          <t>Works. The delimiter is detected automatically.</t>
        </is>
      </c>
    </row>
    <row r="21" ht="21.2" customHeight="1">
      <c r="B21" s="82" t="inlineStr">
        <is>
          <t>PDF statement</t>
        </is>
      </c>
      <c r="C21" s="83" t="inlineStr">
        <is>
          <t>Not supported. Download CSV or QFX instead.</t>
        </is>
      </c>
    </row>
    <row r="22" ht="21.2" customHeight="1">
      <c r="B22" s="80" t="inlineStr">
        <is>
          <t>Tip: Download overlapping date ranges without worry. Transactions already in the workbook are skipped (section 6).</t>
        </is>
      </c>
    </row>
    <row r="23" ht="10" customHeight="1"/>
    <row r="24" ht="26" customHeight="1">
      <c r="B24" s="77" t="inlineStr">
        <is>
          <t>3 · Step 2: profile and account</t>
        </is>
      </c>
    </row>
    <row r="25" ht="22" customHeight="1">
      <c r="B25" s="81" t="inlineStr">
        <is>
          <t>Setting</t>
        </is>
      </c>
      <c r="C25" s="81" t="inlineStr">
        <is>
          <t>What it does</t>
        </is>
      </c>
    </row>
    <row r="26" ht="34.4" customHeight="1">
      <c r="B26" s="82" t="inlineStr">
        <is>
          <t>Saved profile</t>
        </is>
      </c>
      <c r="C26" s="83" t="inlineStr">
        <is>
          <t>A saved set of Step 3 settings for one download format, for example "Chase - Checking". Picking a profile fills in Step 3. Keep (New profile) to start from scratch.</t>
        </is>
      </c>
    </row>
    <row r="27" ht="34.4" customHeight="1">
      <c r="B27" s="82" t="inlineStr">
        <is>
          <t>Account</t>
        </is>
      </c>
      <c r="C27" s="83" t="inlineStr">
        <is>
          <t>The account the transactions belong to. It is written into the Account column on the Transactions tab and used for balances on the Accounts tab and the Dashboard.</t>
        </is>
      </c>
    </row>
    <row r="28" ht="34.4" customHeight="1">
      <c r="B28" s="79" t="inlineStr">
        <is>
          <t>Profiles are stored on the Import Profiles tab. You can rename them, delete them, or set a Default Import Profile for an account on the Accounts tab.</t>
        </is>
      </c>
    </row>
    <row r="29" ht="10" customHeight="1"/>
    <row r="30" ht="26" customHeight="1">
      <c r="B30" s="77" t="inlineStr">
        <is>
          <t>4 · Step 3: how the file is read</t>
        </is>
      </c>
    </row>
    <row r="31" ht="34.4" customHeight="1">
      <c r="B31" s="79" t="inlineStr">
        <is>
          <t>Every column setting is a dropdown of the column names found in your file. You can also type a column number (3) or a column letter (C), which is handy for files that have no header row.</t>
        </is>
      </c>
    </row>
    <row r="32" ht="22" customHeight="1">
      <c r="B32" s="81" t="inlineStr">
        <is>
          <t>Setting</t>
        </is>
      </c>
      <c r="C32" s="81" t="inlineStr">
        <is>
          <t>What it means</t>
        </is>
      </c>
    </row>
    <row r="33" ht="34.4" customHeight="1">
      <c r="B33" s="82" t="inlineStr">
        <is>
          <t>File type</t>
        </is>
      </c>
      <c r="C33" s="83" t="inlineStr">
        <is>
          <t>Auto looks at the extension and the content. Choose CSV / Text, Excel or OFX / QFX / QBO only if Auto gets it wrong.</t>
        </is>
      </c>
    </row>
    <row r="34" ht="34.4" customHeight="1">
      <c r="B34" s="82" t="inlineStr">
        <is>
          <t>Delimiter</t>
        </is>
      </c>
      <c r="C34" s="83" t="inlineStr">
        <is>
          <t>What separates columns in a text file: comma, tab, semicolon or pipe. Auto counts them in the first lines.</t>
        </is>
      </c>
    </row>
    <row r="35" ht="34.4" customHeight="1">
      <c r="B35" s="82" t="inlineStr">
        <is>
          <t>Header row</t>
        </is>
      </c>
      <c r="C35" s="83" t="inlineStr">
        <is>
          <t>Row number that holds the column names. Auto finds it even if the bank puts a few lines of account details on top. 0 means the file has no header row.</t>
        </is>
      </c>
    </row>
    <row r="36" ht="34.4" customHeight="1">
      <c r="B36" s="82" t="inlineStr">
        <is>
          <t>Skip rows at the end</t>
        </is>
      </c>
      <c r="C36" s="83" t="inlineStr">
        <is>
          <t>How many total or summary lines at the bottom to ignore. Rows without a valid date are skipped anyway.</t>
        </is>
      </c>
    </row>
    <row r="37" ht="34.4" customHeight="1">
      <c r="B37" s="82" t="inlineStr">
        <is>
          <t>Date column</t>
        </is>
      </c>
      <c r="C37" s="83" t="inlineStr">
        <is>
          <t>The date to record. If the file has both a transaction date and a posting date, the transaction date is the usual choice.</t>
        </is>
      </c>
    </row>
    <row r="38" ht="34.4" customHeight="1">
      <c r="B38" s="82" t="inlineStr">
        <is>
          <t>Date format</t>
        </is>
      </c>
      <c r="C38" s="83" t="inlineStr">
        <is>
          <t>Auto checks all the dates in the file: if any day is above 12 it knows whether the day or the month comes first. Set it by hand only if dates come out wrong (see section 8).</t>
        </is>
      </c>
    </row>
    <row r="39" ht="21.2" customHeight="1">
      <c r="B39" s="82" t="inlineStr">
        <is>
          <t>Description column</t>
        </is>
      </c>
      <c r="C39" s="83" t="inlineStr">
        <is>
          <t>Payee, merchant or description.</t>
        </is>
      </c>
    </row>
    <row r="40" ht="21.2" customHeight="1">
      <c r="B40" s="82" t="inlineStr">
        <is>
          <t>Amount mode</t>
        </is>
      </c>
      <c r="C40" s="83" t="inlineStr">
        <is>
          <t>How money in and money out are shown in the file. See section 5.</t>
        </is>
      </c>
    </row>
    <row r="41" ht="21.2" customHeight="1">
      <c r="B41" s="82" t="inlineStr">
        <is>
          <t>Amount column</t>
        </is>
      </c>
      <c r="C41" s="83" t="inlineStr">
        <is>
          <t>Used by Signed amount and Amount + indicator.</t>
        </is>
      </c>
    </row>
    <row r="42" ht="21.2" customHeight="1">
      <c r="B42" s="82" t="inlineStr">
        <is>
          <t>Debit column / Credit column</t>
        </is>
      </c>
      <c r="C42" s="83" t="inlineStr">
        <is>
          <t>Used by Debit / Credit columns: one column for money out, one for money in.</t>
        </is>
      </c>
    </row>
    <row r="43" ht="34.4" customHeight="1">
      <c r="B43" s="82" t="inlineStr">
        <is>
          <t>Indicator column</t>
        </is>
      </c>
      <c r="C43" s="83" t="inlineStr">
        <is>
          <t>Used by Amount + indicator: the column that says whether a row is money out, for example DR / CR or Debit / Credit.</t>
        </is>
      </c>
    </row>
    <row r="44" ht="34.4" customHeight="1">
      <c r="B44" s="82" t="inlineStr">
        <is>
          <t>Words that mean money out</t>
        </is>
      </c>
      <c r="C44" s="83" t="inlineStr">
        <is>
          <t>The indicator values that mean money out, separated by commas, for example DEBIT, DR, WITHDRAWAL.</t>
        </is>
      </c>
    </row>
    <row r="45" ht="34.4" customHeight="1">
      <c r="B45" s="82" t="inlineStr">
        <is>
          <t>Flip the sign</t>
        </is>
      </c>
      <c r="C45" s="83" t="inlineStr">
        <is>
          <t>Yes reverses every amount. Use it when the file shows purchases as positive numbers, which many credit cards do.</t>
        </is>
      </c>
    </row>
    <row r="46" ht="21.2" customHeight="1">
      <c r="B46" s="82" t="inlineStr">
        <is>
          <t>Memo column</t>
        </is>
      </c>
      <c r="C46" s="83" t="inlineStr">
        <is>
          <t>Optional extra details, stored in the Memo column.</t>
        </is>
      </c>
    </row>
    <row r="47" ht="21.2" customHeight="1">
      <c r="B47" s="82" t="inlineStr">
        <is>
          <t>Check number column</t>
        </is>
      </c>
      <c r="C47" s="83" t="inlineStr">
        <is>
          <t>Optional.</t>
        </is>
      </c>
    </row>
    <row r="48" ht="34.4" customHeight="1">
      <c r="B48" s="82" t="inlineStr">
        <is>
          <t>Bank category column</t>
        </is>
      </c>
      <c r="C48" s="83" t="inlineStr">
        <is>
          <t>Optional. If no category rule matches and the bank's category is one of your categories, it is used.</t>
        </is>
      </c>
    </row>
    <row r="49" ht="34.4" customHeight="1">
      <c r="B49" s="82" t="inlineStr">
        <is>
          <t>Account column</t>
        </is>
      </c>
      <c r="C49" s="83" t="inlineStr">
        <is>
          <t>Optional, for one file that holds several accounts. Each row is matched to an Account Name or the Last 4 on the Accounts tab.</t>
        </is>
      </c>
    </row>
    <row r="50" ht="34.4" customHeight="1">
      <c r="B50" s="82" t="inlineStr">
        <is>
          <t>Transaction ID column</t>
        </is>
      </c>
      <c r="C50" s="83" t="inlineStr">
        <is>
          <t>Optional. A unique reference per transaction makes duplicate checks exact. OFX, QFX and QBO files always have one.</t>
        </is>
      </c>
    </row>
    <row r="51" ht="21.2" customHeight="1">
      <c r="B51" s="82" t="inlineStr">
        <is>
          <t>Skip duplicates</t>
        </is>
      </c>
      <c r="C51" s="83" t="inlineStr">
        <is>
          <t>Yes skips transactions that are already in the workbook. Keep it on.</t>
        </is>
      </c>
    </row>
    <row r="52" ht="21.2" customHeight="1">
      <c r="B52" s="82" t="inlineStr">
        <is>
          <t>Apply category rules</t>
        </is>
      </c>
      <c r="C52" s="83" t="inlineStr">
        <is>
          <t>Yes sets categories from the rules on the Categories tab.</t>
        </is>
      </c>
    </row>
    <row r="53" ht="10" customHeight="1"/>
    <row r="54" ht="26" customHeight="1">
      <c r="B54" s="77" t="inlineStr">
        <is>
          <t>5 · Amount mode: the three ways banks show money</t>
        </is>
      </c>
    </row>
    <row r="55" ht="21.2" customHeight="1">
      <c r="B55" s="79" t="inlineStr">
        <is>
          <t>In the workbook money in is always positive and money out is always negative. Pick the mode that matches your file:</t>
        </is>
      </c>
    </row>
    <row r="56" ht="22" customHeight="1">
      <c r="B56" s="81" t="inlineStr">
        <is>
          <t>Mode</t>
        </is>
      </c>
      <c r="C56" s="81" t="inlineStr">
        <is>
          <t>Example in the file → what is imported</t>
        </is>
      </c>
    </row>
    <row r="57" ht="34.4" customHeight="1">
      <c r="B57" s="82" t="inlineStr">
        <is>
          <t>Signed amount</t>
        </is>
      </c>
      <c r="C57" s="83" t="inlineStr">
        <is>
          <t>One Amount column: -45.20 for a purchase, 1,500.00 for a paycheck → imported as is. Most banks.</t>
        </is>
      </c>
    </row>
    <row r="58" ht="34.4" customHeight="1">
      <c r="B58" s="82" t="inlineStr">
        <is>
          <t>Signed amount + Flip the sign = Yes</t>
        </is>
      </c>
      <c r="C58" s="83" t="inlineStr">
        <is>
          <t>One Amount column, but purchases are positive (45.20) and payments negative → every sign is reversed. Many credit cards, for example American Express and Discover.</t>
        </is>
      </c>
    </row>
    <row r="59" ht="21.2" customHeight="1">
      <c r="B59" s="82" t="inlineStr">
        <is>
          <t>Debit / Credit columns</t>
        </is>
      </c>
      <c r="C59" s="83" t="inlineStr">
        <is>
          <t>Two columns: Debit 45.20 (money out), Credit 1,500.00 (money in) → -45.20 and +1,500.00.</t>
        </is>
      </c>
    </row>
    <row r="60" ht="34.4" customHeight="1">
      <c r="B60" s="82" t="inlineStr">
        <is>
          <t>Amount + indicator</t>
        </is>
      </c>
      <c r="C60" s="83" t="inlineStr">
        <is>
          <t>An Amount column that is always positive plus a column saying DR or CR → rows with a money-out word become negative.</t>
        </is>
      </c>
    </row>
    <row r="61" ht="34.4" customHeight="1">
      <c r="B61" s="80" t="inlineStr">
        <is>
          <t>Tip: Quick check: in the bottom preview grid, a grocery purchase must be negative. If the preview status says every amount is positive, set Flip the sign to Yes.</t>
        </is>
      </c>
    </row>
    <row r="62" ht="10" customHeight="1"/>
    <row r="63" ht="26" customHeight="1">
      <c r="B63" s="77" t="inlineStr">
        <is>
          <t>6 · How the workbook recognizes a file and avoids duplicates</t>
        </is>
      </c>
    </row>
    <row r="64" ht="47.6" customHeight="1">
      <c r="B64" s="84" t="inlineStr">
        <is>
          <t>•  Profile matching: when you choose a file, the column names are joined into a signature (for example DETAILS|POSTING DATE|DESCRIPTION|AMOUNT). Pressing Save Profile stores that signature. A later file with the same columns picks that profile automatically.</t>
        </is>
      </c>
    </row>
    <row r="65" ht="34.4" customHeight="1">
      <c r="B65" s="84" t="inlineStr">
        <is>
          <t>•  Two profiles with the same columns (for example two cards at the same bank): the account's Last 4 on the Accounts tab is compared with the account number in the file to pick the right one.</t>
        </is>
      </c>
    </row>
    <row r="66" ht="34.4" customHeight="1">
      <c r="B66" s="84" t="inlineStr">
        <is>
          <t>•  If no profile matches, the columns are guessed from their names (Date, Posting Date, Description, Payee, Amount, Debit, Credit, Memo and so on). A Balance column is never used as the amount.</t>
        </is>
      </c>
    </row>
    <row r="67" ht="34.4" customHeight="1">
      <c r="B67" s="84" t="inlineStr">
        <is>
          <t>•  Duplicates: every transaction gets a hidden Match Key made of account, date, amount and description, or the bank's transaction ID when there is one. A transaction whose key is already on the Transactions tab is skipped.</t>
        </is>
      </c>
    </row>
    <row r="68" ht="34.4" customHeight="1">
      <c r="B68" s="84" t="inlineStr">
        <is>
          <t>•  Two identical purchases on the same day (two coffees for $4.50) are both kept, because the key also counts how many times the same transaction appears.</t>
        </is>
      </c>
    </row>
    <row r="69" ht="21.2" customHeight="1">
      <c r="B69" s="84" t="inlineStr">
        <is>
          <t>•  Undo Last Import removes every row from the most recent import, using the Imported On time stamp.</t>
        </is>
      </c>
    </row>
    <row r="70" ht="10" customHeight="1"/>
    <row r="71" ht="26" customHeight="1">
      <c r="B71" s="77" t="inlineStr">
        <is>
          <t>7 · Categories and rules</t>
        </is>
      </c>
    </row>
    <row r="72" ht="34.4" customHeight="1">
      <c r="B72" s="84" t="inlineStr">
        <is>
          <t>•  Each imported transaction runs through the rules on the Categories tab, lowest Priority number first. The first rule whose text is found sets the category, and can also rename the description (for example AMZN MKTP US*2K4 → Amazon).</t>
        </is>
      </c>
    </row>
    <row r="73" ht="21.2" customHeight="1">
      <c r="B73" s="84" t="inlineStr">
        <is>
          <t>•  A rule can be limited to Money in or Money out, to one account, or to the Description or Memo only.</t>
        </is>
      </c>
    </row>
    <row r="74" ht="21.2" customHeight="1">
      <c r="B74" s="84" t="inlineStr">
        <is>
          <t>•  Use * as a wildcard: SHELL*OIL matches SHELL OIL 57444 and SHELL 0912 OIL.</t>
        </is>
      </c>
    </row>
    <row r="75" ht="34.4" customHeight="1">
      <c r="B75" s="84" t="inlineStr">
        <is>
          <t>•  No rule matched: the bank's own category is used if it is one of yours; payments into a loan or mortgage account become Transfer; anything else is Uncategorized (highlighted in yellow on the Transactions tab).</t>
        </is>
      </c>
    </row>
    <row r="76" ht="34.4" customHeight="1">
      <c r="B76" s="84" t="inlineStr">
        <is>
          <t>•  Fix a category by hand with the dropdown on the Transactions tab. To fix it for good, add a rule and press Re-apply rules.</t>
        </is>
      </c>
    </row>
    <row r="77" ht="10" customHeight="1"/>
    <row r="78" ht="26" customHeight="1">
      <c r="B78" s="77" t="inlineStr">
        <is>
          <t>8 · Troubleshooting</t>
        </is>
      </c>
    </row>
    <row r="79" ht="22" customHeight="1">
      <c r="B79" s="81" t="inlineStr">
        <is>
          <t>What you see</t>
        </is>
      </c>
      <c r="C79" s="81" t="inlineStr">
        <is>
          <t>What to do</t>
        </is>
      </c>
    </row>
    <row r="80" ht="34.4" customHeight="1">
      <c r="B80" s="82" t="inlineStr">
        <is>
          <t>"Could not read that file"</t>
        </is>
      </c>
      <c r="C80" s="83" t="inlineStr">
        <is>
          <t>Close the file if it is open in Excel. Make sure it is a CSV, TXT, Excel, OFX, QFX or QBO file, not a PDF. The text after the message gives the exact reason.</t>
        </is>
      </c>
    </row>
    <row r="81" ht="47.6" customHeight="1">
      <c r="B81" s="82" t="inlineStr">
        <is>
          <t>"0 transactions ready"</t>
        </is>
      </c>
      <c r="C81" s="83" t="inlineStr">
        <is>
          <t>The Date or Amount column is wrong, or the Header row is wrong. Look at the top preview grid: the first row should be the column names. Fix Header row, Date column and Amount column, then press Preview.</t>
        </is>
      </c>
    </row>
    <row r="82" ht="34.4" customHeight="1">
      <c r="B82" s="82" t="inlineStr">
        <is>
          <t>Some rows skipped (no valid date or amount)</t>
        </is>
      </c>
      <c r="C82" s="83" t="inlineStr">
        <is>
          <t>Usually totals, a running balance line or pending transactions without a date. Fine to ignore. If real transactions are missing, check Skip rows at the end and the Date format.</t>
        </is>
      </c>
    </row>
    <row r="83" ht="21.2" customHeight="1">
      <c r="B83" s="82" t="inlineStr">
        <is>
          <t>Every amount is positive</t>
        </is>
      </c>
      <c r="C83" s="83" t="inlineStr">
        <is>
          <t>Set Flip the sign to Yes, or use Amount + indicator if the file has a DR/CR column.</t>
        </is>
      </c>
    </row>
    <row r="84" ht="34.4" customHeight="1">
      <c r="B84" s="82" t="inlineStr">
        <is>
          <t>Purchases are positive and payments negative</t>
        </is>
      </c>
      <c r="C84" s="83" t="inlineStr">
        <is>
          <t>Set Flip the sign to Yes.</t>
        </is>
      </c>
    </row>
    <row r="85" ht="34.4" customHeight="1">
      <c r="B85" s="82" t="inlineStr">
        <is>
          <t>Dates are off (March shows as the 3rd)</t>
        </is>
      </c>
      <c r="C85" s="83" t="inlineStr">
        <is>
          <t>Set Date format to the bank's style, for example DD/MM/YYYY for a day-first file.</t>
        </is>
      </c>
    </row>
    <row r="86" ht="34.4" customHeight="1">
      <c r="B86" s="82" t="inlineStr">
        <is>
          <t>Wrong account picked</t>
        </is>
      </c>
      <c r="C86" s="83" t="inlineStr">
        <is>
          <t>Change the Account in Step 2 before pressing Import. If already imported, press Undo Last Import and import again.</t>
        </is>
      </c>
    </row>
    <row r="87" ht="47.6" customHeight="1">
      <c r="B87" s="82" t="inlineStr">
        <is>
          <t>Everything was skipped as duplicates</t>
        </is>
      </c>
      <c r="C87" s="83" t="inlineStr">
        <is>
          <t>The transactions are already in the workbook. If they are not on the Transactions tab, check that Skip duplicates is set to Yes and the Account is right, or set Skip duplicates to No for this import.</t>
        </is>
      </c>
    </row>
    <row r="88" ht="34.4" customHeight="1">
      <c r="B88" s="82" t="inlineStr">
        <is>
          <t>Too many Uncategorized</t>
        </is>
      </c>
      <c r="C88" s="83" t="inlineStr">
        <is>
          <t>Add rules on the Categories tab for your common merchants, then press Re-apply rules on the Transactions tab.</t>
        </is>
      </c>
    </row>
    <row r="89" ht="34.4" customHeight="1">
      <c r="B89" s="82" t="inlineStr">
        <is>
          <t>Rows look unformatted</t>
        </is>
      </c>
      <c r="C89" s="83" t="inlineStr">
        <is>
          <t>Press Alt+F8, choose FormatTransactions and press Run. Normally this happens on its own after every import.</t>
        </is>
      </c>
    </row>
    <row r="90" ht="34.4" customHeight="1">
      <c r="B90" s="82" t="inlineStr">
        <is>
          <t>Buttons do nothing</t>
        </is>
      </c>
      <c r="C90" s="83" t="inlineStr">
        <is>
          <t>Macros are off. Close the workbook, right-click the file, choose Properties, tick Unblock, then reopen and click Enable Content.</t>
        </is>
      </c>
    </row>
    <row r="91" ht="10" customHeight="1"/>
    <row r="92" ht="26" customHeight="1">
      <c r="B92" s="77" t="inlineStr">
        <is>
          <t>9 · Good habits</t>
        </is>
      </c>
    </row>
    <row r="93" ht="21.2" customHeight="1">
      <c r="B93" s="84" t="inlineStr">
        <is>
          <t>•  Import once a month, right after each statement closes. Overlapping dates are fine.</t>
        </is>
      </c>
    </row>
    <row r="94" ht="21.2" customHeight="1">
      <c r="B94" s="84" t="inlineStr">
        <is>
          <t>•  Keep one profile per bank download format and one account per real account.</t>
        </is>
      </c>
    </row>
    <row r="95" ht="21.2" customHeight="1">
      <c r="B95" s="84" t="inlineStr">
        <is>
          <t>•  For loans, 401(k)s and the home value, type the statement balance on the Accounts tab instead of importing.</t>
        </is>
      </c>
    </row>
    <row r="96" ht="21.2" customHeight="1">
      <c r="B96" s="84" t="inlineStr">
        <is>
          <t>•  Press Record this month on the Net Worth tab after each monthly import to build your history.</t>
        </is>
      </c>
    </row>
    <row r="97" ht="21.2" customHeight="1">
      <c r="B97" s="84" t="inlineStr">
        <is>
          <t>•  Your files stay on this computer. Nothing is uploaded anywhere.</t>
        </is>
      </c>
    </row>
  </sheetData>
  <mergeCells count="32">
    <mergeCell ref="B97:C97"/>
    <mergeCell ref="B16:C16"/>
    <mergeCell ref="B54:C54"/>
    <mergeCell ref="B72:C72"/>
    <mergeCell ref="B22:C22"/>
    <mergeCell ref="B66:C66"/>
    <mergeCell ref="B93:C93"/>
    <mergeCell ref="B31:C31"/>
    <mergeCell ref="B96:C96"/>
    <mergeCell ref="B71:C71"/>
    <mergeCell ref="B67:C67"/>
    <mergeCell ref="B61:C61"/>
    <mergeCell ref="B73:C73"/>
    <mergeCell ref="B13:C13"/>
    <mergeCell ref="B69:C69"/>
    <mergeCell ref="B78:C78"/>
    <mergeCell ref="B28:C28"/>
    <mergeCell ref="B65:C65"/>
    <mergeCell ref="B74:C74"/>
    <mergeCell ref="B55:C55"/>
    <mergeCell ref="B92:C92"/>
    <mergeCell ref="B24:C24"/>
    <mergeCell ref="B30:C30"/>
    <mergeCell ref="B64:C64"/>
    <mergeCell ref="B15:C15"/>
    <mergeCell ref="B68:C68"/>
    <mergeCell ref="B95:C95"/>
    <mergeCell ref="B76:C76"/>
    <mergeCell ref="B94:C94"/>
    <mergeCell ref="B63:C63"/>
    <mergeCell ref="B4:C4"/>
    <mergeCell ref="B75:C75"/>
  </mergeCells>
  <hyperlinks>
    <hyperlink xmlns:r="http://schemas.openxmlformats.org/officeDocument/2006/relationships" ref="C1" r:id="rId1"/>
  </hyperlinks>
  <pageMargins left="0.4" right="0.4" top="0.5" bottom="0.6" header="0.5" footer="0.5"/>
  <pageSetup orientation="portrait" paperSize="1" fitToHeight="0" fitToWidth="1"/>
  <headerFooter>
    <oddHeader/>
    <oddFooter>&amp;L&amp;A&amp;RPage &amp;P of &amp;N</oddFooter>
    <evenHeader/>
    <evenFooter/>
    <firstHeader/>
    <firstFooter/>
  </headerFooter>
</worksheet>
</file>

<file path=xl/worksheets/sheet5.xml><?xml version="1.0" encoding="utf-8"?>
<worksheet xmlns="http://schemas.openxmlformats.org/spreadsheetml/2006/main">
  <sheetPr codeName="shTxn">
    <tabColor rgb="00177A5A"/>
    <outlinePr summaryBelow="1" summaryRight="1"/>
    <pageSetUpPr fitToPage="1"/>
  </sheetPr>
  <dimension ref="A1:Q613"/>
  <sheetViews>
    <sheetView showGridLines="0" tabSelected="0" zoomScale="100" workbookViewId="0">
      <pane ySplit="5" topLeftCell="A6" activePane="bottomLeft" state="frozen"/>
      <selection pane="bottomLeft" activeCell="A1" sqref="A1"/>
    </sheetView>
  </sheetViews>
  <sheetFormatPr baseColWidth="8" defaultRowHeight="15"/>
  <cols>
    <col width="14" customWidth="1" min="1" max="1"/>
    <col width="20" customWidth="1" min="2" max="2"/>
    <col width="38" customWidth="1" min="3" max="3"/>
    <col width="22" customWidth="1" min="4" max="4"/>
    <col width="14" customWidth="1" min="5" max="5"/>
    <col width="10" customWidth="1" min="6" max="6"/>
    <col width="11" customWidth="1" min="7" max="7"/>
    <col width="28" customWidth="1" min="8" max="8"/>
    <col width="10" customWidth="1" min="9" max="9"/>
    <col width="34" customWidth="1" min="10" max="10"/>
    <col width="18" customWidth="1" min="11" max="11"/>
    <col width="15" customWidth="1" min="12" max="12"/>
    <col width="22" customWidth="1" min="13" max="13"/>
    <col width="19" customWidth="1" min="14" max="14"/>
    <col width="16" customWidth="1" min="15" max="15"/>
    <col hidden="1" width="18" customWidth="1" min="16" max="16"/>
    <col hidden="1" width="12"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Transactions</t>
        </is>
      </c>
    </row>
    <row r="2" ht="20" customHeight="1">
      <c r="A2" s="61" t="inlineStr">
        <is>
          <t>Every imported transaction in one format. Money in is positive, money out is negative. Edit categories here any time.</t>
        </is>
      </c>
      <c r="B2" s="2" t="n"/>
      <c r="C2" s="2" t="n"/>
      <c r="D2" s="2" t="n"/>
      <c r="E2" s="2" t="n"/>
      <c r="F2" s="2" t="n"/>
      <c r="G2" s="2" t="n"/>
      <c r="H2" s="2" t="n"/>
      <c r="I2" s="2" t="n"/>
      <c r="J2" s="2" t="n"/>
      <c r="K2" s="2" t="n"/>
      <c r="L2" s="2" t="n"/>
      <c r="M2" s="2" t="n"/>
      <c r="N2" s="2" t="n"/>
      <c r="O2" s="2" t="n"/>
      <c r="P2" s="2" t="n"/>
      <c r="Q2" s="2" t="n"/>
    </row>
    <row r="3">
      <c r="C3" s="85">
        <f>COUNT(A6:A50005)&amp;" transactions · "&amp;IF(COUNT(A6:A50005)=0,"",TEXT(MIN(A6:A50005),"mmm d, yyyy")&amp;" to "&amp;TEXT(MAX(A6:A50005),"mmm d, yyyy"))&amp;" · "&amp;COUNTIF(D6:D50005,"Uncategorized")&amp;" uncategorized"</f>
        <v/>
      </c>
    </row>
    <row r="5" ht="30" customHeight="1">
      <c r="A5" s="35" t="inlineStr">
        <is>
          <t>Date</t>
        </is>
      </c>
      <c r="B5" s="35" t="inlineStr">
        <is>
          <t>Account</t>
        </is>
      </c>
      <c r="C5" s="35" t="inlineStr">
        <is>
          <t>Description</t>
        </is>
      </c>
      <c r="D5" s="35" t="inlineStr">
        <is>
          <t>Category</t>
        </is>
      </c>
      <c r="E5" s="38" t="inlineStr">
        <is>
          <t>Amount</t>
        </is>
      </c>
      <c r="F5" s="35" t="inlineStr">
        <is>
          <t>Type</t>
        </is>
      </c>
      <c r="G5" s="35" t="inlineStr">
        <is>
          <t>Month</t>
        </is>
      </c>
      <c r="H5" s="35" t="inlineStr">
        <is>
          <t>Memo</t>
        </is>
      </c>
      <c r="I5" s="35" t="inlineStr">
        <is>
          <t>Check No</t>
        </is>
      </c>
      <c r="J5" s="35" t="inlineStr">
        <is>
          <t>Original Description</t>
        </is>
      </c>
      <c r="K5" s="35" t="inlineStr">
        <is>
          <t>Institution</t>
        </is>
      </c>
      <c r="L5" s="35" t="inlineStr">
        <is>
          <t>Account Type</t>
        </is>
      </c>
      <c r="M5" s="35" t="inlineStr">
        <is>
          <t>Source File</t>
        </is>
      </c>
      <c r="N5" s="35" t="inlineStr">
        <is>
          <t>Imported On</t>
        </is>
      </c>
      <c r="O5" s="35" t="inlineStr">
        <is>
          <t>Transaction ID</t>
        </is>
      </c>
      <c r="P5" s="35" t="inlineStr">
        <is>
          <t>Match Key</t>
        </is>
      </c>
      <c r="Q5" s="35" t="inlineStr">
        <is>
          <t>Dashboard Key</t>
        </is>
      </c>
    </row>
    <row r="6">
      <c r="A6" s="86" t="n">
        <v>46310</v>
      </c>
      <c r="B6" s="87" t="inlineStr">
        <is>
          <t>Everyday Checking</t>
        </is>
      </c>
      <c r="C6" s="87" t="inlineStr">
        <is>
          <t>XFINITY INTERNET</t>
        </is>
      </c>
      <c r="D6" s="87" t="inlineStr">
        <is>
          <t>Phone &amp; Internet</t>
        </is>
      </c>
      <c r="E6" s="88" t="n">
        <v>-79.98999999999999</v>
      </c>
      <c r="F6" s="89">
        <f>IF(E6="","",IF(OR(D6="",D6="Uncategorized"),IF(E6&lt;0,"Expense","Income"),IFERROR(INDEX(Categories!$B$6:$B$65,MATCH(D6,Categories!$A$6:$A$65,0)),IF(E6&lt;0,"Expense","Income"))))</f>
        <v/>
      </c>
      <c r="G6" s="90">
        <f>IF(A6="","",DATE(YEAR(A6),MONTH(A6),1))</f>
        <v/>
      </c>
      <c r="H6" s="87" t="n"/>
      <c r="I6" s="87" t="n"/>
      <c r="J6" s="91" t="inlineStr">
        <is>
          <t>XFINITY INTERNET</t>
        </is>
      </c>
      <c r="K6" s="91" t="inlineStr">
        <is>
          <t>Sample Bank</t>
        </is>
      </c>
      <c r="L6" s="91" t="inlineStr">
        <is>
          <t>Checking</t>
        </is>
      </c>
      <c r="M6" s="91" t="inlineStr">
        <is>
          <t>Checking_Activity.csv</t>
        </is>
      </c>
      <c r="N6" s="91" t="inlineStr">
        <is>
          <t>2026-10-15 20:14:07</t>
        </is>
      </c>
      <c r="O6" s="91" t="n"/>
      <c r="P6" s="91" t="inlineStr">
        <is>
          <t>EVERYDAY CHECKING|20261015|-7999|XFINITYINTERNET#1</t>
        </is>
      </c>
      <c r="Q6" s="92">
        <f>IF(AND(G6=RptMonth,F6="Expense",N(E6)&lt;0),-E6+ROW()/10000000,"")</f>
        <v/>
      </c>
    </row>
    <row r="7">
      <c r="A7" s="86" t="n">
        <v>46309</v>
      </c>
      <c r="B7" s="87" t="inlineStr">
        <is>
          <t>Everyday Checking</t>
        </is>
      </c>
      <c r="C7" s="87" t="inlineStr">
        <is>
          <t>CITY WATER UTILITY</t>
        </is>
      </c>
      <c r="D7" s="87" t="inlineStr">
        <is>
          <t>Utilities</t>
        </is>
      </c>
      <c r="E7" s="88" t="n">
        <v>-64.92</v>
      </c>
      <c r="F7" s="89">
        <f>IF(E7="","",IF(OR(D7="",D7="Uncategorized"),IF(E7&lt;0,"Expense","Income"),IFERROR(INDEX(Categories!$B$6:$B$65,MATCH(D7,Categories!$A$6:$A$65,0)),IF(E7&lt;0,"Expense","Income"))))</f>
        <v/>
      </c>
      <c r="G7" s="90">
        <f>IF(A7="","",DATE(YEAR(A7),MONTH(A7),1))</f>
        <v/>
      </c>
      <c r="H7" s="87" t="n"/>
      <c r="I7" s="87" t="n"/>
      <c r="J7" s="91" t="inlineStr">
        <is>
          <t>CITY WATER UTILITY</t>
        </is>
      </c>
      <c r="K7" s="91" t="inlineStr">
        <is>
          <t>Sample Bank</t>
        </is>
      </c>
      <c r="L7" s="91" t="inlineStr">
        <is>
          <t>Checking</t>
        </is>
      </c>
      <c r="M7" s="91" t="inlineStr">
        <is>
          <t>Checking_Activity.csv</t>
        </is>
      </c>
      <c r="N7" s="91" t="inlineStr">
        <is>
          <t>2026-10-15 20:14:07</t>
        </is>
      </c>
      <c r="O7" s="91" t="n"/>
      <c r="P7" s="91" t="inlineStr">
        <is>
          <t>EVERYDAY CHECKING|20261014|-6492|CITYWATERUTILITY#1</t>
        </is>
      </c>
      <c r="Q7" s="92">
        <f>IF(AND(G7=RptMonth,F7="Expense",N(E7)&lt;0),-E7+ROW()/10000000,"")</f>
        <v/>
      </c>
    </row>
    <row r="8">
      <c r="A8" s="86" t="n">
        <v>46309</v>
      </c>
      <c r="B8" s="87" t="inlineStr">
        <is>
          <t>Rewards Visa</t>
        </is>
      </c>
      <c r="C8" s="87" t="inlineStr">
        <is>
          <t>TRADER JOE'S #548</t>
        </is>
      </c>
      <c r="D8" s="87" t="inlineStr">
        <is>
          <t>Groceries</t>
        </is>
      </c>
      <c r="E8" s="88" t="n">
        <v>-48.4</v>
      </c>
      <c r="F8" s="89">
        <f>IF(E8="","",IF(OR(D8="",D8="Uncategorized"),IF(E8&lt;0,"Expense","Income"),IFERROR(INDEX(Categories!$B$6:$B$65,MATCH(D8,Categories!$A$6:$A$65,0)),IF(E8&lt;0,"Expense","Income"))))</f>
        <v/>
      </c>
      <c r="G8" s="90">
        <f>IF(A8="","",DATE(YEAR(A8),MONTH(A8),1))</f>
        <v/>
      </c>
      <c r="H8" s="87" t="n"/>
      <c r="I8" s="87" t="n"/>
      <c r="J8" s="91" t="inlineStr">
        <is>
          <t>TRADER JOE'S #548</t>
        </is>
      </c>
      <c r="K8" s="91" t="inlineStr">
        <is>
          <t>Sample Card Co</t>
        </is>
      </c>
      <c r="L8" s="91" t="inlineStr">
        <is>
          <t>Credit Card</t>
        </is>
      </c>
      <c r="M8" s="91" t="inlineStr">
        <is>
          <t>Visa_Statement.csv</t>
        </is>
      </c>
      <c r="N8" s="91" t="inlineStr">
        <is>
          <t>2026-10-15 20:14:07</t>
        </is>
      </c>
      <c r="O8" s="91" t="n"/>
      <c r="P8" s="91" t="inlineStr">
        <is>
          <t>REWARDS VISA|20261014|-4840|TRADERJOES548#1</t>
        </is>
      </c>
      <c r="Q8" s="92">
        <f>IF(AND(G8=RptMonth,F8="Expense",N(E8)&lt;0),-E8+ROW()/10000000,"")</f>
        <v/>
      </c>
    </row>
    <row r="9">
      <c r="A9" s="86" t="n">
        <v>46307</v>
      </c>
      <c r="B9" s="87" t="inlineStr">
        <is>
          <t>Everyday Checking</t>
        </is>
      </c>
      <c r="C9" s="87" t="inlineStr">
        <is>
          <t>VERIZON WIRELESS</t>
        </is>
      </c>
      <c r="D9" s="87" t="inlineStr">
        <is>
          <t>Phone &amp; Internet</t>
        </is>
      </c>
      <c r="E9" s="88" t="n">
        <v>-95</v>
      </c>
      <c r="F9" s="89">
        <f>IF(E9="","",IF(OR(D9="",D9="Uncategorized"),IF(E9&lt;0,"Expense","Income"),IFERROR(INDEX(Categories!$B$6:$B$65,MATCH(D9,Categories!$A$6:$A$65,0)),IF(E9&lt;0,"Expense","Income"))))</f>
        <v/>
      </c>
      <c r="G9" s="90">
        <f>IF(A9="","",DATE(YEAR(A9),MONTH(A9),1))</f>
        <v/>
      </c>
      <c r="H9" s="87" t="n"/>
      <c r="I9" s="87" t="n"/>
      <c r="J9" s="91" t="inlineStr">
        <is>
          <t>VERIZON WIRELESS</t>
        </is>
      </c>
      <c r="K9" s="91" t="inlineStr">
        <is>
          <t>Sample Bank</t>
        </is>
      </c>
      <c r="L9" s="91" t="inlineStr">
        <is>
          <t>Checking</t>
        </is>
      </c>
      <c r="M9" s="91" t="inlineStr">
        <is>
          <t>Checking_Activity.csv</t>
        </is>
      </c>
      <c r="N9" s="91" t="inlineStr">
        <is>
          <t>2026-10-15 20:14:07</t>
        </is>
      </c>
      <c r="O9" s="91" t="n"/>
      <c r="P9" s="91" t="inlineStr">
        <is>
          <t>EVERYDAY CHECKING|20261012|-9500|VERIZONWIRELESS#1</t>
        </is>
      </c>
      <c r="Q9" s="92">
        <f>IF(AND(G9=RptMonth,F9="Expense",N(E9)&lt;0),-E9+ROW()/10000000,"")</f>
        <v/>
      </c>
    </row>
    <row r="10">
      <c r="A10" s="86" t="n">
        <v>46307</v>
      </c>
      <c r="B10" s="87" t="inlineStr">
        <is>
          <t>Rewards Visa</t>
        </is>
      </c>
      <c r="C10" s="87" t="inlineStr">
        <is>
          <t>BLUE MOON DINER</t>
        </is>
      </c>
      <c r="D10" s="87" t="inlineStr">
        <is>
          <t>Dining Out</t>
        </is>
      </c>
      <c r="E10" s="88" t="n">
        <v>-35.88</v>
      </c>
      <c r="F10" s="89">
        <f>IF(E10="","",IF(OR(D10="",D10="Uncategorized"),IF(E10&lt;0,"Expense","Income"),IFERROR(INDEX(Categories!$B$6:$B$65,MATCH(D10,Categories!$A$6:$A$65,0)),IF(E10&lt;0,"Expense","Income"))))</f>
        <v/>
      </c>
      <c r="G10" s="90">
        <f>IF(A10="","",DATE(YEAR(A10),MONTH(A10),1))</f>
        <v/>
      </c>
      <c r="H10" s="87" t="n"/>
      <c r="I10" s="87" t="n"/>
      <c r="J10" s="91" t="inlineStr">
        <is>
          <t>BLUE MOON DINER</t>
        </is>
      </c>
      <c r="K10" s="91" t="inlineStr">
        <is>
          <t>Sample Card Co</t>
        </is>
      </c>
      <c r="L10" s="91" t="inlineStr">
        <is>
          <t>Credit Card</t>
        </is>
      </c>
      <c r="M10" s="91" t="inlineStr">
        <is>
          <t>Visa_Statement.csv</t>
        </is>
      </c>
      <c r="N10" s="91" t="inlineStr">
        <is>
          <t>2026-10-15 20:14:07</t>
        </is>
      </c>
      <c r="O10" s="91" t="n"/>
      <c r="P10" s="91" t="inlineStr">
        <is>
          <t>REWARDS VISA|20261012|-3588|BLUEMOONDINER#1</t>
        </is>
      </c>
      <c r="Q10" s="92">
        <f>IF(AND(G10=RptMonth,F10="Expense",N(E10)&lt;0),-E10+ROW()/10000000,"")</f>
        <v/>
      </c>
    </row>
    <row r="11">
      <c r="A11" s="86" t="n">
        <v>46306</v>
      </c>
      <c r="B11" s="87" t="inlineStr">
        <is>
          <t>Rewards Visa</t>
        </is>
      </c>
      <c r="C11" s="87" t="inlineStr">
        <is>
          <t>APPLE.COM/BILL</t>
        </is>
      </c>
      <c r="D11" s="87" t="inlineStr">
        <is>
          <t>Subscriptions</t>
        </is>
      </c>
      <c r="E11" s="88" t="n">
        <v>-2.99</v>
      </c>
      <c r="F11" s="89">
        <f>IF(E11="","",IF(OR(D11="",D11="Uncategorized"),IF(E11&lt;0,"Expense","Income"),IFERROR(INDEX(Categories!$B$6:$B$65,MATCH(D11,Categories!$A$6:$A$65,0)),IF(E11&lt;0,"Expense","Income"))))</f>
        <v/>
      </c>
      <c r="G11" s="90">
        <f>IF(A11="","",DATE(YEAR(A11),MONTH(A11),1))</f>
        <v/>
      </c>
      <c r="H11" s="87" t="n"/>
      <c r="I11" s="87" t="n"/>
      <c r="J11" s="91" t="inlineStr">
        <is>
          <t>APPLE.COM/BILL</t>
        </is>
      </c>
      <c r="K11" s="91" t="inlineStr">
        <is>
          <t>Sample Card Co</t>
        </is>
      </c>
      <c r="L11" s="91" t="inlineStr">
        <is>
          <t>Credit Card</t>
        </is>
      </c>
      <c r="M11" s="91" t="inlineStr">
        <is>
          <t>Visa_Statement.csv</t>
        </is>
      </c>
      <c r="N11" s="91" t="inlineStr">
        <is>
          <t>2026-10-15 20:14:07</t>
        </is>
      </c>
      <c r="O11" s="91" t="n"/>
      <c r="P11" s="91" t="inlineStr">
        <is>
          <t>REWARDS VISA|20261011|-299|APPLECOMBILL#1</t>
        </is>
      </c>
      <c r="Q11" s="92">
        <f>IF(AND(G11=RptMonth,F11="Expense",N(E11)&lt;0),-E11+ROW()/10000000,"")</f>
        <v/>
      </c>
    </row>
    <row r="12">
      <c r="A12" s="86" t="n">
        <v>46305</v>
      </c>
      <c r="B12" s="87" t="inlineStr">
        <is>
          <t>Everyday Checking</t>
        </is>
      </c>
      <c r="C12" s="87" t="inlineStr">
        <is>
          <t>SAMPLE AUTO FINANCE PMT</t>
        </is>
      </c>
      <c r="D12" s="87" t="inlineStr">
        <is>
          <t>Auto Payment</t>
        </is>
      </c>
      <c r="E12" s="88" t="n">
        <v>-385</v>
      </c>
      <c r="F12" s="89">
        <f>IF(E12="","",IF(OR(D12="",D12="Uncategorized"),IF(E12&lt;0,"Expense","Income"),IFERROR(INDEX(Categories!$B$6:$B$65,MATCH(D12,Categories!$A$6:$A$65,0)),IF(E12&lt;0,"Expense","Income"))))</f>
        <v/>
      </c>
      <c r="G12" s="90">
        <f>IF(A12="","",DATE(YEAR(A12),MONTH(A12),1))</f>
        <v/>
      </c>
      <c r="H12" s="87" t="n"/>
      <c r="I12" s="87" t="n"/>
      <c r="J12" s="91" t="inlineStr">
        <is>
          <t>SAMPLE AUTO FINANCE PMT</t>
        </is>
      </c>
      <c r="K12" s="91" t="inlineStr">
        <is>
          <t>Sample Bank</t>
        </is>
      </c>
      <c r="L12" s="91" t="inlineStr">
        <is>
          <t>Checking</t>
        </is>
      </c>
      <c r="M12" s="91" t="inlineStr">
        <is>
          <t>Checking_Activity.csv</t>
        </is>
      </c>
      <c r="N12" s="91" t="inlineStr">
        <is>
          <t>2026-10-15 20:14:07</t>
        </is>
      </c>
      <c r="O12" s="91" t="n"/>
      <c r="P12" s="91" t="inlineStr">
        <is>
          <t>EVERYDAY CHECKING|20261010|-38500|SAMPLEAUTOFINANCEPMT#1</t>
        </is>
      </c>
      <c r="Q12" s="92">
        <f>IF(AND(G12=RptMonth,F12="Expense",N(E12)&lt;0),-E12+ROW()/10000000,"")</f>
        <v/>
      </c>
    </row>
    <row r="13">
      <c r="A13" s="86" t="n">
        <v>46305</v>
      </c>
      <c r="B13" s="87" t="inlineStr">
        <is>
          <t>Rewards Visa</t>
        </is>
      </c>
      <c r="C13" s="87" t="inlineStr">
        <is>
          <t>CHIPOTLE 2291</t>
        </is>
      </c>
      <c r="D13" s="87" t="inlineStr">
        <is>
          <t>Dining Out</t>
        </is>
      </c>
      <c r="E13" s="88" t="n">
        <v>-46.52</v>
      </c>
      <c r="F13" s="89">
        <f>IF(E13="","",IF(OR(D13="",D13="Uncategorized"),IF(E13&lt;0,"Expense","Income"),IFERROR(INDEX(Categories!$B$6:$B$65,MATCH(D13,Categories!$A$6:$A$65,0)),IF(E13&lt;0,"Expense","Income"))))</f>
        <v/>
      </c>
      <c r="G13" s="90">
        <f>IF(A13="","",DATE(YEAR(A13),MONTH(A13),1))</f>
        <v/>
      </c>
      <c r="H13" s="87" t="n"/>
      <c r="I13" s="87" t="n"/>
      <c r="J13" s="91" t="inlineStr">
        <is>
          <t>CHIPOTLE 2291</t>
        </is>
      </c>
      <c r="K13" s="91" t="inlineStr">
        <is>
          <t>Sample Card Co</t>
        </is>
      </c>
      <c r="L13" s="91" t="inlineStr">
        <is>
          <t>Credit Card</t>
        </is>
      </c>
      <c r="M13" s="91" t="inlineStr">
        <is>
          <t>Visa_Statement.csv</t>
        </is>
      </c>
      <c r="N13" s="91" t="inlineStr">
        <is>
          <t>2026-10-15 20:14:07</t>
        </is>
      </c>
      <c r="O13" s="91" t="n"/>
      <c r="P13" s="91" t="inlineStr">
        <is>
          <t>REWARDS VISA|20261010|-4652|CHIPOTLE2291#1</t>
        </is>
      </c>
      <c r="Q13" s="92">
        <f>IF(AND(G13=RptMonth,F13="Expense",N(E13)&lt;0),-E13+ROW()/10000000,"")</f>
        <v/>
      </c>
    </row>
    <row r="14">
      <c r="A14" s="86" t="n">
        <v>46305</v>
      </c>
      <c r="B14" s="87" t="inlineStr">
        <is>
          <t>Rewards Visa</t>
        </is>
      </c>
      <c r="C14" s="87" t="inlineStr">
        <is>
          <t>H MART #112</t>
        </is>
      </c>
      <c r="D14" s="87" t="inlineStr">
        <is>
          <t>Groceries</t>
        </is>
      </c>
      <c r="E14" s="88" t="n">
        <v>-122.96</v>
      </c>
      <c r="F14" s="89">
        <f>IF(E14="","",IF(OR(D14="",D14="Uncategorized"),IF(E14&lt;0,"Expense","Income"),IFERROR(INDEX(Categories!$B$6:$B$65,MATCH(D14,Categories!$A$6:$A$65,0)),IF(E14&lt;0,"Expense","Income"))))</f>
        <v/>
      </c>
      <c r="G14" s="90">
        <f>IF(A14="","",DATE(YEAR(A14),MONTH(A14),1))</f>
        <v/>
      </c>
      <c r="H14" s="87" t="n"/>
      <c r="I14" s="87" t="n"/>
      <c r="J14" s="91" t="inlineStr">
        <is>
          <t>H MART #112</t>
        </is>
      </c>
      <c r="K14" s="91" t="inlineStr">
        <is>
          <t>Sample Card Co</t>
        </is>
      </c>
      <c r="L14" s="91" t="inlineStr">
        <is>
          <t>Credit Card</t>
        </is>
      </c>
      <c r="M14" s="91" t="inlineStr">
        <is>
          <t>Visa_Statement.csv</t>
        </is>
      </c>
      <c r="N14" s="91" t="inlineStr">
        <is>
          <t>2026-10-15 20:14:07</t>
        </is>
      </c>
      <c r="O14" s="91" t="n"/>
      <c r="P14" s="91" t="inlineStr">
        <is>
          <t>REWARDS VISA|20261010|-12296|HMART112#1</t>
        </is>
      </c>
      <c r="Q14" s="92">
        <f>IF(AND(G14=RptMonth,F14="Expense",N(E14)&lt;0),-E14+ROW()/10000000,"")</f>
        <v/>
      </c>
    </row>
    <row r="15">
      <c r="A15" s="86" t="n">
        <v>46304</v>
      </c>
      <c r="B15" s="87" t="inlineStr">
        <is>
          <t>Everyday Checking</t>
        </is>
      </c>
      <c r="C15" s="87" t="inlineStr">
        <is>
          <t>NJ NATURAL GAS PAYMENT</t>
        </is>
      </c>
      <c r="D15" s="87" t="inlineStr">
        <is>
          <t>Utilities</t>
        </is>
      </c>
      <c r="E15" s="88" t="n">
        <v>-41.07</v>
      </c>
      <c r="F15" s="89">
        <f>IF(E15="","",IF(OR(D15="",D15="Uncategorized"),IF(E15&lt;0,"Expense","Income"),IFERROR(INDEX(Categories!$B$6:$B$65,MATCH(D15,Categories!$A$6:$A$65,0)),IF(E15&lt;0,"Expense","Income"))))</f>
        <v/>
      </c>
      <c r="G15" s="90">
        <f>IF(A15="","",DATE(YEAR(A15),MONTH(A15),1))</f>
        <v/>
      </c>
      <c r="H15" s="87" t="n"/>
      <c r="I15" s="87" t="n"/>
      <c r="J15" s="91" t="inlineStr">
        <is>
          <t>NJ NATURAL GAS PAYMENT</t>
        </is>
      </c>
      <c r="K15" s="91" t="inlineStr">
        <is>
          <t>Sample Bank</t>
        </is>
      </c>
      <c r="L15" s="91" t="inlineStr">
        <is>
          <t>Checking</t>
        </is>
      </c>
      <c r="M15" s="91" t="inlineStr">
        <is>
          <t>Checking_Activity.csv</t>
        </is>
      </c>
      <c r="N15" s="91" t="inlineStr">
        <is>
          <t>2026-10-15 20:14:07</t>
        </is>
      </c>
      <c r="O15" s="91" t="n"/>
      <c r="P15" s="91" t="inlineStr">
        <is>
          <t>EVERYDAY CHECKING|20261009|-4107|NJNATURALGASPAYMENT#1</t>
        </is>
      </c>
      <c r="Q15" s="92">
        <f>IF(AND(G15=RptMonth,F15="Expense",N(E15)&lt;0),-E15+ROW()/10000000,"")</f>
        <v/>
      </c>
    </row>
    <row r="16">
      <c r="A16" s="86" t="n">
        <v>46304</v>
      </c>
      <c r="B16" s="87" t="inlineStr">
        <is>
          <t>Rewards Visa</t>
        </is>
      </c>
      <c r="C16" s="87" t="inlineStr">
        <is>
          <t>EXXONMOBIL 4471</t>
        </is>
      </c>
      <c r="D16" s="87" t="inlineStr">
        <is>
          <t>Gas &amp; Fuel</t>
        </is>
      </c>
      <c r="E16" s="88" t="n">
        <v>-49.12</v>
      </c>
      <c r="F16" s="89">
        <f>IF(E16="","",IF(OR(D16="",D16="Uncategorized"),IF(E16&lt;0,"Expense","Income"),IFERROR(INDEX(Categories!$B$6:$B$65,MATCH(D16,Categories!$A$6:$A$65,0)),IF(E16&lt;0,"Expense","Income"))))</f>
        <v/>
      </c>
      <c r="G16" s="90">
        <f>IF(A16="","",DATE(YEAR(A16),MONTH(A16),1))</f>
        <v/>
      </c>
      <c r="H16" s="87" t="n"/>
      <c r="I16" s="87" t="n"/>
      <c r="J16" s="91" t="inlineStr">
        <is>
          <t>EXXONMOBIL 4471</t>
        </is>
      </c>
      <c r="K16" s="91" t="inlineStr">
        <is>
          <t>Sample Card Co</t>
        </is>
      </c>
      <c r="L16" s="91" t="inlineStr">
        <is>
          <t>Credit Card</t>
        </is>
      </c>
      <c r="M16" s="91" t="inlineStr">
        <is>
          <t>Visa_Statement.csv</t>
        </is>
      </c>
      <c r="N16" s="91" t="inlineStr">
        <is>
          <t>2026-10-15 20:14:07</t>
        </is>
      </c>
      <c r="O16" s="91" t="n"/>
      <c r="P16" s="91" t="inlineStr">
        <is>
          <t>REWARDS VISA|20261009|-4912|EXXONMOBIL4471#1</t>
        </is>
      </c>
      <c r="Q16" s="92">
        <f>IF(AND(G16=RptMonth,F16="Expense",N(E16)&lt;0),-E16+ROW()/10000000,"")</f>
        <v/>
      </c>
    </row>
    <row r="17">
      <c r="A17" s="86" t="n">
        <v>46303</v>
      </c>
      <c r="B17" s="87" t="inlineStr">
        <is>
          <t>Everyday Checking</t>
        </is>
      </c>
      <c r="C17" s="87" t="inlineStr">
        <is>
          <t>PSEG ELECTRIC BILL</t>
        </is>
      </c>
      <c r="D17" s="87" t="inlineStr">
        <is>
          <t>Utilities</t>
        </is>
      </c>
      <c r="E17" s="88" t="n">
        <v>-125.99</v>
      </c>
      <c r="F17" s="89">
        <f>IF(E17="","",IF(OR(D17="",D17="Uncategorized"),IF(E17&lt;0,"Expense","Income"),IFERROR(INDEX(Categories!$B$6:$B$65,MATCH(D17,Categories!$A$6:$A$65,0)),IF(E17&lt;0,"Expense","Income"))))</f>
        <v/>
      </c>
      <c r="G17" s="90">
        <f>IF(A17="","",DATE(YEAR(A17),MONTH(A17),1))</f>
        <v/>
      </c>
      <c r="H17" s="87" t="n"/>
      <c r="I17" s="87" t="n"/>
      <c r="J17" s="91" t="inlineStr">
        <is>
          <t>PSEG ELECTRIC BILL</t>
        </is>
      </c>
      <c r="K17" s="91" t="inlineStr">
        <is>
          <t>Sample Bank</t>
        </is>
      </c>
      <c r="L17" s="91" t="inlineStr">
        <is>
          <t>Checking</t>
        </is>
      </c>
      <c r="M17" s="91" t="inlineStr">
        <is>
          <t>Checking_Activity.csv</t>
        </is>
      </c>
      <c r="N17" s="91" t="inlineStr">
        <is>
          <t>2026-10-15 20:14:07</t>
        </is>
      </c>
      <c r="O17" s="91" t="n"/>
      <c r="P17" s="91" t="inlineStr">
        <is>
          <t>EVERYDAY CHECKING|20261008|-12599|PSEGELECTRICBILL#1</t>
        </is>
      </c>
      <c r="Q17" s="92">
        <f>IF(AND(G17=RptMonth,F17="Expense",N(E17)&lt;0),-E17+ROW()/10000000,"")</f>
        <v/>
      </c>
    </row>
    <row r="18">
      <c r="A18" s="86" t="n">
        <v>46302</v>
      </c>
      <c r="B18" s="87" t="inlineStr">
        <is>
          <t>Rewards Visa</t>
        </is>
      </c>
      <c r="C18" s="87" t="inlineStr">
        <is>
          <t>SPOTIFY USA</t>
        </is>
      </c>
      <c r="D18" s="87" t="inlineStr">
        <is>
          <t>Subscriptions</t>
        </is>
      </c>
      <c r="E18" s="88" t="n">
        <v>-11.99</v>
      </c>
      <c r="F18" s="89">
        <f>IF(E18="","",IF(OR(D18="",D18="Uncategorized"),IF(E18&lt;0,"Expense","Income"),IFERROR(INDEX(Categories!$B$6:$B$65,MATCH(D18,Categories!$A$6:$A$65,0)),IF(E18&lt;0,"Expense","Income"))))</f>
        <v/>
      </c>
      <c r="G18" s="90">
        <f>IF(A18="","",DATE(YEAR(A18),MONTH(A18),1))</f>
        <v/>
      </c>
      <c r="H18" s="87" t="n"/>
      <c r="I18" s="87" t="n"/>
      <c r="J18" s="91" t="inlineStr">
        <is>
          <t>SPOTIFY USA</t>
        </is>
      </c>
      <c r="K18" s="91" t="inlineStr">
        <is>
          <t>Sample Card Co</t>
        </is>
      </c>
      <c r="L18" s="91" t="inlineStr">
        <is>
          <t>Credit Card</t>
        </is>
      </c>
      <c r="M18" s="91" t="inlineStr">
        <is>
          <t>Visa_Statement.csv</t>
        </is>
      </c>
      <c r="N18" s="91" t="inlineStr">
        <is>
          <t>2026-10-15 20:14:07</t>
        </is>
      </c>
      <c r="O18" s="91" t="n"/>
      <c r="P18" s="91" t="inlineStr">
        <is>
          <t>REWARDS VISA|20261007|-1199|SPOTIFYUSA#1</t>
        </is>
      </c>
      <c r="Q18" s="92">
        <f>IF(AND(G18=RptMonth,F18="Expense",N(E18)&lt;0),-E18+ROW()/10000000,"")</f>
        <v/>
      </c>
    </row>
    <row r="19">
      <c r="A19" s="86" t="n">
        <v>46302</v>
      </c>
      <c r="B19" s="87" t="inlineStr">
        <is>
          <t>Rewards Visa</t>
        </is>
      </c>
      <c r="C19" s="87" t="inlineStr">
        <is>
          <t>WHOLE FOODS MARKET #10312</t>
        </is>
      </c>
      <c r="D19" s="87" t="inlineStr">
        <is>
          <t>Groceries</t>
        </is>
      </c>
      <c r="E19" s="88" t="n">
        <v>-59.67</v>
      </c>
      <c r="F19" s="89">
        <f>IF(E19="","",IF(OR(D19="",D19="Uncategorized"),IF(E19&lt;0,"Expense","Income"),IFERROR(INDEX(Categories!$B$6:$B$65,MATCH(D19,Categories!$A$6:$A$65,0)),IF(E19&lt;0,"Expense","Income"))))</f>
        <v/>
      </c>
      <c r="G19" s="90">
        <f>IF(A19="","",DATE(YEAR(A19),MONTH(A19),1))</f>
        <v/>
      </c>
      <c r="H19" s="87" t="n"/>
      <c r="I19" s="87" t="n"/>
      <c r="J19" s="91" t="inlineStr">
        <is>
          <t>WHOLE FOODS MARKET #10312</t>
        </is>
      </c>
      <c r="K19" s="91" t="inlineStr">
        <is>
          <t>Sample Card Co</t>
        </is>
      </c>
      <c r="L19" s="91" t="inlineStr">
        <is>
          <t>Credit Card</t>
        </is>
      </c>
      <c r="M19" s="91" t="inlineStr">
        <is>
          <t>Visa_Statement.csv</t>
        </is>
      </c>
      <c r="N19" s="91" t="inlineStr">
        <is>
          <t>2026-10-15 20:14:07</t>
        </is>
      </c>
      <c r="O19" s="91" t="n"/>
      <c r="P19" s="91" t="inlineStr">
        <is>
          <t>REWARDS VISA|20261007|-5967|WHOLEFOODSMARKET10312#1</t>
        </is>
      </c>
      <c r="Q19" s="92">
        <f>IF(AND(G19=RptMonth,F19="Expense",N(E19)&lt;0),-E19+ROW()/10000000,"")</f>
        <v/>
      </c>
    </row>
    <row r="20">
      <c r="A20" s="86" t="n">
        <v>46300</v>
      </c>
      <c r="B20" s="87" t="inlineStr">
        <is>
          <t>Everyday Checking</t>
        </is>
      </c>
      <c r="C20" s="87" t="inlineStr">
        <is>
          <t>ONLINE TRANSFER TO HIGH-YIELD SAVINGS</t>
        </is>
      </c>
      <c r="D20" s="87" t="inlineStr">
        <is>
          <t>Transfer</t>
        </is>
      </c>
      <c r="E20" s="88" t="n">
        <v>-500</v>
      </c>
      <c r="F20" s="89">
        <f>IF(E20="","",IF(OR(D20="",D20="Uncategorized"),IF(E20&lt;0,"Expense","Income"),IFERROR(INDEX(Categories!$B$6:$B$65,MATCH(D20,Categories!$A$6:$A$65,0)),IF(E20&lt;0,"Expense","Income"))))</f>
        <v/>
      </c>
      <c r="G20" s="90">
        <f>IF(A20="","",DATE(YEAR(A20),MONTH(A20),1))</f>
        <v/>
      </c>
      <c r="H20" s="87" t="n"/>
      <c r="I20" s="87" t="n"/>
      <c r="J20" s="91" t="inlineStr">
        <is>
          <t>ONLINE TRANSFER TO HIGH-YIELD SAVINGS</t>
        </is>
      </c>
      <c r="K20" s="91" t="inlineStr">
        <is>
          <t>Sample Bank</t>
        </is>
      </c>
      <c r="L20" s="91" t="inlineStr">
        <is>
          <t>Checking</t>
        </is>
      </c>
      <c r="M20" s="91" t="inlineStr">
        <is>
          <t>Checking_Activity.csv</t>
        </is>
      </c>
      <c r="N20" s="91" t="inlineStr">
        <is>
          <t>2026-10-15 20:14:07</t>
        </is>
      </c>
      <c r="O20" s="91" t="n"/>
      <c r="P20" s="91" t="inlineStr">
        <is>
          <t>EVERYDAY CHECKING|20261005|-50000|ONLINETRANSFERTOHIGHYIELDSAVINGS#1</t>
        </is>
      </c>
      <c r="Q20" s="92">
        <f>IF(AND(G20=RptMonth,F20="Expense",N(E20)&lt;0),-E20+ROW()/10000000,"")</f>
        <v/>
      </c>
    </row>
    <row r="21">
      <c r="A21" s="86" t="n">
        <v>46300</v>
      </c>
      <c r="B21" s="87" t="inlineStr">
        <is>
          <t>High-Yield Savings</t>
        </is>
      </c>
      <c r="C21" s="87" t="inlineStr">
        <is>
          <t>ONLINE TRANSFER FROM EVERYDAY CHECKING</t>
        </is>
      </c>
      <c r="D21" s="87" t="inlineStr">
        <is>
          <t>Transfer</t>
        </is>
      </c>
      <c r="E21" s="88" t="n">
        <v>500</v>
      </c>
      <c r="F21" s="89">
        <f>IF(E21="","",IF(OR(D21="",D21="Uncategorized"),IF(E21&lt;0,"Expense","Income"),IFERROR(INDEX(Categories!$B$6:$B$65,MATCH(D21,Categories!$A$6:$A$65,0)),IF(E21&lt;0,"Expense","Income"))))</f>
        <v/>
      </c>
      <c r="G21" s="90">
        <f>IF(A21="","",DATE(YEAR(A21),MONTH(A21),1))</f>
        <v/>
      </c>
      <c r="H21" s="87" t="n"/>
      <c r="I21" s="87" t="n"/>
      <c r="J21" s="91" t="inlineStr">
        <is>
          <t>ONLINE TRANSFER FROM EVERYDAY CHECKING</t>
        </is>
      </c>
      <c r="K21" s="91" t="inlineStr">
        <is>
          <t>Sample Bank</t>
        </is>
      </c>
      <c r="L21" s="91" t="inlineStr">
        <is>
          <t>Savings</t>
        </is>
      </c>
      <c r="M21" s="91" t="inlineStr">
        <is>
          <t>Savings.qfx</t>
        </is>
      </c>
      <c r="N21" s="91" t="inlineStr">
        <is>
          <t>2026-10-15 20:14:07</t>
        </is>
      </c>
      <c r="O21" s="91" t="inlineStr">
        <is>
          <t>773002026100501</t>
        </is>
      </c>
      <c r="P21" s="91" t="inlineStr">
        <is>
          <t>HIGH-YIELD SAVINGS|ID|773002026100501#1</t>
        </is>
      </c>
      <c r="Q21" s="92">
        <f>IF(AND(G21=RptMonth,F21="Expense",N(E21)&lt;0),-E21+ROW()/10000000,"")</f>
        <v/>
      </c>
    </row>
    <row r="22">
      <c r="A22" s="86" t="n">
        <v>46299</v>
      </c>
      <c r="B22" s="87" t="inlineStr">
        <is>
          <t>Rewards Visa</t>
        </is>
      </c>
      <c r="C22" s="87" t="inlineStr">
        <is>
          <t>SWEETGREEN PALISADES</t>
        </is>
      </c>
      <c r="D22" s="87" t="inlineStr">
        <is>
          <t>Dining Out</t>
        </is>
      </c>
      <c r="E22" s="88" t="n">
        <v>-19.03</v>
      </c>
      <c r="F22" s="89">
        <f>IF(E22="","",IF(OR(D22="",D22="Uncategorized"),IF(E22&lt;0,"Expense","Income"),IFERROR(INDEX(Categories!$B$6:$B$65,MATCH(D22,Categories!$A$6:$A$65,0)),IF(E22&lt;0,"Expense","Income"))))</f>
        <v/>
      </c>
      <c r="G22" s="90">
        <f>IF(A22="","",DATE(YEAR(A22),MONTH(A22),1))</f>
        <v/>
      </c>
      <c r="H22" s="87" t="n"/>
      <c r="I22" s="87" t="n"/>
      <c r="J22" s="91" t="inlineStr">
        <is>
          <t>SWEETGREEN PALISADES</t>
        </is>
      </c>
      <c r="K22" s="91" t="inlineStr">
        <is>
          <t>Sample Card Co</t>
        </is>
      </c>
      <c r="L22" s="91" t="inlineStr">
        <is>
          <t>Credit Card</t>
        </is>
      </c>
      <c r="M22" s="91" t="inlineStr">
        <is>
          <t>Visa_Statement.csv</t>
        </is>
      </c>
      <c r="N22" s="91" t="inlineStr">
        <is>
          <t>2026-10-15 20:14:07</t>
        </is>
      </c>
      <c r="O22" s="91" t="n"/>
      <c r="P22" s="91" t="inlineStr">
        <is>
          <t>REWARDS VISA|20261004|-1903|SWEETGREENPALISADES#1</t>
        </is>
      </c>
      <c r="Q22" s="92">
        <f>IF(AND(G22=RptMonth,F22="Expense",N(E22)&lt;0),-E22+ROW()/10000000,"")</f>
        <v/>
      </c>
    </row>
    <row r="23">
      <c r="A23" s="86" t="n">
        <v>46298</v>
      </c>
      <c r="B23" s="87" t="inlineStr">
        <is>
          <t>Everyday Checking</t>
        </is>
      </c>
      <c r="C23" s="87" t="inlineStr">
        <is>
          <t>GEICO AUTO INSURANCE</t>
        </is>
      </c>
      <c r="D23" s="87" t="inlineStr">
        <is>
          <t>Insurance</t>
        </is>
      </c>
      <c r="E23" s="88" t="n">
        <v>-142.5</v>
      </c>
      <c r="F23" s="89">
        <f>IF(E23="","",IF(OR(D23="",D23="Uncategorized"),IF(E23&lt;0,"Expense","Income"),IFERROR(INDEX(Categories!$B$6:$B$65,MATCH(D23,Categories!$A$6:$A$65,0)),IF(E23&lt;0,"Expense","Income"))))</f>
        <v/>
      </c>
      <c r="G23" s="90">
        <f>IF(A23="","",DATE(YEAR(A23),MONTH(A23),1))</f>
        <v/>
      </c>
      <c r="H23" s="87" t="n"/>
      <c r="I23" s="87" t="n"/>
      <c r="J23" s="91" t="inlineStr">
        <is>
          <t>GEICO AUTO INSURANCE</t>
        </is>
      </c>
      <c r="K23" s="91" t="inlineStr">
        <is>
          <t>Sample Bank</t>
        </is>
      </c>
      <c r="L23" s="91" t="inlineStr">
        <is>
          <t>Checking</t>
        </is>
      </c>
      <c r="M23" s="91" t="inlineStr">
        <is>
          <t>Checking_Activity.csv</t>
        </is>
      </c>
      <c r="N23" s="91" t="inlineStr">
        <is>
          <t>2026-10-15 20:14:07</t>
        </is>
      </c>
      <c r="O23" s="91" t="n"/>
      <c r="P23" s="91" t="inlineStr">
        <is>
          <t>EVERYDAY CHECKING|20261003|-14250|GEICOAUTOINSURANCE#1</t>
        </is>
      </c>
      <c r="Q23" s="92">
        <f>IF(AND(G23=RptMonth,F23="Expense",N(E23)&lt;0),-E23+ROW()/10000000,"")</f>
        <v/>
      </c>
    </row>
    <row r="24">
      <c r="A24" s="86" t="n">
        <v>46298</v>
      </c>
      <c r="B24" s="87" t="inlineStr">
        <is>
          <t>Rewards Visa</t>
        </is>
      </c>
      <c r="C24" s="87" t="inlineStr">
        <is>
          <t>SHOPRITE #0234</t>
        </is>
      </c>
      <c r="D24" s="87" t="inlineStr">
        <is>
          <t>Groceries</t>
        </is>
      </c>
      <c r="E24" s="88" t="n">
        <v>-96.34999999999999</v>
      </c>
      <c r="F24" s="89">
        <f>IF(E24="","",IF(OR(D24="",D24="Uncategorized"),IF(E24&lt;0,"Expense","Income"),IFERROR(INDEX(Categories!$B$6:$B$65,MATCH(D24,Categories!$A$6:$A$65,0)),IF(E24&lt;0,"Expense","Income"))))</f>
        <v/>
      </c>
      <c r="G24" s="90">
        <f>IF(A24="","",DATE(YEAR(A24),MONTH(A24),1))</f>
        <v/>
      </c>
      <c r="H24" s="87" t="n"/>
      <c r="I24" s="87" t="n"/>
      <c r="J24" s="91" t="inlineStr">
        <is>
          <t>SHOPRITE #0234</t>
        </is>
      </c>
      <c r="K24" s="91" t="inlineStr">
        <is>
          <t>Sample Card Co</t>
        </is>
      </c>
      <c r="L24" s="91" t="inlineStr">
        <is>
          <t>Credit Card</t>
        </is>
      </c>
      <c r="M24" s="91" t="inlineStr">
        <is>
          <t>Visa_Statement.csv</t>
        </is>
      </c>
      <c r="N24" s="91" t="inlineStr">
        <is>
          <t>2026-10-15 20:14:07</t>
        </is>
      </c>
      <c r="O24" s="91" t="n"/>
      <c r="P24" s="91" t="inlineStr">
        <is>
          <t>REWARDS VISA|20261003|-9635|SHOPRITE0234#1</t>
        </is>
      </c>
      <c r="Q24" s="92">
        <f>IF(AND(G24=RptMonth,F24="Expense",N(E24)&lt;0),-E24+ROW()/10000000,"")</f>
        <v/>
      </c>
    </row>
    <row r="25">
      <c r="A25" s="86" t="n">
        <v>46297</v>
      </c>
      <c r="B25" s="87" t="inlineStr">
        <is>
          <t>Everyday Checking</t>
        </is>
      </c>
      <c r="C25" s="87" t="inlineStr">
        <is>
          <t>ACME CORP PAYROLL DIR DEP</t>
        </is>
      </c>
      <c r="D25" s="87" t="inlineStr">
        <is>
          <t>Salary</t>
        </is>
      </c>
      <c r="E25" s="88" t="n">
        <v>3461.07</v>
      </c>
      <c r="F25" s="89">
        <f>IF(E25="","",IF(OR(D25="",D25="Uncategorized"),IF(E25&lt;0,"Expense","Income"),IFERROR(INDEX(Categories!$B$6:$B$65,MATCH(D25,Categories!$A$6:$A$65,0)),IF(E25&lt;0,"Expense","Income"))))</f>
        <v/>
      </c>
      <c r="G25" s="90">
        <f>IF(A25="","",DATE(YEAR(A25),MONTH(A25),1))</f>
        <v/>
      </c>
      <c r="H25" s="87" t="n"/>
      <c r="I25" s="87" t="n"/>
      <c r="J25" s="91" t="inlineStr">
        <is>
          <t>ACME CORP PAYROLL DIR DEP</t>
        </is>
      </c>
      <c r="K25" s="91" t="inlineStr">
        <is>
          <t>Sample Bank</t>
        </is>
      </c>
      <c r="L25" s="91" t="inlineStr">
        <is>
          <t>Checking</t>
        </is>
      </c>
      <c r="M25" s="91" t="inlineStr">
        <is>
          <t>Checking_Activity.csv</t>
        </is>
      </c>
      <c r="N25" s="91" t="inlineStr">
        <is>
          <t>2026-10-15 20:14:07</t>
        </is>
      </c>
      <c r="O25" s="91" t="n"/>
      <c r="P25" s="91" t="inlineStr">
        <is>
          <t>EVERYDAY CHECKING|20261002|346107|ACMECORPPAYROLLDIRDEP#1</t>
        </is>
      </c>
      <c r="Q25" s="92">
        <f>IF(AND(G25=RptMonth,F25="Expense",N(E25)&lt;0),-E25+ROW()/10000000,"")</f>
        <v/>
      </c>
    </row>
    <row r="26">
      <c r="A26" s="86" t="n">
        <v>46297</v>
      </c>
      <c r="B26" s="87" t="inlineStr">
        <is>
          <t>Rewards Visa</t>
        </is>
      </c>
      <c r="C26" s="87" t="inlineStr">
        <is>
          <t>NETFLIX.COM</t>
        </is>
      </c>
      <c r="D26" s="87" t="inlineStr">
        <is>
          <t>Subscriptions</t>
        </is>
      </c>
      <c r="E26" s="88" t="n">
        <v>-15.49</v>
      </c>
      <c r="F26" s="89">
        <f>IF(E26="","",IF(OR(D26="",D26="Uncategorized"),IF(E26&lt;0,"Expense","Income"),IFERROR(INDEX(Categories!$B$6:$B$65,MATCH(D26,Categories!$A$6:$A$65,0)),IF(E26&lt;0,"Expense","Income"))))</f>
        <v/>
      </c>
      <c r="G26" s="90">
        <f>IF(A26="","",DATE(YEAR(A26),MONTH(A26),1))</f>
        <v/>
      </c>
      <c r="H26" s="87" t="n"/>
      <c r="I26" s="87" t="n"/>
      <c r="J26" s="91" t="inlineStr">
        <is>
          <t>NETFLIX.COM</t>
        </is>
      </c>
      <c r="K26" s="91" t="inlineStr">
        <is>
          <t>Sample Card Co</t>
        </is>
      </c>
      <c r="L26" s="91" t="inlineStr">
        <is>
          <t>Credit Card</t>
        </is>
      </c>
      <c r="M26" s="91" t="inlineStr">
        <is>
          <t>Visa_Statement.csv</t>
        </is>
      </c>
      <c r="N26" s="91" t="inlineStr">
        <is>
          <t>2026-10-15 20:14:07</t>
        </is>
      </c>
      <c r="O26" s="91" t="n"/>
      <c r="P26" s="91" t="inlineStr">
        <is>
          <t>REWARDS VISA|20261002|-1549|NETFLIXCOM#1</t>
        </is>
      </c>
      <c r="Q26" s="92">
        <f>IF(AND(G26=RptMonth,F26="Expense",N(E26)&lt;0),-E26+ROW()/10000000,"")</f>
        <v/>
      </c>
    </row>
    <row r="27">
      <c r="A27" s="86" t="n">
        <v>46296</v>
      </c>
      <c r="B27" s="87" t="inlineStr">
        <is>
          <t>Everyday Checking</t>
        </is>
      </c>
      <c r="C27" s="87" t="inlineStr">
        <is>
          <t>SAMPLE MORTGAGE CO PAYMENT</t>
        </is>
      </c>
      <c r="D27" s="87" t="inlineStr">
        <is>
          <t>Mortgage / Rent</t>
        </is>
      </c>
      <c r="E27" s="88" t="n">
        <v>-2450</v>
      </c>
      <c r="F27" s="89">
        <f>IF(E27="","",IF(OR(D27="",D27="Uncategorized"),IF(E27&lt;0,"Expense","Income"),IFERROR(INDEX(Categories!$B$6:$B$65,MATCH(D27,Categories!$A$6:$A$65,0)),IF(E27&lt;0,"Expense","Income"))))</f>
        <v/>
      </c>
      <c r="G27" s="90">
        <f>IF(A27="","",DATE(YEAR(A27),MONTH(A27),1))</f>
        <v/>
      </c>
      <c r="H27" s="87" t="inlineStr">
        <is>
          <t>Includes escrow for taxes and insurance</t>
        </is>
      </c>
      <c r="I27" s="87" t="n"/>
      <c r="J27" s="91" t="inlineStr">
        <is>
          <t>SAMPLE MORTGAGE CO PAYMENT</t>
        </is>
      </c>
      <c r="K27" s="91" t="inlineStr">
        <is>
          <t>Sample Bank</t>
        </is>
      </c>
      <c r="L27" s="91" t="inlineStr">
        <is>
          <t>Checking</t>
        </is>
      </c>
      <c r="M27" s="91" t="inlineStr">
        <is>
          <t>Checking_Activity.csv</t>
        </is>
      </c>
      <c r="N27" s="91" t="inlineStr">
        <is>
          <t>2026-10-15 20:14:07</t>
        </is>
      </c>
      <c r="O27" s="91" t="n"/>
      <c r="P27" s="91" t="inlineStr">
        <is>
          <t>EVERYDAY CHECKING|20261001|-245000|SAMPLEMORTGAGECOPAYMENT#1</t>
        </is>
      </c>
      <c r="Q27" s="92">
        <f>IF(AND(G27=RptMonth,F27="Expense",N(E27)&lt;0),-E27+ROW()/10000000,"")</f>
        <v/>
      </c>
    </row>
    <row r="28">
      <c r="A28" s="86" t="n">
        <v>46296</v>
      </c>
      <c r="B28" s="87" t="inlineStr">
        <is>
          <t>Home Mortgage</t>
        </is>
      </c>
      <c r="C28" s="87" t="inlineStr">
        <is>
          <t>Payment</t>
        </is>
      </c>
      <c r="D28" s="87" t="inlineStr">
        <is>
          <t>Transfer</t>
        </is>
      </c>
      <c r="E28" s="88" t="n">
        <v>315.97</v>
      </c>
      <c r="F28" s="89">
        <f>IF(E28="","",IF(OR(D28="",D28="Uncategorized"),IF(E28&lt;0,"Expense","Income"),IFERROR(INDEX(Categories!$B$6:$B$65,MATCH(D28,Categories!$A$6:$A$65,0)),IF(E28&lt;0,"Expense","Income"))))</f>
        <v/>
      </c>
      <c r="G28" s="90">
        <f>IF(A28="","",DATE(YEAR(A28),MONTH(A28),1))</f>
        <v/>
      </c>
      <c r="H28" s="87" t="n"/>
      <c r="I28" s="87" t="n"/>
      <c r="J28" s="91" t="inlineStr">
        <is>
          <t>Payment</t>
        </is>
      </c>
      <c r="K28" s="91" t="inlineStr">
        <is>
          <t>Sample Mortgage Co</t>
        </is>
      </c>
      <c r="L28" s="91" t="inlineStr">
        <is>
          <t>Mortgage</t>
        </is>
      </c>
      <c r="M28" s="91" t="inlineStr">
        <is>
          <t>Mortgage_History.xlsx</t>
        </is>
      </c>
      <c r="N28" s="91" t="inlineStr">
        <is>
          <t>2026-10-15 20:14:07</t>
        </is>
      </c>
      <c r="O28" s="91" t="n"/>
      <c r="P28" s="91" t="inlineStr">
        <is>
          <t>HOME MORTGAGE|20261001|31597|PAYMENT#1</t>
        </is>
      </c>
      <c r="Q28" s="92">
        <f>IF(AND(G28=RptMonth,F28="Expense",N(E28)&lt;0),-E28+ROW()/10000000,"")</f>
        <v/>
      </c>
    </row>
    <row r="29">
      <c r="A29" s="86" t="n">
        <v>46295</v>
      </c>
      <c r="B29" s="87" t="inlineStr">
        <is>
          <t>Rewards Visa</t>
        </is>
      </c>
      <c r="C29" s="87" t="inlineStr">
        <is>
          <t>TARGET 00012345</t>
        </is>
      </c>
      <c r="D29" s="87" t="inlineStr">
        <is>
          <t>Shopping</t>
        </is>
      </c>
      <c r="E29" s="88" t="n">
        <v>-42.5</v>
      </c>
      <c r="F29" s="89">
        <f>IF(E29="","",IF(OR(D29="",D29="Uncategorized"),IF(E29&lt;0,"Expense","Income"),IFERROR(INDEX(Categories!$B$6:$B$65,MATCH(D29,Categories!$A$6:$A$65,0)),IF(E29&lt;0,"Expense","Income"))))</f>
        <v/>
      </c>
      <c r="G29" s="90">
        <f>IF(A29="","",DATE(YEAR(A29),MONTH(A29),1))</f>
        <v/>
      </c>
      <c r="H29" s="87" t="n"/>
      <c r="I29" s="87" t="n"/>
      <c r="J29" s="91" t="inlineStr">
        <is>
          <t>TARGET 00012345</t>
        </is>
      </c>
      <c r="K29" s="91" t="inlineStr">
        <is>
          <t>Sample Card Co</t>
        </is>
      </c>
      <c r="L29" s="91" t="inlineStr">
        <is>
          <t>Credit Card</t>
        </is>
      </c>
      <c r="M29" s="91" t="inlineStr">
        <is>
          <t>Visa_Statement.csv</t>
        </is>
      </c>
      <c r="N29" s="91" t="inlineStr">
        <is>
          <t>2026-10-15 20:14:07</t>
        </is>
      </c>
      <c r="O29" s="91" t="n"/>
      <c r="P29" s="91" t="inlineStr">
        <is>
          <t>REWARDS VISA|20260930|-4250|TARGET00012345#1</t>
        </is>
      </c>
      <c r="Q29" s="92">
        <f>IF(AND(G29=RptMonth,F29="Expense",N(E29)&lt;0),-E29+ROW()/10000000,"")</f>
        <v/>
      </c>
    </row>
    <row r="30">
      <c r="A30" s="86" t="n">
        <v>46295</v>
      </c>
      <c r="B30" s="87" t="inlineStr">
        <is>
          <t>Rewards Visa</t>
        </is>
      </c>
      <c r="C30" s="87" t="inlineStr">
        <is>
          <t>TRADER JOE'S #548</t>
        </is>
      </c>
      <c r="D30" s="87" t="inlineStr">
        <is>
          <t>Groceries</t>
        </is>
      </c>
      <c r="E30" s="88" t="n">
        <v>-38.82</v>
      </c>
      <c r="F30" s="89">
        <f>IF(E30="","",IF(OR(D30="",D30="Uncategorized"),IF(E30&lt;0,"Expense","Income"),IFERROR(INDEX(Categories!$B$6:$B$65,MATCH(D30,Categories!$A$6:$A$65,0)),IF(E30&lt;0,"Expense","Income"))))</f>
        <v/>
      </c>
      <c r="G30" s="90">
        <f>IF(A30="","",DATE(YEAR(A30),MONTH(A30),1))</f>
        <v/>
      </c>
      <c r="H30" s="87" t="n"/>
      <c r="I30" s="87" t="n"/>
      <c r="J30" s="91" t="inlineStr">
        <is>
          <t>TRADER JOE'S #548</t>
        </is>
      </c>
      <c r="K30" s="91" t="inlineStr">
        <is>
          <t>Sample Card Co</t>
        </is>
      </c>
      <c r="L30" s="91" t="inlineStr">
        <is>
          <t>Credit Card</t>
        </is>
      </c>
      <c r="M30" s="91" t="inlineStr">
        <is>
          <t>Visa_Statement.csv</t>
        </is>
      </c>
      <c r="N30" s="91" t="inlineStr">
        <is>
          <t>2026-10-15 20:14:07</t>
        </is>
      </c>
      <c r="O30" s="91" t="n"/>
      <c r="P30" s="91" t="inlineStr">
        <is>
          <t>REWARDS VISA|20260930|-3882|TRADERJOES548#1</t>
        </is>
      </c>
      <c r="Q30" s="92">
        <f>IF(AND(G30=RptMonth,F30="Expense",N(E30)&lt;0),-E30+ROW()/10000000,"")</f>
        <v/>
      </c>
    </row>
    <row r="31">
      <c r="A31" s="86" t="n">
        <v>46294</v>
      </c>
      <c r="B31" s="87" t="inlineStr">
        <is>
          <t>Rewards Visa</t>
        </is>
      </c>
      <c r="C31" s="87" t="inlineStr">
        <is>
          <t>SUNOCO 0391</t>
        </is>
      </c>
      <c r="D31" s="87" t="inlineStr">
        <is>
          <t>Gas &amp; Fuel</t>
        </is>
      </c>
      <c r="E31" s="88" t="n">
        <v>-57.41</v>
      </c>
      <c r="F31" s="89">
        <f>IF(E31="","",IF(OR(D31="",D31="Uncategorized"),IF(E31&lt;0,"Expense","Income"),IFERROR(INDEX(Categories!$B$6:$B$65,MATCH(D31,Categories!$A$6:$A$65,0)),IF(E31&lt;0,"Expense","Income"))))</f>
        <v/>
      </c>
      <c r="G31" s="90">
        <f>IF(A31="","",DATE(YEAR(A31),MONTH(A31),1))</f>
        <v/>
      </c>
      <c r="H31" s="87" t="n"/>
      <c r="I31" s="87" t="n"/>
      <c r="J31" s="91" t="inlineStr">
        <is>
          <t>SUNOCO 0391</t>
        </is>
      </c>
      <c r="K31" s="91" t="inlineStr">
        <is>
          <t>Sample Card Co</t>
        </is>
      </c>
      <c r="L31" s="91" t="inlineStr">
        <is>
          <t>Credit Card</t>
        </is>
      </c>
      <c r="M31" s="91" t="inlineStr">
        <is>
          <t>Visa_Statement.csv</t>
        </is>
      </c>
      <c r="N31" s="91" t="inlineStr">
        <is>
          <t>2026-10-15 20:14:07</t>
        </is>
      </c>
      <c r="O31" s="91" t="n"/>
      <c r="P31" s="91" t="inlineStr">
        <is>
          <t>REWARDS VISA|20260929|-5741|SUNOCO0391#1</t>
        </is>
      </c>
      <c r="Q31" s="92">
        <f>IF(AND(G31=RptMonth,F31="Expense",N(E31)&lt;0),-E31+ROW()/10000000,"")</f>
        <v/>
      </c>
    </row>
    <row r="32">
      <c r="A32" s="86" t="n">
        <v>46293</v>
      </c>
      <c r="B32" s="87" t="inlineStr">
        <is>
          <t>High-Yield Savings</t>
        </is>
      </c>
      <c r="C32" s="87" t="inlineStr">
        <is>
          <t>INTEREST PAYMENT</t>
        </is>
      </c>
      <c r="D32" s="87" t="inlineStr">
        <is>
          <t>Interest &amp; Dividends</t>
        </is>
      </c>
      <c r="E32" s="88" t="n">
        <v>50.8</v>
      </c>
      <c r="F32" s="89">
        <f>IF(E32="","",IF(OR(D32="",D32="Uncategorized"),IF(E32&lt;0,"Expense","Income"),IFERROR(INDEX(Categories!$B$6:$B$65,MATCH(D32,Categories!$A$6:$A$65,0)),IF(E32&lt;0,"Expense","Income"))))</f>
        <v/>
      </c>
      <c r="G32" s="90">
        <f>IF(A32="","",DATE(YEAR(A32),MONTH(A32),1))</f>
        <v/>
      </c>
      <c r="H32" s="87" t="n"/>
      <c r="I32" s="87" t="n"/>
      <c r="J32" s="91" t="inlineStr">
        <is>
          <t>INTEREST PAYMENT</t>
        </is>
      </c>
      <c r="K32" s="91" t="inlineStr">
        <is>
          <t>Sample Bank</t>
        </is>
      </c>
      <c r="L32" s="91" t="inlineStr">
        <is>
          <t>Savings</t>
        </is>
      </c>
      <c r="M32" s="91" t="inlineStr">
        <is>
          <t>Savings.qfx</t>
        </is>
      </c>
      <c r="N32" s="91" t="inlineStr">
        <is>
          <t>2026-10-15 20:14:07</t>
        </is>
      </c>
      <c r="O32" s="91" t="inlineStr">
        <is>
          <t>773002026092801</t>
        </is>
      </c>
      <c r="P32" s="91" t="inlineStr">
        <is>
          <t>HIGH-YIELD SAVINGS|ID|773002026092801#1</t>
        </is>
      </c>
      <c r="Q32" s="92">
        <f>IF(AND(G32=RptMonth,F32="Expense",N(E32)&lt;0),-E32+ROW()/10000000,"")</f>
        <v/>
      </c>
    </row>
    <row r="33">
      <c r="A33" s="86" t="n">
        <v>46291</v>
      </c>
      <c r="B33" s="87" t="inlineStr">
        <is>
          <t>Rewards Visa</t>
        </is>
      </c>
      <c r="C33" s="87" t="inlineStr">
        <is>
          <t>SHOPRITE #0234</t>
        </is>
      </c>
      <c r="D33" s="87" t="inlineStr">
        <is>
          <t>Groceries</t>
        </is>
      </c>
      <c r="E33" s="88" t="n">
        <v>-159.57</v>
      </c>
      <c r="F33" s="89">
        <f>IF(E33="","",IF(OR(D33="",D33="Uncategorized"),IF(E33&lt;0,"Expense","Income"),IFERROR(INDEX(Categories!$B$6:$B$65,MATCH(D33,Categories!$A$6:$A$65,0)),IF(E33&lt;0,"Expense","Income"))))</f>
        <v/>
      </c>
      <c r="G33" s="90">
        <f>IF(A33="","",DATE(YEAR(A33),MONTH(A33),1))</f>
        <v/>
      </c>
      <c r="H33" s="87" t="n"/>
      <c r="I33" s="87" t="n"/>
      <c r="J33" s="91" t="inlineStr">
        <is>
          <t>SHOPRITE #0234</t>
        </is>
      </c>
      <c r="K33" s="91" t="inlineStr">
        <is>
          <t>Sample Card Co</t>
        </is>
      </c>
      <c r="L33" s="91" t="inlineStr">
        <is>
          <t>Credit Card</t>
        </is>
      </c>
      <c r="M33" s="91" t="inlineStr">
        <is>
          <t>Visa_Statement.csv</t>
        </is>
      </c>
      <c r="N33" s="91" t="inlineStr">
        <is>
          <t>2026-10-15 20:14:07</t>
        </is>
      </c>
      <c r="O33" s="91" t="n"/>
      <c r="P33" s="91" t="inlineStr">
        <is>
          <t>REWARDS VISA|20260926|-15957|SHOPRITE0234#1</t>
        </is>
      </c>
      <c r="Q33" s="92">
        <f>IF(AND(G33=RptMonth,F33="Expense",N(E33)&lt;0),-E33+ROW()/10000000,"")</f>
        <v/>
      </c>
    </row>
    <row r="34">
      <c r="A34" s="86" t="n">
        <v>46289</v>
      </c>
      <c r="B34" s="87" t="inlineStr">
        <is>
          <t>Rewards Visa</t>
        </is>
      </c>
      <c r="C34" s="87" t="inlineStr">
        <is>
          <t>BLUE MOON DINER</t>
        </is>
      </c>
      <c r="D34" s="87" t="inlineStr">
        <is>
          <t>Dining Out</t>
        </is>
      </c>
      <c r="E34" s="88" t="n">
        <v>-49.84</v>
      </c>
      <c r="F34" s="89">
        <f>IF(E34="","",IF(OR(D34="",D34="Uncategorized"),IF(E34&lt;0,"Expense","Income"),IFERROR(INDEX(Categories!$B$6:$B$65,MATCH(D34,Categories!$A$6:$A$65,0)),IF(E34&lt;0,"Expense","Income"))))</f>
        <v/>
      </c>
      <c r="G34" s="90">
        <f>IF(A34="","",DATE(YEAR(A34),MONTH(A34),1))</f>
        <v/>
      </c>
      <c r="H34" s="87" t="n"/>
      <c r="I34" s="87" t="n"/>
      <c r="J34" s="91" t="inlineStr">
        <is>
          <t>BLUE MOON DINER</t>
        </is>
      </c>
      <c r="K34" s="91" t="inlineStr">
        <is>
          <t>Sample Card Co</t>
        </is>
      </c>
      <c r="L34" s="91" t="inlineStr">
        <is>
          <t>Credit Card</t>
        </is>
      </c>
      <c r="M34" s="91" t="inlineStr">
        <is>
          <t>Visa_Statement.csv</t>
        </is>
      </c>
      <c r="N34" s="91" t="inlineStr">
        <is>
          <t>2026-10-15 20:14:07</t>
        </is>
      </c>
      <c r="O34" s="91" t="n"/>
      <c r="P34" s="91" t="inlineStr">
        <is>
          <t>REWARDS VISA|20260924|-4984|BLUEMOONDINER#1</t>
        </is>
      </c>
      <c r="Q34" s="92">
        <f>IF(AND(G34=RptMonth,F34="Expense",N(E34)&lt;0),-E34+ROW()/10000000,"")</f>
        <v/>
      </c>
    </row>
    <row r="35">
      <c r="A35" s="86" t="n">
        <v>46287</v>
      </c>
      <c r="B35" s="87" t="inlineStr">
        <is>
          <t>Rewards Visa</t>
        </is>
      </c>
      <c r="C35" s="87" t="inlineStr">
        <is>
          <t>DOORDASH*THAI PALACE</t>
        </is>
      </c>
      <c r="D35" s="87" t="inlineStr">
        <is>
          <t>Dining Out</t>
        </is>
      </c>
      <c r="E35" s="88" t="n">
        <v>-48.89</v>
      </c>
      <c r="F35" s="89">
        <f>IF(E35="","",IF(OR(D35="",D35="Uncategorized"),IF(E35&lt;0,"Expense","Income"),IFERROR(INDEX(Categories!$B$6:$B$65,MATCH(D35,Categories!$A$6:$A$65,0)),IF(E35&lt;0,"Expense","Income"))))</f>
        <v/>
      </c>
      <c r="G35" s="90">
        <f>IF(A35="","",DATE(YEAR(A35),MONTH(A35),1))</f>
        <v/>
      </c>
      <c r="H35" s="87" t="n"/>
      <c r="I35" s="87" t="n"/>
      <c r="J35" s="91" t="inlineStr">
        <is>
          <t>DOORDASH*THAI PALACE</t>
        </is>
      </c>
      <c r="K35" s="91" t="inlineStr">
        <is>
          <t>Sample Card Co</t>
        </is>
      </c>
      <c r="L35" s="91" t="inlineStr">
        <is>
          <t>Credit Card</t>
        </is>
      </c>
      <c r="M35" s="91" t="inlineStr">
        <is>
          <t>Visa_Statement.csv</t>
        </is>
      </c>
      <c r="N35" s="91" t="inlineStr">
        <is>
          <t>2026-10-15 20:14:07</t>
        </is>
      </c>
      <c r="O35" s="91" t="n"/>
      <c r="P35" s="91" t="inlineStr">
        <is>
          <t>REWARDS VISA|20260922|-4889|DOORDASHTHAIPALACE#1</t>
        </is>
      </c>
      <c r="Q35" s="92">
        <f>IF(AND(G35=RptMonth,F35="Expense",N(E35)&lt;0),-E35+ROW()/10000000,"")</f>
        <v/>
      </c>
    </row>
    <row r="36">
      <c r="A36" s="86" t="n">
        <v>46286</v>
      </c>
      <c r="B36" s="87" t="inlineStr">
        <is>
          <t>Rewards Visa</t>
        </is>
      </c>
      <c r="C36" s="87" t="inlineStr">
        <is>
          <t>GREAT CLIPS #4410</t>
        </is>
      </c>
      <c r="D36" s="87" t="inlineStr">
        <is>
          <t>Personal Care</t>
        </is>
      </c>
      <c r="E36" s="88" t="n">
        <v>-26.89</v>
      </c>
      <c r="F36" s="89">
        <f>IF(E36="","",IF(OR(D36="",D36="Uncategorized"),IF(E36&lt;0,"Expense","Income"),IFERROR(INDEX(Categories!$B$6:$B$65,MATCH(D36,Categories!$A$6:$A$65,0)),IF(E36&lt;0,"Expense","Income"))))</f>
        <v/>
      </c>
      <c r="G36" s="90">
        <f>IF(A36="","",DATE(YEAR(A36),MONTH(A36),1))</f>
        <v/>
      </c>
      <c r="H36" s="87" t="n"/>
      <c r="I36" s="87" t="n"/>
      <c r="J36" s="91" t="inlineStr">
        <is>
          <t>GREAT CLIPS #4410</t>
        </is>
      </c>
      <c r="K36" s="91" t="inlineStr">
        <is>
          <t>Sample Card Co</t>
        </is>
      </c>
      <c r="L36" s="91" t="inlineStr">
        <is>
          <t>Credit Card</t>
        </is>
      </c>
      <c r="M36" s="91" t="inlineStr">
        <is>
          <t>Visa_Statement.csv</t>
        </is>
      </c>
      <c r="N36" s="91" t="inlineStr">
        <is>
          <t>2026-10-15 20:14:07</t>
        </is>
      </c>
      <c r="O36" s="91" t="n"/>
      <c r="P36" s="91" t="inlineStr">
        <is>
          <t>REWARDS VISA|20260921|-2689|GREATCLIPS4410#1</t>
        </is>
      </c>
      <c r="Q36" s="92">
        <f>IF(AND(G36=RptMonth,F36="Expense",N(E36)&lt;0),-E36+ROW()/10000000,"")</f>
        <v/>
      </c>
    </row>
    <row r="37">
      <c r="A37" s="86" t="n">
        <v>46285</v>
      </c>
      <c r="B37" s="87" t="inlineStr">
        <is>
          <t>Everyday Checking</t>
        </is>
      </c>
      <c r="C37" s="87" t="inlineStr">
        <is>
          <t>CREDIT CARD PAYMENT REWARDS VISA</t>
        </is>
      </c>
      <c r="D37" s="87" t="inlineStr">
        <is>
          <t>Credit Card Payment</t>
        </is>
      </c>
      <c r="E37" s="88" t="n">
        <v>-1866.11</v>
      </c>
      <c r="F37" s="89">
        <f>IF(E37="","",IF(OR(D37="",D37="Uncategorized"),IF(E37&lt;0,"Expense","Income"),IFERROR(INDEX(Categories!$B$6:$B$65,MATCH(D37,Categories!$A$6:$A$65,0)),IF(E37&lt;0,"Expense","Income"))))</f>
        <v/>
      </c>
      <c r="G37" s="90">
        <f>IF(A37="","",DATE(YEAR(A37),MONTH(A37),1))</f>
        <v/>
      </c>
      <c r="H37" s="87" t="n"/>
      <c r="I37" s="87" t="n"/>
      <c r="J37" s="91" t="inlineStr">
        <is>
          <t>CREDIT CARD PAYMENT REWARDS VISA</t>
        </is>
      </c>
      <c r="K37" s="91" t="inlineStr">
        <is>
          <t>Sample Bank</t>
        </is>
      </c>
      <c r="L37" s="91" t="inlineStr">
        <is>
          <t>Checking</t>
        </is>
      </c>
      <c r="M37" s="91" t="inlineStr">
        <is>
          <t>Checking_Activity.csv</t>
        </is>
      </c>
      <c r="N37" s="91" t="inlineStr">
        <is>
          <t>2026-10-15 20:14:07</t>
        </is>
      </c>
      <c r="O37" s="91" t="n"/>
      <c r="P37" s="91" t="inlineStr">
        <is>
          <t>EVERYDAY CHECKING|20260920|-186611|CREDITCARDPAYMENTREWARDSVISA#1</t>
        </is>
      </c>
      <c r="Q37" s="92">
        <f>IF(AND(G37=RptMonth,F37="Expense",N(E37)&lt;0),-E37+ROW()/10000000,"")</f>
        <v/>
      </c>
    </row>
    <row r="38">
      <c r="A38" s="86" t="n">
        <v>46285</v>
      </c>
      <c r="B38" s="87" t="inlineStr">
        <is>
          <t>Rewards Visa</t>
        </is>
      </c>
      <c r="C38" s="87" t="inlineStr">
        <is>
          <t>PAYMENT THANK YOU</t>
        </is>
      </c>
      <c r="D38" s="87" t="inlineStr">
        <is>
          <t>Credit Card Payment</t>
        </is>
      </c>
      <c r="E38" s="88" t="n">
        <v>1866.11</v>
      </c>
      <c r="F38" s="89">
        <f>IF(E38="","",IF(OR(D38="",D38="Uncategorized"),IF(E38&lt;0,"Expense","Income"),IFERROR(INDEX(Categories!$B$6:$B$65,MATCH(D38,Categories!$A$6:$A$65,0)),IF(E38&lt;0,"Expense","Income"))))</f>
        <v/>
      </c>
      <c r="G38" s="90">
        <f>IF(A38="","",DATE(YEAR(A38),MONTH(A38),1))</f>
        <v/>
      </c>
      <c r="H38" s="87" t="n"/>
      <c r="I38" s="87" t="n"/>
      <c r="J38" s="91" t="inlineStr">
        <is>
          <t>PAYMENT THANK YOU</t>
        </is>
      </c>
      <c r="K38" s="91" t="inlineStr">
        <is>
          <t>Sample Card Co</t>
        </is>
      </c>
      <c r="L38" s="91" t="inlineStr">
        <is>
          <t>Credit Card</t>
        </is>
      </c>
      <c r="M38" s="91" t="inlineStr">
        <is>
          <t>Visa_Statement.csv</t>
        </is>
      </c>
      <c r="N38" s="91" t="inlineStr">
        <is>
          <t>2026-10-15 20:14:07</t>
        </is>
      </c>
      <c r="O38" s="91" t="n"/>
      <c r="P38" s="91" t="inlineStr">
        <is>
          <t>REWARDS VISA|20260920|186611|PAYMENTTHANKYOU#1</t>
        </is>
      </c>
      <c r="Q38" s="92">
        <f>IF(AND(G38=RptMonth,F38="Expense",N(E38)&lt;0),-E38+ROW()/10000000,"")</f>
        <v/>
      </c>
    </row>
    <row r="39">
      <c r="A39" s="86" t="n">
        <v>46284</v>
      </c>
      <c r="B39" s="87" t="inlineStr">
        <is>
          <t>Rewards Visa</t>
        </is>
      </c>
      <c r="C39" s="87" t="inlineStr">
        <is>
          <t>H MART #112</t>
        </is>
      </c>
      <c r="D39" s="87" t="inlineStr">
        <is>
          <t>Groceries</t>
        </is>
      </c>
      <c r="E39" s="88" t="n">
        <v>-139.03</v>
      </c>
      <c r="F39" s="89">
        <f>IF(E39="","",IF(OR(D39="",D39="Uncategorized"),IF(E39&lt;0,"Expense","Income"),IFERROR(INDEX(Categories!$B$6:$B$65,MATCH(D39,Categories!$A$6:$A$65,0)),IF(E39&lt;0,"Expense","Income"))))</f>
        <v/>
      </c>
      <c r="G39" s="90">
        <f>IF(A39="","",DATE(YEAR(A39),MONTH(A39),1))</f>
        <v/>
      </c>
      <c r="H39" s="87" t="n"/>
      <c r="I39" s="87" t="n"/>
      <c r="J39" s="91" t="inlineStr">
        <is>
          <t>H MART #112</t>
        </is>
      </c>
      <c r="K39" s="91" t="inlineStr">
        <is>
          <t>Sample Card Co</t>
        </is>
      </c>
      <c r="L39" s="91" t="inlineStr">
        <is>
          <t>Credit Card</t>
        </is>
      </c>
      <c r="M39" s="91" t="inlineStr">
        <is>
          <t>Visa_Statement.csv</t>
        </is>
      </c>
      <c r="N39" s="91" t="inlineStr">
        <is>
          <t>2026-10-15 20:14:07</t>
        </is>
      </c>
      <c r="O39" s="91" t="n"/>
      <c r="P39" s="91" t="inlineStr">
        <is>
          <t>REWARDS VISA|20260919|-13903|HMART112#1</t>
        </is>
      </c>
      <c r="Q39" s="92">
        <f>IF(AND(G39=RptMonth,F39="Expense",N(E39)&lt;0),-E39+ROW()/10000000,"")</f>
        <v/>
      </c>
    </row>
    <row r="40">
      <c r="A40" s="86" t="n">
        <v>46283</v>
      </c>
      <c r="B40" s="87" t="inlineStr">
        <is>
          <t>Everyday Checking</t>
        </is>
      </c>
      <c r="C40" s="87" t="inlineStr">
        <is>
          <t>ACME CORP PAYROLL DIR DEP</t>
        </is>
      </c>
      <c r="D40" s="87" t="inlineStr">
        <is>
          <t>Salary</t>
        </is>
      </c>
      <c r="E40" s="88" t="n">
        <v>3461.07</v>
      </c>
      <c r="F40" s="89">
        <f>IF(E40="","",IF(OR(D40="",D40="Uncategorized"),IF(E40&lt;0,"Expense","Income"),IFERROR(INDEX(Categories!$B$6:$B$65,MATCH(D40,Categories!$A$6:$A$65,0)),IF(E40&lt;0,"Expense","Income"))))</f>
        <v/>
      </c>
      <c r="G40" s="90">
        <f>IF(A40="","",DATE(YEAR(A40),MONTH(A40),1))</f>
        <v/>
      </c>
      <c r="H40" s="87" t="n"/>
      <c r="I40" s="87" t="n"/>
      <c r="J40" s="91" t="inlineStr">
        <is>
          <t>ACME CORP PAYROLL DIR DEP</t>
        </is>
      </c>
      <c r="K40" s="91" t="inlineStr">
        <is>
          <t>Sample Bank</t>
        </is>
      </c>
      <c r="L40" s="91" t="inlineStr">
        <is>
          <t>Checking</t>
        </is>
      </c>
      <c r="M40" s="91" t="inlineStr">
        <is>
          <t>Checking_Activity.csv</t>
        </is>
      </c>
      <c r="N40" s="91" t="inlineStr">
        <is>
          <t>2026-10-15 20:14:07</t>
        </is>
      </c>
      <c r="O40" s="91" t="n"/>
      <c r="P40" s="91" t="inlineStr">
        <is>
          <t>EVERYDAY CHECKING|20260918|346107|ACMECORPPAYROLLDIRDEP#1</t>
        </is>
      </c>
      <c r="Q40" s="92">
        <f>IF(AND(G40=RptMonth,F40="Expense",N(E40)&lt;0),-E40+ROW()/10000000,"")</f>
        <v/>
      </c>
    </row>
    <row r="41">
      <c r="A41" s="86" t="n">
        <v>46283</v>
      </c>
      <c r="B41" s="87" t="inlineStr">
        <is>
          <t>Everyday Checking</t>
        </is>
      </c>
      <c r="C41" s="87" t="inlineStr">
        <is>
          <t>SAMPLE LOAN SERVICER STUDENT LOAN</t>
        </is>
      </c>
      <c r="D41" s="87" t="inlineStr">
        <is>
          <t>Loan Payments</t>
        </is>
      </c>
      <c r="E41" s="88" t="n">
        <v>-260</v>
      </c>
      <c r="F41" s="89">
        <f>IF(E41="","",IF(OR(D41="",D41="Uncategorized"),IF(E41&lt;0,"Expense","Income"),IFERROR(INDEX(Categories!$B$6:$B$65,MATCH(D41,Categories!$A$6:$A$65,0)),IF(E41&lt;0,"Expense","Income"))))</f>
        <v/>
      </c>
      <c r="G41" s="90">
        <f>IF(A41="","",DATE(YEAR(A41),MONTH(A41),1))</f>
        <v/>
      </c>
      <c r="H41" s="87" t="n"/>
      <c r="I41" s="87" t="n"/>
      <c r="J41" s="91" t="inlineStr">
        <is>
          <t>SAMPLE LOAN SERVICER STUDENT LOAN</t>
        </is>
      </c>
      <c r="K41" s="91" t="inlineStr">
        <is>
          <t>Sample Bank</t>
        </is>
      </c>
      <c r="L41" s="91" t="inlineStr">
        <is>
          <t>Checking</t>
        </is>
      </c>
      <c r="M41" s="91" t="inlineStr">
        <is>
          <t>Checking_Activity.csv</t>
        </is>
      </c>
      <c r="N41" s="91" t="inlineStr">
        <is>
          <t>2026-10-15 20:14:07</t>
        </is>
      </c>
      <c r="O41" s="91" t="n"/>
      <c r="P41" s="91" t="inlineStr">
        <is>
          <t>EVERYDAY CHECKING|20260918|-26000|SAMPLELOANSERVICERSTUDENTLOAN#1</t>
        </is>
      </c>
      <c r="Q41" s="92">
        <f>IF(AND(G41=RptMonth,F41="Expense",N(E41)&lt;0),-E41+ROW()/10000000,"")</f>
        <v/>
      </c>
    </row>
    <row r="42">
      <c r="A42" s="86" t="n">
        <v>46281</v>
      </c>
      <c r="B42" s="87" t="inlineStr">
        <is>
          <t>Rewards Visa</t>
        </is>
      </c>
      <c r="C42" s="87" t="inlineStr">
        <is>
          <t>AMAZON.COM*2K4LP0</t>
        </is>
      </c>
      <c r="D42" s="87" t="inlineStr">
        <is>
          <t>Shopping</t>
        </is>
      </c>
      <c r="E42" s="88" t="n">
        <v>-67.8</v>
      </c>
      <c r="F42" s="89">
        <f>IF(E42="","",IF(OR(D42="",D42="Uncategorized"),IF(E42&lt;0,"Expense","Income"),IFERROR(INDEX(Categories!$B$6:$B$65,MATCH(D42,Categories!$A$6:$A$65,0)),IF(E42&lt;0,"Expense","Income"))))</f>
        <v/>
      </c>
      <c r="G42" s="90">
        <f>IF(A42="","",DATE(YEAR(A42),MONTH(A42),1))</f>
        <v/>
      </c>
      <c r="H42" s="87" t="n"/>
      <c r="I42" s="87" t="n"/>
      <c r="J42" s="91" t="inlineStr">
        <is>
          <t>AMAZON.COM*2K4LP0</t>
        </is>
      </c>
      <c r="K42" s="91" t="inlineStr">
        <is>
          <t>Sample Card Co</t>
        </is>
      </c>
      <c r="L42" s="91" t="inlineStr">
        <is>
          <t>Credit Card</t>
        </is>
      </c>
      <c r="M42" s="91" t="inlineStr">
        <is>
          <t>Visa_Statement.csv</t>
        </is>
      </c>
      <c r="N42" s="91" t="inlineStr">
        <is>
          <t>2026-10-15 20:14:07</t>
        </is>
      </c>
      <c r="O42" s="91" t="n"/>
      <c r="P42" s="91" t="inlineStr">
        <is>
          <t>REWARDS VISA|20260916|-6780|AMAZONCOM2K4LP0#1</t>
        </is>
      </c>
      <c r="Q42" s="92">
        <f>IF(AND(G42=RptMonth,F42="Expense",N(E42)&lt;0),-E42+ROW()/10000000,"")</f>
        <v/>
      </c>
    </row>
    <row r="43">
      <c r="A43" s="86" t="n">
        <v>46281</v>
      </c>
      <c r="B43" s="87" t="inlineStr">
        <is>
          <t>Rewards Visa</t>
        </is>
      </c>
      <c r="C43" s="87" t="inlineStr">
        <is>
          <t>PLANET FITNESS</t>
        </is>
      </c>
      <c r="D43" s="87" t="inlineStr">
        <is>
          <t>Health &amp; Fitness</t>
        </is>
      </c>
      <c r="E43" s="88" t="n">
        <v>-24.99</v>
      </c>
      <c r="F43" s="89">
        <f>IF(E43="","",IF(OR(D43="",D43="Uncategorized"),IF(E43&lt;0,"Expense","Income"),IFERROR(INDEX(Categories!$B$6:$B$65,MATCH(D43,Categories!$A$6:$A$65,0)),IF(E43&lt;0,"Expense","Income"))))</f>
        <v/>
      </c>
      <c r="G43" s="90">
        <f>IF(A43="","",DATE(YEAR(A43),MONTH(A43),1))</f>
        <v/>
      </c>
      <c r="H43" s="87" t="n"/>
      <c r="I43" s="87" t="n"/>
      <c r="J43" s="91" t="inlineStr">
        <is>
          <t>PLANET FITNESS</t>
        </is>
      </c>
      <c r="K43" s="91" t="inlineStr">
        <is>
          <t>Sample Card Co</t>
        </is>
      </c>
      <c r="L43" s="91" t="inlineStr">
        <is>
          <t>Credit Card</t>
        </is>
      </c>
      <c r="M43" s="91" t="inlineStr">
        <is>
          <t>Visa_Statement.csv</t>
        </is>
      </c>
      <c r="N43" s="91" t="inlineStr">
        <is>
          <t>2026-10-15 20:14:07</t>
        </is>
      </c>
      <c r="O43" s="91" t="n"/>
      <c r="P43" s="91" t="inlineStr">
        <is>
          <t>REWARDS VISA|20260916|-2499|PLANETFITNESS#1</t>
        </is>
      </c>
      <c r="Q43" s="92">
        <f>IF(AND(G43=RptMonth,F43="Expense",N(E43)&lt;0),-E43+ROW()/10000000,"")</f>
        <v/>
      </c>
    </row>
    <row r="44">
      <c r="A44" s="86" t="n">
        <v>46281</v>
      </c>
      <c r="B44" s="87" t="inlineStr">
        <is>
          <t>Rewards Visa</t>
        </is>
      </c>
      <c r="C44" s="87" t="inlineStr">
        <is>
          <t>SHOPRITE #0234</t>
        </is>
      </c>
      <c r="D44" s="87" t="inlineStr">
        <is>
          <t>Groceries</t>
        </is>
      </c>
      <c r="E44" s="88" t="n">
        <v>-58.27</v>
      </c>
      <c r="F44" s="89">
        <f>IF(E44="","",IF(OR(D44="",D44="Uncategorized"),IF(E44&lt;0,"Expense","Income"),IFERROR(INDEX(Categories!$B$6:$B$65,MATCH(D44,Categories!$A$6:$A$65,0)),IF(E44&lt;0,"Expense","Income"))))</f>
        <v/>
      </c>
      <c r="G44" s="90">
        <f>IF(A44="","",DATE(YEAR(A44),MONTH(A44),1))</f>
        <v/>
      </c>
      <c r="H44" s="87" t="n"/>
      <c r="I44" s="87" t="n"/>
      <c r="J44" s="91" t="inlineStr">
        <is>
          <t>SHOPRITE #0234</t>
        </is>
      </c>
      <c r="K44" s="91" t="inlineStr">
        <is>
          <t>Sample Card Co</t>
        </is>
      </c>
      <c r="L44" s="91" t="inlineStr">
        <is>
          <t>Credit Card</t>
        </is>
      </c>
      <c r="M44" s="91" t="inlineStr">
        <is>
          <t>Visa_Statement.csv</t>
        </is>
      </c>
      <c r="N44" s="91" t="inlineStr">
        <is>
          <t>2026-10-15 20:14:07</t>
        </is>
      </c>
      <c r="O44" s="91" t="n"/>
      <c r="P44" s="91" t="inlineStr">
        <is>
          <t>REWARDS VISA|20260916|-5827|SHOPRITE0234#1</t>
        </is>
      </c>
      <c r="Q44" s="92">
        <f>IF(AND(G44=RptMonth,F44="Expense",N(E44)&lt;0),-E44+ROW()/10000000,"")</f>
        <v/>
      </c>
    </row>
    <row r="45">
      <c r="A45" s="86" t="n">
        <v>46280</v>
      </c>
      <c r="B45" s="87" t="inlineStr">
        <is>
          <t>Everyday Checking</t>
        </is>
      </c>
      <c r="C45" s="87" t="inlineStr">
        <is>
          <t>XFINITY INTERNET</t>
        </is>
      </c>
      <c r="D45" s="87" t="inlineStr">
        <is>
          <t>Phone &amp; Internet</t>
        </is>
      </c>
      <c r="E45" s="88" t="n">
        <v>-79.98999999999999</v>
      </c>
      <c r="F45" s="89">
        <f>IF(E45="","",IF(OR(D45="",D45="Uncategorized"),IF(E45&lt;0,"Expense","Income"),IFERROR(INDEX(Categories!$B$6:$B$65,MATCH(D45,Categories!$A$6:$A$65,0)),IF(E45&lt;0,"Expense","Income"))))</f>
        <v/>
      </c>
      <c r="G45" s="90">
        <f>IF(A45="","",DATE(YEAR(A45),MONTH(A45),1))</f>
        <v/>
      </c>
      <c r="H45" s="87" t="n"/>
      <c r="I45" s="87" t="n"/>
      <c r="J45" s="91" t="inlineStr">
        <is>
          <t>XFINITY INTERNET</t>
        </is>
      </c>
      <c r="K45" s="91" t="inlineStr">
        <is>
          <t>Sample Bank</t>
        </is>
      </c>
      <c r="L45" s="91" t="inlineStr">
        <is>
          <t>Checking</t>
        </is>
      </c>
      <c r="M45" s="91" t="inlineStr">
        <is>
          <t>Checking_Activity.csv</t>
        </is>
      </c>
      <c r="N45" s="91" t="inlineStr">
        <is>
          <t>2026-10-15 20:14:07</t>
        </is>
      </c>
      <c r="O45" s="91" t="n"/>
      <c r="P45" s="91" t="inlineStr">
        <is>
          <t>EVERYDAY CHECKING|20260915|-7999|XFINITYINTERNET#1</t>
        </is>
      </c>
      <c r="Q45" s="92">
        <f>IF(AND(G45=RptMonth,F45="Expense",N(E45)&lt;0),-E45+ROW()/10000000,"")</f>
        <v/>
      </c>
    </row>
    <row r="46">
      <c r="A46" s="86" t="n">
        <v>46280</v>
      </c>
      <c r="B46" s="87" t="inlineStr">
        <is>
          <t>Rewards Visa</t>
        </is>
      </c>
      <c r="C46" s="87" t="inlineStr">
        <is>
          <t>EXXONMOBIL 4471</t>
        </is>
      </c>
      <c r="D46" s="87" t="inlineStr">
        <is>
          <t>Gas &amp; Fuel</t>
        </is>
      </c>
      <c r="E46" s="88" t="n">
        <v>-46.69</v>
      </c>
      <c r="F46" s="89">
        <f>IF(E46="","",IF(OR(D46="",D46="Uncategorized"),IF(E46&lt;0,"Expense","Income"),IFERROR(INDEX(Categories!$B$6:$B$65,MATCH(D46,Categories!$A$6:$A$65,0)),IF(E46&lt;0,"Expense","Income"))))</f>
        <v/>
      </c>
      <c r="G46" s="90">
        <f>IF(A46="","",DATE(YEAR(A46),MONTH(A46),1))</f>
        <v/>
      </c>
      <c r="H46" s="87" t="n"/>
      <c r="I46" s="87" t="n"/>
      <c r="J46" s="91" t="inlineStr">
        <is>
          <t>EXXONMOBIL 4471</t>
        </is>
      </c>
      <c r="K46" s="91" t="inlineStr">
        <is>
          <t>Sample Card Co</t>
        </is>
      </c>
      <c r="L46" s="91" t="inlineStr">
        <is>
          <t>Credit Card</t>
        </is>
      </c>
      <c r="M46" s="91" t="inlineStr">
        <is>
          <t>Visa_Statement.csv</t>
        </is>
      </c>
      <c r="N46" s="91" t="inlineStr">
        <is>
          <t>2026-10-15 20:14:07</t>
        </is>
      </c>
      <c r="O46" s="91" t="n"/>
      <c r="P46" s="91" t="inlineStr">
        <is>
          <t>REWARDS VISA|20260915|-4669|EXXONMOBIL4471#1</t>
        </is>
      </c>
      <c r="Q46" s="92">
        <f>IF(AND(G46=RptMonth,F46="Expense",N(E46)&lt;0),-E46+ROW()/10000000,"")</f>
        <v/>
      </c>
    </row>
    <row r="47">
      <c r="A47" s="86" t="n">
        <v>46280</v>
      </c>
      <c r="B47" s="87" t="inlineStr">
        <is>
          <t>Rewards Visa</t>
        </is>
      </c>
      <c r="C47" s="87" t="inlineStr">
        <is>
          <t>SUSHI KOO</t>
        </is>
      </c>
      <c r="D47" s="87" t="inlineStr">
        <is>
          <t>Dining Out</t>
        </is>
      </c>
      <c r="E47" s="88" t="n">
        <v>-53.48</v>
      </c>
      <c r="F47" s="89">
        <f>IF(E47="","",IF(OR(D47="",D47="Uncategorized"),IF(E47&lt;0,"Expense","Income"),IFERROR(INDEX(Categories!$B$6:$B$65,MATCH(D47,Categories!$A$6:$A$65,0)),IF(E47&lt;0,"Expense","Income"))))</f>
        <v/>
      </c>
      <c r="G47" s="90">
        <f>IF(A47="","",DATE(YEAR(A47),MONTH(A47),1))</f>
        <v/>
      </c>
      <c r="H47" s="87" t="n"/>
      <c r="I47" s="87" t="n"/>
      <c r="J47" s="91" t="inlineStr">
        <is>
          <t>SUSHI KOO</t>
        </is>
      </c>
      <c r="K47" s="91" t="inlineStr">
        <is>
          <t>Sample Card Co</t>
        </is>
      </c>
      <c r="L47" s="91" t="inlineStr">
        <is>
          <t>Credit Card</t>
        </is>
      </c>
      <c r="M47" s="91" t="inlineStr">
        <is>
          <t>Visa_Statement.csv</t>
        </is>
      </c>
      <c r="N47" s="91" t="inlineStr">
        <is>
          <t>2026-10-15 20:14:07</t>
        </is>
      </c>
      <c r="O47" s="91" t="n"/>
      <c r="P47" s="91" t="inlineStr">
        <is>
          <t>REWARDS VISA|20260915|-5348|SUSHIKOO#1</t>
        </is>
      </c>
      <c r="Q47" s="92">
        <f>IF(AND(G47=RptMonth,F47="Expense",N(E47)&lt;0),-E47+ROW()/10000000,"")</f>
        <v/>
      </c>
    </row>
    <row r="48">
      <c r="A48" s="86" t="n">
        <v>46277</v>
      </c>
      <c r="B48" s="87" t="inlineStr">
        <is>
          <t>Everyday Checking</t>
        </is>
      </c>
      <c r="C48" s="87" t="inlineStr">
        <is>
          <t>VERIZON WIRELESS</t>
        </is>
      </c>
      <c r="D48" s="87" t="inlineStr">
        <is>
          <t>Phone &amp; Internet</t>
        </is>
      </c>
      <c r="E48" s="88" t="n">
        <v>-95</v>
      </c>
      <c r="F48" s="89">
        <f>IF(E48="","",IF(OR(D48="",D48="Uncategorized"),IF(E48&lt;0,"Expense","Income"),IFERROR(INDEX(Categories!$B$6:$B$65,MATCH(D48,Categories!$A$6:$A$65,0)),IF(E48&lt;0,"Expense","Income"))))</f>
        <v/>
      </c>
      <c r="G48" s="90">
        <f>IF(A48="","",DATE(YEAR(A48),MONTH(A48),1))</f>
        <v/>
      </c>
      <c r="H48" s="87" t="n"/>
      <c r="I48" s="87" t="n"/>
      <c r="J48" s="91" t="inlineStr">
        <is>
          <t>VERIZON WIRELESS</t>
        </is>
      </c>
      <c r="K48" s="91" t="inlineStr">
        <is>
          <t>Sample Bank</t>
        </is>
      </c>
      <c r="L48" s="91" t="inlineStr">
        <is>
          <t>Checking</t>
        </is>
      </c>
      <c r="M48" s="91" t="inlineStr">
        <is>
          <t>Checking_Activity.csv</t>
        </is>
      </c>
      <c r="N48" s="91" t="inlineStr">
        <is>
          <t>2026-10-15 20:14:07</t>
        </is>
      </c>
      <c r="O48" s="91" t="n"/>
      <c r="P48" s="91" t="inlineStr">
        <is>
          <t>EVERYDAY CHECKING|20260912|-9500|VERIZONWIRELESS#1</t>
        </is>
      </c>
      <c r="Q48" s="92">
        <f>IF(AND(G48=RptMonth,F48="Expense",N(E48)&lt;0),-E48+ROW()/10000000,"")</f>
        <v/>
      </c>
    </row>
    <row r="49">
      <c r="A49" s="86" t="n">
        <v>46277</v>
      </c>
      <c r="B49" s="87" t="inlineStr">
        <is>
          <t>Rewards Visa</t>
        </is>
      </c>
      <c r="C49" s="87" t="inlineStr">
        <is>
          <t>H MART #112</t>
        </is>
      </c>
      <c r="D49" s="87" t="inlineStr">
        <is>
          <t>Groceries</t>
        </is>
      </c>
      <c r="E49" s="88" t="n">
        <v>-95.83</v>
      </c>
      <c r="F49" s="89">
        <f>IF(E49="","",IF(OR(D49="",D49="Uncategorized"),IF(E49&lt;0,"Expense","Income"),IFERROR(INDEX(Categories!$B$6:$B$65,MATCH(D49,Categories!$A$6:$A$65,0)),IF(E49&lt;0,"Expense","Income"))))</f>
        <v/>
      </c>
      <c r="G49" s="90">
        <f>IF(A49="","",DATE(YEAR(A49),MONTH(A49),1))</f>
        <v/>
      </c>
      <c r="H49" s="87" t="n"/>
      <c r="I49" s="87" t="n"/>
      <c r="J49" s="91" t="inlineStr">
        <is>
          <t>H MART #112</t>
        </is>
      </c>
      <c r="K49" s="91" t="inlineStr">
        <is>
          <t>Sample Card Co</t>
        </is>
      </c>
      <c r="L49" s="91" t="inlineStr">
        <is>
          <t>Credit Card</t>
        </is>
      </c>
      <c r="M49" s="91" t="inlineStr">
        <is>
          <t>Visa_Statement.csv</t>
        </is>
      </c>
      <c r="N49" s="91" t="inlineStr">
        <is>
          <t>2026-10-15 20:14:07</t>
        </is>
      </c>
      <c r="O49" s="91" t="n"/>
      <c r="P49" s="91" t="inlineStr">
        <is>
          <t>REWARDS VISA|20260912|-9583|HMART112#1</t>
        </is>
      </c>
      <c r="Q49" s="92">
        <f>IF(AND(G49=RptMonth,F49="Expense",N(E49)&lt;0),-E49+ROW()/10000000,"")</f>
        <v/>
      </c>
    </row>
    <row r="50">
      <c r="A50" s="86" t="n">
        <v>46276</v>
      </c>
      <c r="B50" s="87" t="inlineStr">
        <is>
          <t>Rewards Visa</t>
        </is>
      </c>
      <c r="C50" s="87" t="inlineStr">
        <is>
          <t>APPLE.COM/BILL</t>
        </is>
      </c>
      <c r="D50" s="87" t="inlineStr">
        <is>
          <t>Subscriptions</t>
        </is>
      </c>
      <c r="E50" s="88" t="n">
        <v>-2.99</v>
      </c>
      <c r="F50" s="89">
        <f>IF(E50="","",IF(OR(D50="",D50="Uncategorized"),IF(E50&lt;0,"Expense","Income"),IFERROR(INDEX(Categories!$B$6:$B$65,MATCH(D50,Categories!$A$6:$A$65,0)),IF(E50&lt;0,"Expense","Income"))))</f>
        <v/>
      </c>
      <c r="G50" s="90">
        <f>IF(A50="","",DATE(YEAR(A50),MONTH(A50),1))</f>
        <v/>
      </c>
      <c r="H50" s="87" t="n"/>
      <c r="I50" s="87" t="n"/>
      <c r="J50" s="91" t="inlineStr">
        <is>
          <t>APPLE.COM/BILL</t>
        </is>
      </c>
      <c r="K50" s="91" t="inlineStr">
        <is>
          <t>Sample Card Co</t>
        </is>
      </c>
      <c r="L50" s="91" t="inlineStr">
        <is>
          <t>Credit Card</t>
        </is>
      </c>
      <c r="M50" s="91" t="inlineStr">
        <is>
          <t>Visa_Statement.csv</t>
        </is>
      </c>
      <c r="N50" s="91" t="inlineStr">
        <is>
          <t>2026-10-15 20:14:07</t>
        </is>
      </c>
      <c r="O50" s="91" t="n"/>
      <c r="P50" s="91" t="inlineStr">
        <is>
          <t>REWARDS VISA|20260911|-299|APPLECOMBILL#1</t>
        </is>
      </c>
      <c r="Q50" s="92">
        <f>IF(AND(G50=RptMonth,F50="Expense",N(E50)&lt;0),-E50+ROW()/10000000,"")</f>
        <v/>
      </c>
    </row>
    <row r="51">
      <c r="A51" s="86" t="n">
        <v>46276</v>
      </c>
      <c r="B51" s="87" t="inlineStr">
        <is>
          <t>Rewards Visa</t>
        </is>
      </c>
      <c r="C51" s="87" t="inlineStr">
        <is>
          <t>SUNOCO 0391</t>
        </is>
      </c>
      <c r="D51" s="87" t="inlineStr">
        <is>
          <t>Gas &amp; Fuel</t>
        </is>
      </c>
      <c r="E51" s="88" t="n">
        <v>-50.5</v>
      </c>
      <c r="F51" s="89">
        <f>IF(E51="","",IF(OR(D51="",D51="Uncategorized"),IF(E51&lt;0,"Expense","Income"),IFERROR(INDEX(Categories!$B$6:$B$65,MATCH(D51,Categories!$A$6:$A$65,0)),IF(E51&lt;0,"Expense","Income"))))</f>
        <v/>
      </c>
      <c r="G51" s="90">
        <f>IF(A51="","",DATE(YEAR(A51),MONTH(A51),1))</f>
        <v/>
      </c>
      <c r="H51" s="87" t="n"/>
      <c r="I51" s="87" t="n"/>
      <c r="J51" s="91" t="inlineStr">
        <is>
          <t>SUNOCO 0391</t>
        </is>
      </c>
      <c r="K51" s="91" t="inlineStr">
        <is>
          <t>Sample Card Co</t>
        </is>
      </c>
      <c r="L51" s="91" t="inlineStr">
        <is>
          <t>Credit Card</t>
        </is>
      </c>
      <c r="M51" s="91" t="inlineStr">
        <is>
          <t>Visa_Statement.csv</t>
        </is>
      </c>
      <c r="N51" s="91" t="inlineStr">
        <is>
          <t>2026-10-15 20:14:07</t>
        </is>
      </c>
      <c r="O51" s="91" t="n"/>
      <c r="P51" s="91" t="inlineStr">
        <is>
          <t>REWARDS VISA|20260911|-5050|SUNOCO0391#1</t>
        </is>
      </c>
      <c r="Q51" s="92">
        <f>IF(AND(G51=RptMonth,F51="Expense",N(E51)&lt;0),-E51+ROW()/10000000,"")</f>
        <v/>
      </c>
    </row>
    <row r="52">
      <c r="A52" s="86" t="n">
        <v>46275</v>
      </c>
      <c r="B52" s="87" t="inlineStr">
        <is>
          <t>Everyday Checking</t>
        </is>
      </c>
      <c r="C52" s="87" t="inlineStr">
        <is>
          <t>SAMPLE AUTO FINANCE PMT</t>
        </is>
      </c>
      <c r="D52" s="87" t="inlineStr">
        <is>
          <t>Auto Payment</t>
        </is>
      </c>
      <c r="E52" s="88" t="n">
        <v>-385</v>
      </c>
      <c r="F52" s="89">
        <f>IF(E52="","",IF(OR(D52="",D52="Uncategorized"),IF(E52&lt;0,"Expense","Income"),IFERROR(INDEX(Categories!$B$6:$B$65,MATCH(D52,Categories!$A$6:$A$65,0)),IF(E52&lt;0,"Expense","Income"))))</f>
        <v/>
      </c>
      <c r="G52" s="90">
        <f>IF(A52="","",DATE(YEAR(A52),MONTH(A52),1))</f>
        <v/>
      </c>
      <c r="H52" s="87" t="n"/>
      <c r="I52" s="87" t="n"/>
      <c r="J52" s="91" t="inlineStr">
        <is>
          <t>SAMPLE AUTO FINANCE PMT</t>
        </is>
      </c>
      <c r="K52" s="91" t="inlineStr">
        <is>
          <t>Sample Bank</t>
        </is>
      </c>
      <c r="L52" s="91" t="inlineStr">
        <is>
          <t>Checking</t>
        </is>
      </c>
      <c r="M52" s="91" t="inlineStr">
        <is>
          <t>Checking_Activity.csv</t>
        </is>
      </c>
      <c r="N52" s="91" t="inlineStr">
        <is>
          <t>2026-10-15 20:14:07</t>
        </is>
      </c>
      <c r="O52" s="91" t="n"/>
      <c r="P52" s="91" t="inlineStr">
        <is>
          <t>EVERYDAY CHECKING|20260910|-38500|SAMPLEAUTOFINANCEPMT#1</t>
        </is>
      </c>
      <c r="Q52" s="92">
        <f>IF(AND(G52=RptMonth,F52="Expense",N(E52)&lt;0),-E52+ROW()/10000000,"")</f>
        <v/>
      </c>
    </row>
    <row r="53">
      <c r="A53" s="86" t="n">
        <v>46274</v>
      </c>
      <c r="B53" s="87" t="inlineStr">
        <is>
          <t>Everyday Checking</t>
        </is>
      </c>
      <c r="C53" s="87" t="inlineStr">
        <is>
          <t>NJ NATURAL GAS PAYMENT</t>
        </is>
      </c>
      <c r="D53" s="87" t="inlineStr">
        <is>
          <t>Utilities</t>
        </is>
      </c>
      <c r="E53" s="88" t="n">
        <v>-50.85</v>
      </c>
      <c r="F53" s="89">
        <f>IF(E53="","",IF(OR(D53="",D53="Uncategorized"),IF(E53&lt;0,"Expense","Income"),IFERROR(INDEX(Categories!$B$6:$B$65,MATCH(D53,Categories!$A$6:$A$65,0)),IF(E53&lt;0,"Expense","Income"))))</f>
        <v/>
      </c>
      <c r="G53" s="90">
        <f>IF(A53="","",DATE(YEAR(A53),MONTH(A53),1))</f>
        <v/>
      </c>
      <c r="H53" s="87" t="n"/>
      <c r="I53" s="87" t="n"/>
      <c r="J53" s="91" t="inlineStr">
        <is>
          <t>NJ NATURAL GAS PAYMENT</t>
        </is>
      </c>
      <c r="K53" s="91" t="inlineStr">
        <is>
          <t>Sample Bank</t>
        </is>
      </c>
      <c r="L53" s="91" t="inlineStr">
        <is>
          <t>Checking</t>
        </is>
      </c>
      <c r="M53" s="91" t="inlineStr">
        <is>
          <t>Checking_Activity.csv</t>
        </is>
      </c>
      <c r="N53" s="91" t="inlineStr">
        <is>
          <t>2026-10-15 20:14:07</t>
        </is>
      </c>
      <c r="O53" s="91" t="n"/>
      <c r="P53" s="91" t="inlineStr">
        <is>
          <t>EVERYDAY CHECKING|20260909|-5085|NJNATURALGASPAYMENT#1</t>
        </is>
      </c>
      <c r="Q53" s="92">
        <f>IF(AND(G53=RptMonth,F53="Expense",N(E53)&lt;0),-E53+ROW()/10000000,"")</f>
        <v/>
      </c>
    </row>
    <row r="54">
      <c r="A54" s="86" t="n">
        <v>46274</v>
      </c>
      <c r="B54" s="87" t="inlineStr">
        <is>
          <t>Rewards Visa</t>
        </is>
      </c>
      <c r="C54" s="87" t="inlineStr">
        <is>
          <t>BOWLING LANES</t>
        </is>
      </c>
      <c r="D54" s="87" t="inlineStr">
        <is>
          <t>Entertainment</t>
        </is>
      </c>
      <c r="E54" s="88" t="n">
        <v>-69.48</v>
      </c>
      <c r="F54" s="89">
        <f>IF(E54="","",IF(OR(D54="",D54="Uncategorized"),IF(E54&lt;0,"Expense","Income"),IFERROR(INDEX(Categories!$B$6:$B$65,MATCH(D54,Categories!$A$6:$A$65,0)),IF(E54&lt;0,"Expense","Income"))))</f>
        <v/>
      </c>
      <c r="G54" s="90">
        <f>IF(A54="","",DATE(YEAR(A54),MONTH(A54),1))</f>
        <v/>
      </c>
      <c r="H54" s="87" t="n"/>
      <c r="I54" s="87" t="n"/>
      <c r="J54" s="91" t="inlineStr">
        <is>
          <t>BOWLING LANES</t>
        </is>
      </c>
      <c r="K54" s="91" t="inlineStr">
        <is>
          <t>Sample Card Co</t>
        </is>
      </c>
      <c r="L54" s="91" t="inlineStr">
        <is>
          <t>Credit Card</t>
        </is>
      </c>
      <c r="M54" s="91" t="inlineStr">
        <is>
          <t>Visa_Statement.csv</t>
        </is>
      </c>
      <c r="N54" s="91" t="inlineStr">
        <is>
          <t>2026-10-15 20:14:07</t>
        </is>
      </c>
      <c r="O54" s="91" t="n"/>
      <c r="P54" s="91" t="inlineStr">
        <is>
          <t>REWARDS VISA|20260909|-6948|BOWLINGLANES#1</t>
        </is>
      </c>
      <c r="Q54" s="92">
        <f>IF(AND(G54=RptMonth,F54="Expense",N(E54)&lt;0),-E54+ROW()/10000000,"")</f>
        <v/>
      </c>
    </row>
    <row r="55">
      <c r="A55" s="86" t="n">
        <v>46274</v>
      </c>
      <c r="B55" s="87" t="inlineStr">
        <is>
          <t>Rewards Visa</t>
        </is>
      </c>
      <c r="C55" s="87" t="inlineStr">
        <is>
          <t>SHOPRITE #0234</t>
        </is>
      </c>
      <c r="D55" s="87" t="inlineStr">
        <is>
          <t>Groceries</t>
        </is>
      </c>
      <c r="E55" s="88" t="n">
        <v>-48.21</v>
      </c>
      <c r="F55" s="89">
        <f>IF(E55="","",IF(OR(D55="",D55="Uncategorized"),IF(E55&lt;0,"Expense","Income"),IFERROR(INDEX(Categories!$B$6:$B$65,MATCH(D55,Categories!$A$6:$A$65,0)),IF(E55&lt;0,"Expense","Income"))))</f>
        <v/>
      </c>
      <c r="G55" s="90">
        <f>IF(A55="","",DATE(YEAR(A55),MONTH(A55),1))</f>
        <v/>
      </c>
      <c r="H55" s="87" t="n"/>
      <c r="I55" s="87" t="n"/>
      <c r="J55" s="91" t="inlineStr">
        <is>
          <t>SHOPRITE #0234</t>
        </is>
      </c>
      <c r="K55" s="91" t="inlineStr">
        <is>
          <t>Sample Card Co</t>
        </is>
      </c>
      <c r="L55" s="91" t="inlineStr">
        <is>
          <t>Credit Card</t>
        </is>
      </c>
      <c r="M55" s="91" t="inlineStr">
        <is>
          <t>Visa_Statement.csv</t>
        </is>
      </c>
      <c r="N55" s="91" t="inlineStr">
        <is>
          <t>2026-10-15 20:14:07</t>
        </is>
      </c>
      <c r="O55" s="91" t="n"/>
      <c r="P55" s="91" t="inlineStr">
        <is>
          <t>REWARDS VISA|20260909|-4821|SHOPRITE0234#1</t>
        </is>
      </c>
      <c r="Q55" s="92">
        <f>IF(AND(G55=RptMonth,F55="Expense",N(E55)&lt;0),-E55+ROW()/10000000,"")</f>
        <v/>
      </c>
    </row>
    <row r="56">
      <c r="A56" s="86" t="n">
        <v>46273</v>
      </c>
      <c r="B56" s="87" t="inlineStr">
        <is>
          <t>Everyday Checking</t>
        </is>
      </c>
      <c r="C56" s="87" t="inlineStr">
        <is>
          <t>PSEG ELECTRIC BILL</t>
        </is>
      </c>
      <c r="D56" s="87" t="inlineStr">
        <is>
          <t>Utilities</t>
        </is>
      </c>
      <c r="E56" s="88" t="n">
        <v>-163.13</v>
      </c>
      <c r="F56" s="89">
        <f>IF(E56="","",IF(OR(D56="",D56="Uncategorized"),IF(E56&lt;0,"Expense","Income"),IFERROR(INDEX(Categories!$B$6:$B$65,MATCH(D56,Categories!$A$6:$A$65,0)),IF(E56&lt;0,"Expense","Income"))))</f>
        <v/>
      </c>
      <c r="G56" s="90">
        <f>IF(A56="","",DATE(YEAR(A56),MONTH(A56),1))</f>
        <v/>
      </c>
      <c r="H56" s="87" t="n"/>
      <c r="I56" s="87" t="n"/>
      <c r="J56" s="91" t="inlineStr">
        <is>
          <t>PSEG ELECTRIC BILL</t>
        </is>
      </c>
      <c r="K56" s="91" t="inlineStr">
        <is>
          <t>Sample Bank</t>
        </is>
      </c>
      <c r="L56" s="91" t="inlineStr">
        <is>
          <t>Checking</t>
        </is>
      </c>
      <c r="M56" s="91" t="inlineStr">
        <is>
          <t>Checking_Activity.csv</t>
        </is>
      </c>
      <c r="N56" s="91" t="inlineStr">
        <is>
          <t>2026-10-15 20:14:07</t>
        </is>
      </c>
      <c r="O56" s="91" t="n"/>
      <c r="P56" s="91" t="inlineStr">
        <is>
          <t>EVERYDAY CHECKING|20260908|-16313|PSEGELECTRICBILL#1</t>
        </is>
      </c>
      <c r="Q56" s="92">
        <f>IF(AND(G56=RptMonth,F56="Expense",N(E56)&lt;0),-E56+ROW()/10000000,"")</f>
        <v/>
      </c>
    </row>
    <row r="57">
      <c r="A57" s="86" t="n">
        <v>46273</v>
      </c>
      <c r="B57" s="87" t="inlineStr">
        <is>
          <t>Rewards Visa</t>
        </is>
      </c>
      <c r="C57" s="87" t="inlineStr">
        <is>
          <t>CHIPOTLE 2291</t>
        </is>
      </c>
      <c r="D57" s="87" t="inlineStr">
        <is>
          <t>Dining Out</t>
        </is>
      </c>
      <c r="E57" s="88" t="n">
        <v>-27.71</v>
      </c>
      <c r="F57" s="89">
        <f>IF(E57="","",IF(OR(D57="",D57="Uncategorized"),IF(E57&lt;0,"Expense","Income"),IFERROR(INDEX(Categories!$B$6:$B$65,MATCH(D57,Categories!$A$6:$A$65,0)),IF(E57&lt;0,"Expense","Income"))))</f>
        <v/>
      </c>
      <c r="G57" s="90">
        <f>IF(A57="","",DATE(YEAR(A57),MONTH(A57),1))</f>
        <v/>
      </c>
      <c r="H57" s="87" t="n"/>
      <c r="I57" s="87" t="n"/>
      <c r="J57" s="91" t="inlineStr">
        <is>
          <t>CHIPOTLE 2291</t>
        </is>
      </c>
      <c r="K57" s="91" t="inlineStr">
        <is>
          <t>Sample Card Co</t>
        </is>
      </c>
      <c r="L57" s="91" t="inlineStr">
        <is>
          <t>Credit Card</t>
        </is>
      </c>
      <c r="M57" s="91" t="inlineStr">
        <is>
          <t>Visa_Statement.csv</t>
        </is>
      </c>
      <c r="N57" s="91" t="inlineStr">
        <is>
          <t>2026-10-15 20:14:07</t>
        </is>
      </c>
      <c r="O57" s="91" t="n"/>
      <c r="P57" s="91" t="inlineStr">
        <is>
          <t>REWARDS VISA|20260908|-2771|CHIPOTLE2291#1</t>
        </is>
      </c>
      <c r="Q57" s="92">
        <f>IF(AND(G57=RptMonth,F57="Expense",N(E57)&lt;0),-E57+ROW()/10000000,"")</f>
        <v/>
      </c>
    </row>
    <row r="58">
      <c r="A58" s="86" t="n">
        <v>46273</v>
      </c>
      <c r="B58" s="87" t="inlineStr">
        <is>
          <t>Rewards Visa</t>
        </is>
      </c>
      <c r="C58" s="87" t="inlineStr">
        <is>
          <t>SUNOCO 0391</t>
        </is>
      </c>
      <c r="D58" s="87" t="inlineStr">
        <is>
          <t>Gas &amp; Fuel</t>
        </is>
      </c>
      <c r="E58" s="88" t="n">
        <v>-58.18</v>
      </c>
      <c r="F58" s="89">
        <f>IF(E58="","",IF(OR(D58="",D58="Uncategorized"),IF(E58&lt;0,"Expense","Income"),IFERROR(INDEX(Categories!$B$6:$B$65,MATCH(D58,Categories!$A$6:$A$65,0)),IF(E58&lt;0,"Expense","Income"))))</f>
        <v/>
      </c>
      <c r="G58" s="90">
        <f>IF(A58="","",DATE(YEAR(A58),MONTH(A58),1))</f>
        <v/>
      </c>
      <c r="H58" s="87" t="n"/>
      <c r="I58" s="87" t="n"/>
      <c r="J58" s="91" t="inlineStr">
        <is>
          <t>SUNOCO 0391</t>
        </is>
      </c>
      <c r="K58" s="91" t="inlineStr">
        <is>
          <t>Sample Card Co</t>
        </is>
      </c>
      <c r="L58" s="91" t="inlineStr">
        <is>
          <t>Credit Card</t>
        </is>
      </c>
      <c r="M58" s="91" t="inlineStr">
        <is>
          <t>Visa_Statement.csv</t>
        </is>
      </c>
      <c r="N58" s="91" t="inlineStr">
        <is>
          <t>2026-10-15 20:14:07</t>
        </is>
      </c>
      <c r="O58" s="91" t="n"/>
      <c r="P58" s="91" t="inlineStr">
        <is>
          <t>REWARDS VISA|20260908|-5818|SUNOCO0391#1</t>
        </is>
      </c>
      <c r="Q58" s="92">
        <f>IF(AND(G58=RptMonth,F58="Expense",N(E58)&lt;0),-E58+ROW()/10000000,"")</f>
        <v/>
      </c>
    </row>
    <row r="59">
      <c r="A59" s="86" t="n">
        <v>46272</v>
      </c>
      <c r="B59" s="87" t="inlineStr">
        <is>
          <t>Rewards Visa</t>
        </is>
      </c>
      <c r="C59" s="87" t="inlineStr">
        <is>
          <t>SPOTIFY USA</t>
        </is>
      </c>
      <c r="D59" s="87" t="inlineStr">
        <is>
          <t>Subscriptions</t>
        </is>
      </c>
      <c r="E59" s="88" t="n">
        <v>-11.99</v>
      </c>
      <c r="F59" s="89">
        <f>IF(E59="","",IF(OR(D59="",D59="Uncategorized"),IF(E59&lt;0,"Expense","Income"),IFERROR(INDEX(Categories!$B$6:$B$65,MATCH(D59,Categories!$A$6:$A$65,0)),IF(E59&lt;0,"Expense","Income"))))</f>
        <v/>
      </c>
      <c r="G59" s="90">
        <f>IF(A59="","",DATE(YEAR(A59),MONTH(A59),1))</f>
        <v/>
      </c>
      <c r="H59" s="87" t="n"/>
      <c r="I59" s="87" t="n"/>
      <c r="J59" s="91" t="inlineStr">
        <is>
          <t>SPOTIFY USA</t>
        </is>
      </c>
      <c r="K59" s="91" t="inlineStr">
        <is>
          <t>Sample Card Co</t>
        </is>
      </c>
      <c r="L59" s="91" t="inlineStr">
        <is>
          <t>Credit Card</t>
        </is>
      </c>
      <c r="M59" s="91" t="inlineStr">
        <is>
          <t>Visa_Statement.csv</t>
        </is>
      </c>
      <c r="N59" s="91" t="inlineStr">
        <is>
          <t>2026-10-15 20:14:07</t>
        </is>
      </c>
      <c r="O59" s="91" t="n"/>
      <c r="P59" s="91" t="inlineStr">
        <is>
          <t>REWARDS VISA|20260907|-1199|SPOTIFYUSA#1</t>
        </is>
      </c>
      <c r="Q59" s="92">
        <f>IF(AND(G59=RptMonth,F59="Expense",N(E59)&lt;0),-E59+ROW()/10000000,"")</f>
        <v/>
      </c>
    </row>
    <row r="60">
      <c r="A60" s="86" t="n">
        <v>46270</v>
      </c>
      <c r="B60" s="87" t="inlineStr">
        <is>
          <t>Everyday Checking</t>
        </is>
      </c>
      <c r="C60" s="87" t="inlineStr">
        <is>
          <t>ONLINE TRANSFER TO HIGH-YIELD SAVINGS</t>
        </is>
      </c>
      <c r="D60" s="87" t="inlineStr">
        <is>
          <t>Transfer</t>
        </is>
      </c>
      <c r="E60" s="88" t="n">
        <v>-500</v>
      </c>
      <c r="F60" s="89">
        <f>IF(E60="","",IF(OR(D60="",D60="Uncategorized"),IF(E60&lt;0,"Expense","Income"),IFERROR(INDEX(Categories!$B$6:$B$65,MATCH(D60,Categories!$A$6:$A$65,0)),IF(E60&lt;0,"Expense","Income"))))</f>
        <v/>
      </c>
      <c r="G60" s="90">
        <f>IF(A60="","",DATE(YEAR(A60),MONTH(A60),1))</f>
        <v/>
      </c>
      <c r="H60" s="87" t="n"/>
      <c r="I60" s="87" t="n"/>
      <c r="J60" s="91" t="inlineStr">
        <is>
          <t>ONLINE TRANSFER TO HIGH-YIELD SAVINGS</t>
        </is>
      </c>
      <c r="K60" s="91" t="inlineStr">
        <is>
          <t>Sample Bank</t>
        </is>
      </c>
      <c r="L60" s="91" t="inlineStr">
        <is>
          <t>Checking</t>
        </is>
      </c>
      <c r="M60" s="91" t="inlineStr">
        <is>
          <t>Checking_Activity.csv</t>
        </is>
      </c>
      <c r="N60" s="91" t="inlineStr">
        <is>
          <t>2026-10-15 20:14:07</t>
        </is>
      </c>
      <c r="O60" s="91" t="n"/>
      <c r="P60" s="91" t="inlineStr">
        <is>
          <t>EVERYDAY CHECKING|20260905|-50000|ONLINETRANSFERTOHIGHYIELDSAVINGS#1</t>
        </is>
      </c>
      <c r="Q60" s="92">
        <f>IF(AND(G60=RptMonth,F60="Expense",N(E60)&lt;0),-E60+ROW()/10000000,"")</f>
        <v/>
      </c>
    </row>
    <row r="61">
      <c r="A61" s="86" t="n">
        <v>46270</v>
      </c>
      <c r="B61" s="87" t="inlineStr">
        <is>
          <t>High-Yield Savings</t>
        </is>
      </c>
      <c r="C61" s="87" t="inlineStr">
        <is>
          <t>ONLINE TRANSFER FROM EVERYDAY CHECKING</t>
        </is>
      </c>
      <c r="D61" s="87" t="inlineStr">
        <is>
          <t>Transfer</t>
        </is>
      </c>
      <c r="E61" s="88" t="n">
        <v>500</v>
      </c>
      <c r="F61" s="89">
        <f>IF(E61="","",IF(OR(D61="",D61="Uncategorized"),IF(E61&lt;0,"Expense","Income"),IFERROR(INDEX(Categories!$B$6:$B$65,MATCH(D61,Categories!$A$6:$A$65,0)),IF(E61&lt;0,"Expense","Income"))))</f>
        <v/>
      </c>
      <c r="G61" s="90">
        <f>IF(A61="","",DATE(YEAR(A61),MONTH(A61),1))</f>
        <v/>
      </c>
      <c r="H61" s="87" t="n"/>
      <c r="I61" s="87" t="n"/>
      <c r="J61" s="91" t="inlineStr">
        <is>
          <t>ONLINE TRANSFER FROM EVERYDAY CHECKING</t>
        </is>
      </c>
      <c r="K61" s="91" t="inlineStr">
        <is>
          <t>Sample Bank</t>
        </is>
      </c>
      <c r="L61" s="91" t="inlineStr">
        <is>
          <t>Savings</t>
        </is>
      </c>
      <c r="M61" s="91" t="inlineStr">
        <is>
          <t>Savings.qfx</t>
        </is>
      </c>
      <c r="N61" s="91" t="inlineStr">
        <is>
          <t>2026-10-15 20:14:07</t>
        </is>
      </c>
      <c r="O61" s="91" t="inlineStr">
        <is>
          <t>773002026090501</t>
        </is>
      </c>
      <c r="P61" s="91" t="inlineStr">
        <is>
          <t>HIGH-YIELD SAVINGS|ID|773002026090501#1</t>
        </is>
      </c>
      <c r="Q61" s="92">
        <f>IF(AND(G61=RptMonth,F61="Expense",N(E61)&lt;0),-E61+ROW()/10000000,"")</f>
        <v/>
      </c>
    </row>
    <row r="62">
      <c r="A62" s="86" t="n">
        <v>46270</v>
      </c>
      <c r="B62" s="87" t="inlineStr">
        <is>
          <t>Rewards Visa</t>
        </is>
      </c>
      <c r="C62" s="87" t="inlineStr">
        <is>
          <t>BLUE MOON DINER</t>
        </is>
      </c>
      <c r="D62" s="87" t="inlineStr">
        <is>
          <t>Dining Out</t>
        </is>
      </c>
      <c r="E62" s="88" t="n">
        <v>-34.48</v>
      </c>
      <c r="F62" s="89">
        <f>IF(E62="","",IF(OR(D62="",D62="Uncategorized"),IF(E62&lt;0,"Expense","Income"),IFERROR(INDEX(Categories!$B$6:$B$65,MATCH(D62,Categories!$A$6:$A$65,0)),IF(E62&lt;0,"Expense","Income"))))</f>
        <v/>
      </c>
      <c r="G62" s="90">
        <f>IF(A62="","",DATE(YEAR(A62),MONTH(A62),1))</f>
        <v/>
      </c>
      <c r="H62" s="87" t="n"/>
      <c r="I62" s="87" t="n"/>
      <c r="J62" s="91" t="inlineStr">
        <is>
          <t>BLUE MOON DINER</t>
        </is>
      </c>
      <c r="K62" s="91" t="inlineStr">
        <is>
          <t>Sample Card Co</t>
        </is>
      </c>
      <c r="L62" s="91" t="inlineStr">
        <is>
          <t>Credit Card</t>
        </is>
      </c>
      <c r="M62" s="91" t="inlineStr">
        <is>
          <t>Visa_Statement.csv</t>
        </is>
      </c>
      <c r="N62" s="91" t="inlineStr">
        <is>
          <t>2026-10-15 20:14:07</t>
        </is>
      </c>
      <c r="O62" s="91" t="n"/>
      <c r="P62" s="91" t="inlineStr">
        <is>
          <t>REWARDS VISA|20260905|-3448|BLUEMOONDINER#1</t>
        </is>
      </c>
      <c r="Q62" s="92">
        <f>IF(AND(G62=RptMonth,F62="Expense",N(E62)&lt;0),-E62+ROW()/10000000,"")</f>
        <v/>
      </c>
    </row>
    <row r="63">
      <c r="A63" s="86" t="n">
        <v>46270</v>
      </c>
      <c r="B63" s="87" t="inlineStr">
        <is>
          <t>Rewards Visa</t>
        </is>
      </c>
      <c r="C63" s="87" t="inlineStr">
        <is>
          <t>TRADER JOE'S #548</t>
        </is>
      </c>
      <c r="D63" s="87" t="inlineStr">
        <is>
          <t>Groceries</t>
        </is>
      </c>
      <c r="E63" s="88" t="n">
        <v>-116.84</v>
      </c>
      <c r="F63" s="89">
        <f>IF(E63="","",IF(OR(D63="",D63="Uncategorized"),IF(E63&lt;0,"Expense","Income"),IFERROR(INDEX(Categories!$B$6:$B$65,MATCH(D63,Categories!$A$6:$A$65,0)),IF(E63&lt;0,"Expense","Income"))))</f>
        <v/>
      </c>
      <c r="G63" s="90">
        <f>IF(A63="","",DATE(YEAR(A63),MONTH(A63),1))</f>
        <v/>
      </c>
      <c r="H63" s="87" t="n"/>
      <c r="I63" s="87" t="n"/>
      <c r="J63" s="91" t="inlineStr">
        <is>
          <t>TRADER JOE'S #548</t>
        </is>
      </c>
      <c r="K63" s="91" t="inlineStr">
        <is>
          <t>Sample Card Co</t>
        </is>
      </c>
      <c r="L63" s="91" t="inlineStr">
        <is>
          <t>Credit Card</t>
        </is>
      </c>
      <c r="M63" s="91" t="inlineStr">
        <is>
          <t>Visa_Statement.csv</t>
        </is>
      </c>
      <c r="N63" s="91" t="inlineStr">
        <is>
          <t>2026-10-15 20:14:07</t>
        </is>
      </c>
      <c r="O63" s="91" t="n"/>
      <c r="P63" s="91" t="inlineStr">
        <is>
          <t>REWARDS VISA|20260905|-11684|TRADERJOES548#1</t>
        </is>
      </c>
      <c r="Q63" s="92">
        <f>IF(AND(G63=RptMonth,F63="Expense",N(E63)&lt;0),-E63+ROW()/10000000,"")</f>
        <v/>
      </c>
    </row>
    <row r="64">
      <c r="A64" s="86" t="n">
        <v>46269</v>
      </c>
      <c r="B64" s="87" t="inlineStr">
        <is>
          <t>Everyday Checking</t>
        </is>
      </c>
      <c r="C64" s="87" t="inlineStr">
        <is>
          <t>ACME CORP PAYROLL DIR DEP</t>
        </is>
      </c>
      <c r="D64" s="87" t="inlineStr">
        <is>
          <t>Salary</t>
        </is>
      </c>
      <c r="E64" s="88" t="n">
        <v>3461.07</v>
      </c>
      <c r="F64" s="89">
        <f>IF(E64="","",IF(OR(D64="",D64="Uncategorized"),IF(E64&lt;0,"Expense","Income"),IFERROR(INDEX(Categories!$B$6:$B$65,MATCH(D64,Categories!$A$6:$A$65,0)),IF(E64&lt;0,"Expense","Income"))))</f>
        <v/>
      </c>
      <c r="G64" s="90">
        <f>IF(A64="","",DATE(YEAR(A64),MONTH(A64),1))</f>
        <v/>
      </c>
      <c r="H64" s="87" t="n"/>
      <c r="I64" s="87" t="n"/>
      <c r="J64" s="91" t="inlineStr">
        <is>
          <t>ACME CORP PAYROLL DIR DEP</t>
        </is>
      </c>
      <c r="K64" s="91" t="inlineStr">
        <is>
          <t>Sample Bank</t>
        </is>
      </c>
      <c r="L64" s="91" t="inlineStr">
        <is>
          <t>Checking</t>
        </is>
      </c>
      <c r="M64" s="91" t="inlineStr">
        <is>
          <t>Checking_Activity.csv</t>
        </is>
      </c>
      <c r="N64" s="91" t="inlineStr">
        <is>
          <t>2026-10-15 20:14:07</t>
        </is>
      </c>
      <c r="O64" s="91" t="n"/>
      <c r="P64" s="91" t="inlineStr">
        <is>
          <t>EVERYDAY CHECKING|20260904|346107|ACMECORPPAYROLLDIRDEP#1</t>
        </is>
      </c>
      <c r="Q64" s="92">
        <f>IF(AND(G64=RptMonth,F64="Expense",N(E64)&lt;0),-E64+ROW()/10000000,"")</f>
        <v/>
      </c>
    </row>
    <row r="65">
      <c r="A65" s="86" t="n">
        <v>46269</v>
      </c>
      <c r="B65" s="87" t="inlineStr">
        <is>
          <t>Rewards Visa</t>
        </is>
      </c>
      <c r="C65" s="87" t="inlineStr">
        <is>
          <t>LOCAL PIZZERIA</t>
        </is>
      </c>
      <c r="D65" s="87" t="inlineStr">
        <is>
          <t>Dining Out</t>
        </is>
      </c>
      <c r="E65" s="88" t="n">
        <v>-53.67</v>
      </c>
      <c r="F65" s="89">
        <f>IF(E65="","",IF(OR(D65="",D65="Uncategorized"),IF(E65&lt;0,"Expense","Income"),IFERROR(INDEX(Categories!$B$6:$B$65,MATCH(D65,Categories!$A$6:$A$65,0)),IF(E65&lt;0,"Expense","Income"))))</f>
        <v/>
      </c>
      <c r="G65" s="90">
        <f>IF(A65="","",DATE(YEAR(A65),MONTH(A65),1))</f>
        <v/>
      </c>
      <c r="H65" s="87" t="n"/>
      <c r="I65" s="87" t="n"/>
      <c r="J65" s="91" t="inlineStr">
        <is>
          <t>LOCAL PIZZERIA</t>
        </is>
      </c>
      <c r="K65" s="91" t="inlineStr">
        <is>
          <t>Sample Card Co</t>
        </is>
      </c>
      <c r="L65" s="91" t="inlineStr">
        <is>
          <t>Credit Card</t>
        </is>
      </c>
      <c r="M65" s="91" t="inlineStr">
        <is>
          <t>Visa_Statement.csv</t>
        </is>
      </c>
      <c r="N65" s="91" t="inlineStr">
        <is>
          <t>2026-10-15 20:14:07</t>
        </is>
      </c>
      <c r="O65" s="91" t="n"/>
      <c r="P65" s="91" t="inlineStr">
        <is>
          <t>REWARDS VISA|20260904|-5367|LOCALPIZZERIA#1</t>
        </is>
      </c>
      <c r="Q65" s="92">
        <f>IF(AND(G65=RptMonth,F65="Expense",N(E65)&lt;0),-E65+ROW()/10000000,"")</f>
        <v/>
      </c>
    </row>
    <row r="66">
      <c r="A66" s="86" t="n">
        <v>46268</v>
      </c>
      <c r="B66" s="87" t="inlineStr">
        <is>
          <t>Everyday Checking</t>
        </is>
      </c>
      <c r="C66" s="87" t="inlineStr">
        <is>
          <t>GEICO AUTO INSURANCE</t>
        </is>
      </c>
      <c r="D66" s="87" t="inlineStr">
        <is>
          <t>Insurance</t>
        </is>
      </c>
      <c r="E66" s="88" t="n">
        <v>-142.5</v>
      </c>
      <c r="F66" s="89">
        <f>IF(E66="","",IF(OR(D66="",D66="Uncategorized"),IF(E66&lt;0,"Expense","Income"),IFERROR(INDEX(Categories!$B$6:$B$65,MATCH(D66,Categories!$A$6:$A$65,0)),IF(E66&lt;0,"Expense","Income"))))</f>
        <v/>
      </c>
      <c r="G66" s="90">
        <f>IF(A66="","",DATE(YEAR(A66),MONTH(A66),1))</f>
        <v/>
      </c>
      <c r="H66" s="87" t="n"/>
      <c r="I66" s="87" t="n"/>
      <c r="J66" s="91" t="inlineStr">
        <is>
          <t>GEICO AUTO INSURANCE</t>
        </is>
      </c>
      <c r="K66" s="91" t="inlineStr">
        <is>
          <t>Sample Bank</t>
        </is>
      </c>
      <c r="L66" s="91" t="inlineStr">
        <is>
          <t>Checking</t>
        </is>
      </c>
      <c r="M66" s="91" t="inlineStr">
        <is>
          <t>Checking_Activity.csv</t>
        </is>
      </c>
      <c r="N66" s="91" t="inlineStr">
        <is>
          <t>2026-10-15 20:14:07</t>
        </is>
      </c>
      <c r="O66" s="91" t="n"/>
      <c r="P66" s="91" t="inlineStr">
        <is>
          <t>EVERYDAY CHECKING|20260903|-14250|GEICOAUTOINSURANCE#1</t>
        </is>
      </c>
      <c r="Q66" s="92">
        <f>IF(AND(G66=RptMonth,F66="Expense",N(E66)&lt;0),-E66+ROW()/10000000,"")</f>
        <v/>
      </c>
    </row>
    <row r="67">
      <c r="A67" s="86" t="n">
        <v>46268</v>
      </c>
      <c r="B67" s="87" t="inlineStr">
        <is>
          <t>Rewards Visa</t>
        </is>
      </c>
      <c r="C67" s="87" t="inlineStr">
        <is>
          <t>OLD NAVY ONLINE</t>
        </is>
      </c>
      <c r="D67" s="87" t="inlineStr">
        <is>
          <t>Shopping</t>
        </is>
      </c>
      <c r="E67" s="88" t="n">
        <v>-82.36</v>
      </c>
      <c r="F67" s="89">
        <f>IF(E67="","",IF(OR(D67="",D67="Uncategorized"),IF(E67&lt;0,"Expense","Income"),IFERROR(INDEX(Categories!$B$6:$B$65,MATCH(D67,Categories!$A$6:$A$65,0)),IF(E67&lt;0,"Expense","Income"))))</f>
        <v/>
      </c>
      <c r="G67" s="90">
        <f>IF(A67="","",DATE(YEAR(A67),MONTH(A67),1))</f>
        <v/>
      </c>
      <c r="H67" s="87" t="n"/>
      <c r="I67" s="87" t="n"/>
      <c r="J67" s="91" t="inlineStr">
        <is>
          <t>OLD NAVY ONLINE</t>
        </is>
      </c>
      <c r="K67" s="91" t="inlineStr">
        <is>
          <t>Sample Card Co</t>
        </is>
      </c>
      <c r="L67" s="91" t="inlineStr">
        <is>
          <t>Credit Card</t>
        </is>
      </c>
      <c r="M67" s="91" t="inlineStr">
        <is>
          <t>Visa_Statement.csv</t>
        </is>
      </c>
      <c r="N67" s="91" t="inlineStr">
        <is>
          <t>2026-10-15 20:14:07</t>
        </is>
      </c>
      <c r="O67" s="91" t="n"/>
      <c r="P67" s="91" t="inlineStr">
        <is>
          <t>REWARDS VISA|20260903|-8236|OLDNAVYONLINE#1</t>
        </is>
      </c>
      <c r="Q67" s="92">
        <f>IF(AND(G67=RptMonth,F67="Expense",N(E67)&lt;0),-E67+ROW()/10000000,"")</f>
        <v/>
      </c>
    </row>
    <row r="68">
      <c r="A68" s="86" t="n">
        <v>46268</v>
      </c>
      <c r="B68" s="87" t="inlineStr">
        <is>
          <t>Rewards Visa</t>
        </is>
      </c>
      <c r="C68" s="87" t="inlineStr">
        <is>
          <t>SWEETGREEN PALISADES</t>
        </is>
      </c>
      <c r="D68" s="87" t="inlineStr">
        <is>
          <t>Dining Out</t>
        </is>
      </c>
      <c r="E68" s="88" t="n">
        <v>-54.44</v>
      </c>
      <c r="F68" s="89">
        <f>IF(E68="","",IF(OR(D68="",D68="Uncategorized"),IF(E68&lt;0,"Expense","Income"),IFERROR(INDEX(Categories!$B$6:$B$65,MATCH(D68,Categories!$A$6:$A$65,0)),IF(E68&lt;0,"Expense","Income"))))</f>
        <v/>
      </c>
      <c r="G68" s="90">
        <f>IF(A68="","",DATE(YEAR(A68),MONTH(A68),1))</f>
        <v/>
      </c>
      <c r="H68" s="87" t="n"/>
      <c r="I68" s="87" t="n"/>
      <c r="J68" s="91" t="inlineStr">
        <is>
          <t>SWEETGREEN PALISADES</t>
        </is>
      </c>
      <c r="K68" s="91" t="inlineStr">
        <is>
          <t>Sample Card Co</t>
        </is>
      </c>
      <c r="L68" s="91" t="inlineStr">
        <is>
          <t>Credit Card</t>
        </is>
      </c>
      <c r="M68" s="91" t="inlineStr">
        <is>
          <t>Visa_Statement.csv</t>
        </is>
      </c>
      <c r="N68" s="91" t="inlineStr">
        <is>
          <t>2026-10-15 20:14:07</t>
        </is>
      </c>
      <c r="O68" s="91" t="n"/>
      <c r="P68" s="91" t="inlineStr">
        <is>
          <t>REWARDS VISA|20260903|-5444|SWEETGREENPALISADES#1</t>
        </is>
      </c>
      <c r="Q68" s="92">
        <f>IF(AND(G68=RptMonth,F68="Expense",N(E68)&lt;0),-E68+ROW()/10000000,"")</f>
        <v/>
      </c>
    </row>
    <row r="69">
      <c r="A69" s="86" t="n">
        <v>46267</v>
      </c>
      <c r="B69" s="87" t="inlineStr">
        <is>
          <t>Rewards Visa</t>
        </is>
      </c>
      <c r="C69" s="87" t="inlineStr">
        <is>
          <t>NETFLIX.COM</t>
        </is>
      </c>
      <c r="D69" s="87" t="inlineStr">
        <is>
          <t>Subscriptions</t>
        </is>
      </c>
      <c r="E69" s="88" t="n">
        <v>-15.49</v>
      </c>
      <c r="F69" s="89">
        <f>IF(E69="","",IF(OR(D69="",D69="Uncategorized"),IF(E69&lt;0,"Expense","Income"),IFERROR(INDEX(Categories!$B$6:$B$65,MATCH(D69,Categories!$A$6:$A$65,0)),IF(E69&lt;0,"Expense","Income"))))</f>
        <v/>
      </c>
      <c r="G69" s="90">
        <f>IF(A69="","",DATE(YEAR(A69),MONTH(A69),1))</f>
        <v/>
      </c>
      <c r="H69" s="87" t="n"/>
      <c r="I69" s="87" t="n"/>
      <c r="J69" s="91" t="inlineStr">
        <is>
          <t>NETFLIX.COM</t>
        </is>
      </c>
      <c r="K69" s="91" t="inlineStr">
        <is>
          <t>Sample Card Co</t>
        </is>
      </c>
      <c r="L69" s="91" t="inlineStr">
        <is>
          <t>Credit Card</t>
        </is>
      </c>
      <c r="M69" s="91" t="inlineStr">
        <is>
          <t>Visa_Statement.csv</t>
        </is>
      </c>
      <c r="N69" s="91" t="inlineStr">
        <is>
          <t>2026-10-15 20:14:07</t>
        </is>
      </c>
      <c r="O69" s="91" t="n"/>
      <c r="P69" s="91" t="inlineStr">
        <is>
          <t>REWARDS VISA|20260902|-1549|NETFLIXCOM#1</t>
        </is>
      </c>
      <c r="Q69" s="92">
        <f>IF(AND(G69=RptMonth,F69="Expense",N(E69)&lt;0),-E69+ROW()/10000000,"")</f>
        <v/>
      </c>
    </row>
    <row r="70">
      <c r="A70" s="86" t="n">
        <v>46267</v>
      </c>
      <c r="B70" s="87" t="inlineStr">
        <is>
          <t>Rewards Visa</t>
        </is>
      </c>
      <c r="C70" s="87" t="inlineStr">
        <is>
          <t>OLD NAVY ONLINE</t>
        </is>
      </c>
      <c r="D70" s="87" t="inlineStr">
        <is>
          <t>Shopping</t>
        </is>
      </c>
      <c r="E70" s="88" t="n">
        <v>-35.64</v>
      </c>
      <c r="F70" s="89">
        <f>IF(E70="","",IF(OR(D70="",D70="Uncategorized"),IF(E70&lt;0,"Expense","Income"),IFERROR(INDEX(Categories!$B$6:$B$65,MATCH(D70,Categories!$A$6:$A$65,0)),IF(E70&lt;0,"Expense","Income"))))</f>
        <v/>
      </c>
      <c r="G70" s="90">
        <f>IF(A70="","",DATE(YEAR(A70),MONTH(A70),1))</f>
        <v/>
      </c>
      <c r="H70" s="87" t="n"/>
      <c r="I70" s="87" t="n"/>
      <c r="J70" s="91" t="inlineStr">
        <is>
          <t>OLD NAVY ONLINE</t>
        </is>
      </c>
      <c r="K70" s="91" t="inlineStr">
        <is>
          <t>Sample Card Co</t>
        </is>
      </c>
      <c r="L70" s="91" t="inlineStr">
        <is>
          <t>Credit Card</t>
        </is>
      </c>
      <c r="M70" s="91" t="inlineStr">
        <is>
          <t>Visa_Statement.csv</t>
        </is>
      </c>
      <c r="N70" s="91" t="inlineStr">
        <is>
          <t>2026-10-15 20:14:07</t>
        </is>
      </c>
      <c r="O70" s="91" t="n"/>
      <c r="P70" s="91" t="inlineStr">
        <is>
          <t>REWARDS VISA|20260902|-3564|OLDNAVYONLINE#1</t>
        </is>
      </c>
      <c r="Q70" s="92">
        <f>IF(AND(G70=RptMonth,F70="Expense",N(E70)&lt;0),-E70+ROW()/10000000,"")</f>
        <v/>
      </c>
    </row>
    <row r="71">
      <c r="A71" s="86" t="n">
        <v>46267</v>
      </c>
      <c r="B71" s="87" t="inlineStr">
        <is>
          <t>Rewards Visa</t>
        </is>
      </c>
      <c r="C71" s="87" t="inlineStr">
        <is>
          <t>STARBUCKS STORE 08123</t>
        </is>
      </c>
      <c r="D71" s="87" t="inlineStr">
        <is>
          <t>Dining Out</t>
        </is>
      </c>
      <c r="E71" s="88" t="n">
        <v>-25.5</v>
      </c>
      <c r="F71" s="89">
        <f>IF(E71="","",IF(OR(D71="",D71="Uncategorized"),IF(E71&lt;0,"Expense","Income"),IFERROR(INDEX(Categories!$B$6:$B$65,MATCH(D71,Categories!$A$6:$A$65,0)),IF(E71&lt;0,"Expense","Income"))))</f>
        <v/>
      </c>
      <c r="G71" s="90">
        <f>IF(A71="","",DATE(YEAR(A71),MONTH(A71),1))</f>
        <v/>
      </c>
      <c r="H71" s="87" t="n"/>
      <c r="I71" s="87" t="n"/>
      <c r="J71" s="91" t="inlineStr">
        <is>
          <t>STARBUCKS STORE 08123</t>
        </is>
      </c>
      <c r="K71" s="91" t="inlineStr">
        <is>
          <t>Sample Card Co</t>
        </is>
      </c>
      <c r="L71" s="91" t="inlineStr">
        <is>
          <t>Credit Card</t>
        </is>
      </c>
      <c r="M71" s="91" t="inlineStr">
        <is>
          <t>Visa_Statement.csv</t>
        </is>
      </c>
      <c r="N71" s="91" t="inlineStr">
        <is>
          <t>2026-10-15 20:14:07</t>
        </is>
      </c>
      <c r="O71" s="91" t="n"/>
      <c r="P71" s="91" t="inlineStr">
        <is>
          <t>REWARDS VISA|20260902|-2550|STARBUCKSSTORE08123#1</t>
        </is>
      </c>
      <c r="Q71" s="92">
        <f>IF(AND(G71=RptMonth,F71="Expense",N(E71)&lt;0),-E71+ROW()/10000000,"")</f>
        <v/>
      </c>
    </row>
    <row r="72">
      <c r="A72" s="86" t="n">
        <v>46266</v>
      </c>
      <c r="B72" s="87" t="inlineStr">
        <is>
          <t>Everyday Checking</t>
        </is>
      </c>
      <c r="C72" s="87" t="inlineStr">
        <is>
          <t>SAMPLE MORTGAGE CO PAYMENT</t>
        </is>
      </c>
      <c r="D72" s="87" t="inlineStr">
        <is>
          <t>Mortgage / Rent</t>
        </is>
      </c>
      <c r="E72" s="88" t="n">
        <v>-2450</v>
      </c>
      <c r="F72" s="89">
        <f>IF(E72="","",IF(OR(D72="",D72="Uncategorized"),IF(E72&lt;0,"Expense","Income"),IFERROR(INDEX(Categories!$B$6:$B$65,MATCH(D72,Categories!$A$6:$A$65,0)),IF(E72&lt;0,"Expense","Income"))))</f>
        <v/>
      </c>
      <c r="G72" s="90">
        <f>IF(A72="","",DATE(YEAR(A72),MONTH(A72),1))</f>
        <v/>
      </c>
      <c r="H72" s="87" t="inlineStr">
        <is>
          <t>Includes escrow for taxes and insurance</t>
        </is>
      </c>
      <c r="I72" s="87" t="n"/>
      <c r="J72" s="91" t="inlineStr">
        <is>
          <t>SAMPLE MORTGAGE CO PAYMENT</t>
        </is>
      </c>
      <c r="K72" s="91" t="inlineStr">
        <is>
          <t>Sample Bank</t>
        </is>
      </c>
      <c r="L72" s="91" t="inlineStr">
        <is>
          <t>Checking</t>
        </is>
      </c>
      <c r="M72" s="91" t="inlineStr">
        <is>
          <t>Checking_Activity.csv</t>
        </is>
      </c>
      <c r="N72" s="91" t="inlineStr">
        <is>
          <t>2026-10-15 20:14:07</t>
        </is>
      </c>
      <c r="O72" s="91" t="n"/>
      <c r="P72" s="91" t="inlineStr">
        <is>
          <t>EVERYDAY CHECKING|20260901|-245000|SAMPLEMORTGAGECOPAYMENT#1</t>
        </is>
      </c>
      <c r="Q72" s="92">
        <f>IF(AND(G72=RptMonth,F72="Expense",N(E72)&lt;0),-E72+ROW()/10000000,"")</f>
        <v/>
      </c>
    </row>
    <row r="73">
      <c r="A73" s="86" t="n">
        <v>46266</v>
      </c>
      <c r="B73" s="87" t="inlineStr">
        <is>
          <t>Home Mortgage</t>
        </is>
      </c>
      <c r="C73" s="87" t="inlineStr">
        <is>
          <t>Payment</t>
        </is>
      </c>
      <c r="D73" s="87" t="inlineStr">
        <is>
          <t>Transfer</t>
        </is>
      </c>
      <c r="E73" s="88" t="n">
        <v>314.34</v>
      </c>
      <c r="F73" s="89">
        <f>IF(E73="","",IF(OR(D73="",D73="Uncategorized"),IF(E73&lt;0,"Expense","Income"),IFERROR(INDEX(Categories!$B$6:$B$65,MATCH(D73,Categories!$A$6:$A$65,0)),IF(E73&lt;0,"Expense","Income"))))</f>
        <v/>
      </c>
      <c r="G73" s="90">
        <f>IF(A73="","",DATE(YEAR(A73),MONTH(A73),1))</f>
        <v/>
      </c>
      <c r="H73" s="87" t="n"/>
      <c r="I73" s="87" t="n"/>
      <c r="J73" s="91" t="inlineStr">
        <is>
          <t>Payment</t>
        </is>
      </c>
      <c r="K73" s="91" t="inlineStr">
        <is>
          <t>Sample Mortgage Co</t>
        </is>
      </c>
      <c r="L73" s="91" t="inlineStr">
        <is>
          <t>Mortgage</t>
        </is>
      </c>
      <c r="M73" s="91" t="inlineStr">
        <is>
          <t>Mortgage_History.xlsx</t>
        </is>
      </c>
      <c r="N73" s="91" t="inlineStr">
        <is>
          <t>2026-10-15 20:14:07</t>
        </is>
      </c>
      <c r="O73" s="91" t="n"/>
      <c r="P73" s="91" t="inlineStr">
        <is>
          <t>HOME MORTGAGE|20260901|31434|PAYMENT#1</t>
        </is>
      </c>
      <c r="Q73" s="92">
        <f>IF(AND(G73=RptMonth,F73="Expense",N(E73)&lt;0),-E73+ROW()/10000000,"")</f>
        <v/>
      </c>
    </row>
    <row r="74">
      <c r="A74" s="86" t="n">
        <v>46263</v>
      </c>
      <c r="B74" s="87" t="inlineStr">
        <is>
          <t>Rewards Visa</t>
        </is>
      </c>
      <c r="C74" s="87" t="inlineStr">
        <is>
          <t>TRADER JOE'S #548</t>
        </is>
      </c>
      <c r="D74" s="87" t="inlineStr">
        <is>
          <t>Groceries</t>
        </is>
      </c>
      <c r="E74" s="88" t="n">
        <v>-114.46</v>
      </c>
      <c r="F74" s="89">
        <f>IF(E74="","",IF(OR(D74="",D74="Uncategorized"),IF(E74&lt;0,"Expense","Income"),IFERROR(INDEX(Categories!$B$6:$B$65,MATCH(D74,Categories!$A$6:$A$65,0)),IF(E74&lt;0,"Expense","Income"))))</f>
        <v/>
      </c>
      <c r="G74" s="90">
        <f>IF(A74="","",DATE(YEAR(A74),MONTH(A74),1))</f>
        <v/>
      </c>
      <c r="H74" s="87" t="n"/>
      <c r="I74" s="87" t="n"/>
      <c r="J74" s="91" t="inlineStr">
        <is>
          <t>TRADER JOE'S #548</t>
        </is>
      </c>
      <c r="K74" s="91" t="inlineStr">
        <is>
          <t>Sample Card Co</t>
        </is>
      </c>
      <c r="L74" s="91" t="inlineStr">
        <is>
          <t>Credit Card</t>
        </is>
      </c>
      <c r="M74" s="91" t="inlineStr">
        <is>
          <t>Visa_Statement.csv</t>
        </is>
      </c>
      <c r="N74" s="91" t="inlineStr">
        <is>
          <t>2026-10-15 20:14:07</t>
        </is>
      </c>
      <c r="O74" s="91" t="n"/>
      <c r="P74" s="91" t="inlineStr">
        <is>
          <t>REWARDS VISA|20260829|-11446|TRADERJOES548#1</t>
        </is>
      </c>
      <c r="Q74" s="92">
        <f>IF(AND(G74=RptMonth,F74="Expense",N(E74)&lt;0),-E74+ROW()/10000000,"")</f>
        <v/>
      </c>
    </row>
    <row r="75">
      <c r="A75" s="86" t="n">
        <v>46262</v>
      </c>
      <c r="B75" s="87" t="inlineStr">
        <is>
          <t>High-Yield Savings</t>
        </is>
      </c>
      <c r="C75" s="87" t="inlineStr">
        <is>
          <t>INTEREST PAYMENT</t>
        </is>
      </c>
      <c r="D75" s="87" t="inlineStr">
        <is>
          <t>Interest &amp; Dividends</t>
        </is>
      </c>
      <c r="E75" s="88" t="n">
        <v>41.48</v>
      </c>
      <c r="F75" s="89">
        <f>IF(E75="","",IF(OR(D75="",D75="Uncategorized"),IF(E75&lt;0,"Expense","Income"),IFERROR(INDEX(Categories!$B$6:$B$65,MATCH(D75,Categories!$A$6:$A$65,0)),IF(E75&lt;0,"Expense","Income"))))</f>
        <v/>
      </c>
      <c r="G75" s="90">
        <f>IF(A75="","",DATE(YEAR(A75),MONTH(A75),1))</f>
        <v/>
      </c>
      <c r="H75" s="87" t="n"/>
      <c r="I75" s="87" t="n"/>
      <c r="J75" s="91" t="inlineStr">
        <is>
          <t>INTEREST PAYMENT</t>
        </is>
      </c>
      <c r="K75" s="91" t="inlineStr">
        <is>
          <t>Sample Bank</t>
        </is>
      </c>
      <c r="L75" s="91" t="inlineStr">
        <is>
          <t>Savings</t>
        </is>
      </c>
      <c r="M75" s="91" t="inlineStr">
        <is>
          <t>Savings.qfx</t>
        </is>
      </c>
      <c r="N75" s="91" t="inlineStr">
        <is>
          <t>2026-10-15 20:14:07</t>
        </is>
      </c>
      <c r="O75" s="91" t="inlineStr">
        <is>
          <t>773002026082801</t>
        </is>
      </c>
      <c r="P75" s="91" t="inlineStr">
        <is>
          <t>HIGH-YIELD SAVINGS|ID|773002026082801#1</t>
        </is>
      </c>
      <c r="Q75" s="92">
        <f>IF(AND(G75=RptMonth,F75="Expense",N(E75)&lt;0),-E75+ROW()/10000000,"")</f>
        <v/>
      </c>
    </row>
    <row r="76">
      <c r="A76" s="86" t="n">
        <v>46262</v>
      </c>
      <c r="B76" s="87" t="inlineStr">
        <is>
          <t>Rewards Visa</t>
        </is>
      </c>
      <c r="C76" s="87" t="inlineStr">
        <is>
          <t>EXXONMOBIL 4471</t>
        </is>
      </c>
      <c r="D76" s="87" t="inlineStr">
        <is>
          <t>Gas &amp; Fuel</t>
        </is>
      </c>
      <c r="E76" s="88" t="n">
        <v>-60.93</v>
      </c>
      <c r="F76" s="89">
        <f>IF(E76="","",IF(OR(D76="",D76="Uncategorized"),IF(E76&lt;0,"Expense","Income"),IFERROR(INDEX(Categories!$B$6:$B$65,MATCH(D76,Categories!$A$6:$A$65,0)),IF(E76&lt;0,"Expense","Income"))))</f>
        <v/>
      </c>
      <c r="G76" s="90">
        <f>IF(A76="","",DATE(YEAR(A76),MONTH(A76),1))</f>
        <v/>
      </c>
      <c r="H76" s="87" t="n"/>
      <c r="I76" s="87" t="n"/>
      <c r="J76" s="91" t="inlineStr">
        <is>
          <t>EXXONMOBIL 4471</t>
        </is>
      </c>
      <c r="K76" s="91" t="inlineStr">
        <is>
          <t>Sample Card Co</t>
        </is>
      </c>
      <c r="L76" s="91" t="inlineStr">
        <is>
          <t>Credit Card</t>
        </is>
      </c>
      <c r="M76" s="91" t="inlineStr">
        <is>
          <t>Visa_Statement.csv</t>
        </is>
      </c>
      <c r="N76" s="91" t="inlineStr">
        <is>
          <t>2026-10-15 20:14:07</t>
        </is>
      </c>
      <c r="O76" s="91" t="n"/>
      <c r="P76" s="91" t="inlineStr">
        <is>
          <t>REWARDS VISA|20260828|-6093|EXXONMOBIL4471#1</t>
        </is>
      </c>
      <c r="Q76" s="92">
        <f>IF(AND(G76=RptMonth,F76="Expense",N(E76)&lt;0),-E76+ROW()/10000000,"")</f>
        <v/>
      </c>
    </row>
    <row r="77">
      <c r="A77" s="86" t="n">
        <v>46260</v>
      </c>
      <c r="B77" s="87" t="inlineStr">
        <is>
          <t>Rewards Visa</t>
        </is>
      </c>
      <c r="C77" s="87" t="inlineStr">
        <is>
          <t>CHIPOTLE 2291</t>
        </is>
      </c>
      <c r="D77" s="87" t="inlineStr">
        <is>
          <t>Dining Out</t>
        </is>
      </c>
      <c r="E77" s="88" t="n">
        <v>-45.35</v>
      </c>
      <c r="F77" s="89">
        <f>IF(E77="","",IF(OR(D77="",D77="Uncategorized"),IF(E77&lt;0,"Expense","Income"),IFERROR(INDEX(Categories!$B$6:$B$65,MATCH(D77,Categories!$A$6:$A$65,0)),IF(E77&lt;0,"Expense","Income"))))</f>
        <v/>
      </c>
      <c r="G77" s="90">
        <f>IF(A77="","",DATE(YEAR(A77),MONTH(A77),1))</f>
        <v/>
      </c>
      <c r="H77" s="87" t="n"/>
      <c r="I77" s="87" t="n"/>
      <c r="J77" s="91" t="inlineStr">
        <is>
          <t>CHIPOTLE 2291</t>
        </is>
      </c>
      <c r="K77" s="91" t="inlineStr">
        <is>
          <t>Sample Card Co</t>
        </is>
      </c>
      <c r="L77" s="91" t="inlineStr">
        <is>
          <t>Credit Card</t>
        </is>
      </c>
      <c r="M77" s="91" t="inlineStr">
        <is>
          <t>Visa_Statement.csv</t>
        </is>
      </c>
      <c r="N77" s="91" t="inlineStr">
        <is>
          <t>2026-10-15 20:14:07</t>
        </is>
      </c>
      <c r="O77" s="91" t="n"/>
      <c r="P77" s="91" t="inlineStr">
        <is>
          <t>REWARDS VISA|20260826|-4535|CHIPOTLE2291#1</t>
        </is>
      </c>
      <c r="Q77" s="92">
        <f>IF(AND(G77=RptMonth,F77="Expense",N(E77)&lt;0),-E77+ROW()/10000000,"")</f>
        <v/>
      </c>
    </row>
    <row r="78">
      <c r="A78" s="86" t="n">
        <v>46260</v>
      </c>
      <c r="B78" s="87" t="inlineStr">
        <is>
          <t>Rewards Visa</t>
        </is>
      </c>
      <c r="C78" s="87" t="inlineStr">
        <is>
          <t>H MART #112</t>
        </is>
      </c>
      <c r="D78" s="87" t="inlineStr">
        <is>
          <t>Groceries</t>
        </is>
      </c>
      <c r="E78" s="88" t="n">
        <v>-60.86</v>
      </c>
      <c r="F78" s="89">
        <f>IF(E78="","",IF(OR(D78="",D78="Uncategorized"),IF(E78&lt;0,"Expense","Income"),IFERROR(INDEX(Categories!$B$6:$B$65,MATCH(D78,Categories!$A$6:$A$65,0)),IF(E78&lt;0,"Expense","Income"))))</f>
        <v/>
      </c>
      <c r="G78" s="90">
        <f>IF(A78="","",DATE(YEAR(A78),MONTH(A78),1))</f>
        <v/>
      </c>
      <c r="H78" s="87" t="n"/>
      <c r="I78" s="87" t="n"/>
      <c r="J78" s="91" t="inlineStr">
        <is>
          <t>H MART #112</t>
        </is>
      </c>
      <c r="K78" s="91" t="inlineStr">
        <is>
          <t>Sample Card Co</t>
        </is>
      </c>
      <c r="L78" s="91" t="inlineStr">
        <is>
          <t>Credit Card</t>
        </is>
      </c>
      <c r="M78" s="91" t="inlineStr">
        <is>
          <t>Visa_Statement.csv</t>
        </is>
      </c>
      <c r="N78" s="91" t="inlineStr">
        <is>
          <t>2026-10-15 20:14:07</t>
        </is>
      </c>
      <c r="O78" s="91" t="n"/>
      <c r="P78" s="91" t="inlineStr">
        <is>
          <t>REWARDS VISA|20260826|-6086|HMART112#1</t>
        </is>
      </c>
      <c r="Q78" s="92">
        <f>IF(AND(G78=RptMonth,F78="Expense",N(E78)&lt;0),-E78+ROW()/10000000,"")</f>
        <v/>
      </c>
    </row>
    <row r="79">
      <c r="A79" s="86" t="n">
        <v>46259</v>
      </c>
      <c r="B79" s="87" t="inlineStr">
        <is>
          <t>Everyday Checking</t>
        </is>
      </c>
      <c r="C79" s="87" t="inlineStr">
        <is>
          <t>CHECK 1043</t>
        </is>
      </c>
      <c r="D79" s="87" t="inlineStr">
        <is>
          <t>Uncategorized</t>
        </is>
      </c>
      <c r="E79" s="88" t="n">
        <v>-150.54</v>
      </c>
      <c r="F79" s="89">
        <f>IF(E79="","",IF(OR(D79="",D79="Uncategorized"),IF(E79&lt;0,"Expense","Income"),IFERROR(INDEX(Categories!$B$6:$B$65,MATCH(D79,Categories!$A$6:$A$65,0)),IF(E79&lt;0,"Expense","Income"))))</f>
        <v/>
      </c>
      <c r="G79" s="90">
        <f>IF(A79="","",DATE(YEAR(A79),MONTH(A79),1))</f>
        <v/>
      </c>
      <c r="H79" s="87" t="n"/>
      <c r="I79" s="87" t="inlineStr">
        <is>
          <t>1043</t>
        </is>
      </c>
      <c r="J79" s="91" t="inlineStr">
        <is>
          <t>CHECK 1043</t>
        </is>
      </c>
      <c r="K79" s="91" t="inlineStr">
        <is>
          <t>Sample Bank</t>
        </is>
      </c>
      <c r="L79" s="91" t="inlineStr">
        <is>
          <t>Checking</t>
        </is>
      </c>
      <c r="M79" s="91" t="inlineStr">
        <is>
          <t>Checking_Activity.csv</t>
        </is>
      </c>
      <c r="N79" s="91" t="inlineStr">
        <is>
          <t>2026-10-15 20:14:07</t>
        </is>
      </c>
      <c r="O79" s="91" t="n"/>
      <c r="P79" s="91" t="inlineStr">
        <is>
          <t>EVERYDAY CHECKING|20260825|-15054|CHECK1043#1</t>
        </is>
      </c>
      <c r="Q79" s="92">
        <f>IF(AND(G79=RptMonth,F79="Expense",N(E79)&lt;0),-E79+ROW()/10000000,"")</f>
        <v/>
      </c>
    </row>
    <row r="80">
      <c r="A80" s="86" t="n">
        <v>46259</v>
      </c>
      <c r="B80" s="87" t="inlineStr">
        <is>
          <t>Rewards Visa</t>
        </is>
      </c>
      <c r="C80" s="87" t="inlineStr">
        <is>
          <t>RED CROSS DONATION</t>
        </is>
      </c>
      <c r="D80" s="87" t="inlineStr">
        <is>
          <t>Gifts &amp; Donations</t>
        </is>
      </c>
      <c r="E80" s="88" t="n">
        <v>-54.43</v>
      </c>
      <c r="F80" s="89">
        <f>IF(E80="","",IF(OR(D80="",D80="Uncategorized"),IF(E80&lt;0,"Expense","Income"),IFERROR(INDEX(Categories!$B$6:$B$65,MATCH(D80,Categories!$A$6:$A$65,0)),IF(E80&lt;0,"Expense","Income"))))</f>
        <v/>
      </c>
      <c r="G80" s="90">
        <f>IF(A80="","",DATE(YEAR(A80),MONTH(A80),1))</f>
        <v/>
      </c>
      <c r="H80" s="87" t="n"/>
      <c r="I80" s="87" t="n"/>
      <c r="J80" s="91" t="inlineStr">
        <is>
          <t>RED CROSS DONATION</t>
        </is>
      </c>
      <c r="K80" s="91" t="inlineStr">
        <is>
          <t>Sample Card Co</t>
        </is>
      </c>
      <c r="L80" s="91" t="inlineStr">
        <is>
          <t>Credit Card</t>
        </is>
      </c>
      <c r="M80" s="91" t="inlineStr">
        <is>
          <t>Visa_Statement.csv</t>
        </is>
      </c>
      <c r="N80" s="91" t="inlineStr">
        <is>
          <t>2026-10-15 20:14:07</t>
        </is>
      </c>
      <c r="O80" s="91" t="n"/>
      <c r="P80" s="91" t="inlineStr">
        <is>
          <t>REWARDS VISA|20260825|-5443|REDCROSSDONATION#1</t>
        </is>
      </c>
      <c r="Q80" s="92">
        <f>IF(AND(G80=RptMonth,F80="Expense",N(E80)&lt;0),-E80+ROW()/10000000,"")</f>
        <v/>
      </c>
    </row>
    <row r="81">
      <c r="A81" s="86" t="n">
        <v>46259</v>
      </c>
      <c r="B81" s="87" t="inlineStr">
        <is>
          <t>Rewards Visa</t>
        </is>
      </c>
      <c r="C81" s="87" t="inlineStr">
        <is>
          <t>SUSHI KOO</t>
        </is>
      </c>
      <c r="D81" s="87" t="inlineStr">
        <is>
          <t>Dining Out</t>
        </is>
      </c>
      <c r="E81" s="88" t="n">
        <v>-38.51</v>
      </c>
      <c r="F81" s="89">
        <f>IF(E81="","",IF(OR(D81="",D81="Uncategorized"),IF(E81&lt;0,"Expense","Income"),IFERROR(INDEX(Categories!$B$6:$B$65,MATCH(D81,Categories!$A$6:$A$65,0)),IF(E81&lt;0,"Expense","Income"))))</f>
        <v/>
      </c>
      <c r="G81" s="90">
        <f>IF(A81="","",DATE(YEAR(A81),MONTH(A81),1))</f>
        <v/>
      </c>
      <c r="H81" s="87" t="n"/>
      <c r="I81" s="87" t="n"/>
      <c r="J81" s="91" t="inlineStr">
        <is>
          <t>SUSHI KOO</t>
        </is>
      </c>
      <c r="K81" s="91" t="inlineStr">
        <is>
          <t>Sample Card Co</t>
        </is>
      </c>
      <c r="L81" s="91" t="inlineStr">
        <is>
          <t>Credit Card</t>
        </is>
      </c>
      <c r="M81" s="91" t="inlineStr">
        <is>
          <t>Visa_Statement.csv</t>
        </is>
      </c>
      <c r="N81" s="91" t="inlineStr">
        <is>
          <t>2026-10-15 20:14:07</t>
        </is>
      </c>
      <c r="O81" s="91" t="n"/>
      <c r="P81" s="91" t="inlineStr">
        <is>
          <t>REWARDS VISA|20260825|-3851|SUSHIKOO#1</t>
        </is>
      </c>
      <c r="Q81" s="92">
        <f>IF(AND(G81=RptMonth,F81="Expense",N(E81)&lt;0),-E81+ROW()/10000000,"")</f>
        <v/>
      </c>
    </row>
    <row r="82">
      <c r="A82" s="86" t="n">
        <v>46258</v>
      </c>
      <c r="B82" s="87" t="inlineStr">
        <is>
          <t>Rewards Visa</t>
        </is>
      </c>
      <c r="C82" s="87" t="inlineStr">
        <is>
          <t>CVS/PHARMACY #02210</t>
        </is>
      </c>
      <c r="D82" s="87" t="inlineStr">
        <is>
          <t>Shopping</t>
        </is>
      </c>
      <c r="E82" s="88" t="n">
        <v>-15.44</v>
      </c>
      <c r="F82" s="89">
        <f>IF(E82="","",IF(OR(D82="",D82="Uncategorized"),IF(E82&lt;0,"Expense","Income"),IFERROR(INDEX(Categories!$B$6:$B$65,MATCH(D82,Categories!$A$6:$A$65,0)),IF(E82&lt;0,"Expense","Income"))))</f>
        <v/>
      </c>
      <c r="G82" s="90">
        <f>IF(A82="","",DATE(YEAR(A82),MONTH(A82),1))</f>
        <v/>
      </c>
      <c r="H82" s="87" t="n"/>
      <c r="I82" s="87" t="n"/>
      <c r="J82" s="91" t="inlineStr">
        <is>
          <t>CVS/PHARMACY #02210</t>
        </is>
      </c>
      <c r="K82" s="91" t="inlineStr">
        <is>
          <t>Sample Card Co</t>
        </is>
      </c>
      <c r="L82" s="91" t="inlineStr">
        <is>
          <t>Credit Card</t>
        </is>
      </c>
      <c r="M82" s="91" t="inlineStr">
        <is>
          <t>Visa_Statement.csv</t>
        </is>
      </c>
      <c r="N82" s="91" t="inlineStr">
        <is>
          <t>2026-10-15 20:14:07</t>
        </is>
      </c>
      <c r="O82" s="91" t="n"/>
      <c r="P82" s="91" t="inlineStr">
        <is>
          <t>REWARDS VISA|20260824|-1544|CVSPHARMACY02210#1</t>
        </is>
      </c>
      <c r="Q82" s="92">
        <f>IF(AND(G82=RptMonth,F82="Expense",N(E82)&lt;0),-E82+ROW()/10000000,"")</f>
        <v/>
      </c>
    </row>
    <row r="83">
      <c r="A83" s="86" t="n">
        <v>46256</v>
      </c>
      <c r="B83" s="87" t="inlineStr">
        <is>
          <t>Rewards Visa</t>
        </is>
      </c>
      <c r="C83" s="87" t="inlineStr">
        <is>
          <t>TRADER JOE'S #548</t>
        </is>
      </c>
      <c r="D83" s="87" t="inlineStr">
        <is>
          <t>Groceries</t>
        </is>
      </c>
      <c r="E83" s="88" t="n">
        <v>-160.91</v>
      </c>
      <c r="F83" s="89">
        <f>IF(E83="","",IF(OR(D83="",D83="Uncategorized"),IF(E83&lt;0,"Expense","Income"),IFERROR(INDEX(Categories!$B$6:$B$65,MATCH(D83,Categories!$A$6:$A$65,0)),IF(E83&lt;0,"Expense","Income"))))</f>
        <v/>
      </c>
      <c r="G83" s="90">
        <f>IF(A83="","",DATE(YEAR(A83),MONTH(A83),1))</f>
        <v/>
      </c>
      <c r="H83" s="87" t="n"/>
      <c r="I83" s="87" t="n"/>
      <c r="J83" s="91" t="inlineStr">
        <is>
          <t>TRADER JOE'S #548</t>
        </is>
      </c>
      <c r="K83" s="91" t="inlineStr">
        <is>
          <t>Sample Card Co</t>
        </is>
      </c>
      <c r="L83" s="91" t="inlineStr">
        <is>
          <t>Credit Card</t>
        </is>
      </c>
      <c r="M83" s="91" t="inlineStr">
        <is>
          <t>Visa_Statement.csv</t>
        </is>
      </c>
      <c r="N83" s="91" t="inlineStr">
        <is>
          <t>2026-10-15 20:14:07</t>
        </is>
      </c>
      <c r="O83" s="91" t="n"/>
      <c r="P83" s="91" t="inlineStr">
        <is>
          <t>REWARDS VISA|20260822|-16091|TRADERJOES548#1</t>
        </is>
      </c>
      <c r="Q83" s="92">
        <f>IF(AND(G83=RptMonth,F83="Expense",N(E83)&lt;0),-E83+ROW()/10000000,"")</f>
        <v/>
      </c>
    </row>
    <row r="84">
      <c r="A84" s="86" t="n">
        <v>46255</v>
      </c>
      <c r="B84" s="87" t="inlineStr">
        <is>
          <t>Everyday Checking</t>
        </is>
      </c>
      <c r="C84" s="87" t="inlineStr">
        <is>
          <t>ACME CORP PAYROLL DIR DEP</t>
        </is>
      </c>
      <c r="D84" s="87" t="inlineStr">
        <is>
          <t>Salary</t>
        </is>
      </c>
      <c r="E84" s="88" t="n">
        <v>3461.07</v>
      </c>
      <c r="F84" s="89">
        <f>IF(E84="","",IF(OR(D84="",D84="Uncategorized"),IF(E84&lt;0,"Expense","Income"),IFERROR(INDEX(Categories!$B$6:$B$65,MATCH(D84,Categories!$A$6:$A$65,0)),IF(E84&lt;0,"Expense","Income"))))</f>
        <v/>
      </c>
      <c r="G84" s="90">
        <f>IF(A84="","",DATE(YEAR(A84),MONTH(A84),1))</f>
        <v/>
      </c>
      <c r="H84" s="87" t="n"/>
      <c r="I84" s="87" t="n"/>
      <c r="J84" s="91" t="inlineStr">
        <is>
          <t>ACME CORP PAYROLL DIR DEP</t>
        </is>
      </c>
      <c r="K84" s="91" t="inlineStr">
        <is>
          <t>Sample Bank</t>
        </is>
      </c>
      <c r="L84" s="91" t="inlineStr">
        <is>
          <t>Checking</t>
        </is>
      </c>
      <c r="M84" s="91" t="inlineStr">
        <is>
          <t>Checking_Activity.csv</t>
        </is>
      </c>
      <c r="N84" s="91" t="inlineStr">
        <is>
          <t>2026-10-15 20:14:07</t>
        </is>
      </c>
      <c r="O84" s="91" t="n"/>
      <c r="P84" s="91" t="inlineStr">
        <is>
          <t>EVERYDAY CHECKING|20260821|346107|ACMECORPPAYROLLDIRDEP#1</t>
        </is>
      </c>
      <c r="Q84" s="92">
        <f>IF(AND(G84=RptMonth,F84="Expense",N(E84)&lt;0),-E84+ROW()/10000000,"")</f>
        <v/>
      </c>
    </row>
    <row r="85">
      <c r="A85" s="86" t="n">
        <v>46255</v>
      </c>
      <c r="B85" s="87" t="inlineStr">
        <is>
          <t>Rewards Visa</t>
        </is>
      </c>
      <c r="C85" s="87" t="inlineStr">
        <is>
          <t>GREAT CLIPS #4410</t>
        </is>
      </c>
      <c r="D85" s="87" t="inlineStr">
        <is>
          <t>Personal Care</t>
        </is>
      </c>
      <c r="E85" s="88" t="n">
        <v>-27.75</v>
      </c>
      <c r="F85" s="89">
        <f>IF(E85="","",IF(OR(D85="",D85="Uncategorized"),IF(E85&lt;0,"Expense","Income"),IFERROR(INDEX(Categories!$B$6:$B$65,MATCH(D85,Categories!$A$6:$A$65,0)),IF(E85&lt;0,"Expense","Income"))))</f>
        <v/>
      </c>
      <c r="G85" s="90">
        <f>IF(A85="","",DATE(YEAR(A85),MONTH(A85),1))</f>
        <v/>
      </c>
      <c r="H85" s="87" t="n"/>
      <c r="I85" s="87" t="n"/>
      <c r="J85" s="91" t="inlineStr">
        <is>
          <t>GREAT CLIPS #4410</t>
        </is>
      </c>
      <c r="K85" s="91" t="inlineStr">
        <is>
          <t>Sample Card Co</t>
        </is>
      </c>
      <c r="L85" s="91" t="inlineStr">
        <is>
          <t>Credit Card</t>
        </is>
      </c>
      <c r="M85" s="91" t="inlineStr">
        <is>
          <t>Visa_Statement.csv</t>
        </is>
      </c>
      <c r="N85" s="91" t="inlineStr">
        <is>
          <t>2026-10-15 20:14:07</t>
        </is>
      </c>
      <c r="O85" s="91" t="n"/>
      <c r="P85" s="91" t="inlineStr">
        <is>
          <t>REWARDS VISA|20260821|-2775|GREATCLIPS4410#1</t>
        </is>
      </c>
      <c r="Q85" s="92">
        <f>IF(AND(G85=RptMonth,F85="Expense",N(E85)&lt;0),-E85+ROW()/10000000,"")</f>
        <v/>
      </c>
    </row>
    <row r="86">
      <c r="A86" s="86" t="n">
        <v>46255</v>
      </c>
      <c r="B86" s="87" t="inlineStr">
        <is>
          <t>Rewards Visa</t>
        </is>
      </c>
      <c r="C86" s="87" t="inlineStr">
        <is>
          <t>SHELL OIL 57444</t>
        </is>
      </c>
      <c r="D86" s="87" t="inlineStr">
        <is>
          <t>Gas &amp; Fuel</t>
        </is>
      </c>
      <c r="E86" s="88" t="n">
        <v>-61.71</v>
      </c>
      <c r="F86" s="89">
        <f>IF(E86="","",IF(OR(D86="",D86="Uncategorized"),IF(E86&lt;0,"Expense","Income"),IFERROR(INDEX(Categories!$B$6:$B$65,MATCH(D86,Categories!$A$6:$A$65,0)),IF(E86&lt;0,"Expense","Income"))))</f>
        <v/>
      </c>
      <c r="G86" s="90">
        <f>IF(A86="","",DATE(YEAR(A86),MONTH(A86),1))</f>
        <v/>
      </c>
      <c r="H86" s="87" t="n"/>
      <c r="I86" s="87" t="n"/>
      <c r="J86" s="91" t="inlineStr">
        <is>
          <t>SHELL OIL 57444</t>
        </is>
      </c>
      <c r="K86" s="91" t="inlineStr">
        <is>
          <t>Sample Card Co</t>
        </is>
      </c>
      <c r="L86" s="91" t="inlineStr">
        <is>
          <t>Credit Card</t>
        </is>
      </c>
      <c r="M86" s="91" t="inlineStr">
        <is>
          <t>Visa_Statement.csv</t>
        </is>
      </c>
      <c r="N86" s="91" t="inlineStr">
        <is>
          <t>2026-10-15 20:14:07</t>
        </is>
      </c>
      <c r="O86" s="91" t="n"/>
      <c r="P86" s="91" t="inlineStr">
        <is>
          <t>REWARDS VISA|20260821|-6171|SHELLOIL57444#1</t>
        </is>
      </c>
      <c r="Q86" s="92">
        <f>IF(AND(G86=RptMonth,F86="Expense",N(E86)&lt;0),-E86+ROW()/10000000,"")</f>
        <v/>
      </c>
    </row>
    <row r="87">
      <c r="A87" s="86" t="n">
        <v>46255</v>
      </c>
      <c r="B87" s="87" t="inlineStr">
        <is>
          <t>Rewards Visa</t>
        </is>
      </c>
      <c r="C87" s="87" t="inlineStr">
        <is>
          <t>TICKETMASTER</t>
        </is>
      </c>
      <c r="D87" s="87" t="inlineStr">
        <is>
          <t>Entertainment</t>
        </is>
      </c>
      <c r="E87" s="88" t="n">
        <v>-52.19</v>
      </c>
      <c r="F87" s="89">
        <f>IF(E87="","",IF(OR(D87="",D87="Uncategorized"),IF(E87&lt;0,"Expense","Income"),IFERROR(INDEX(Categories!$B$6:$B$65,MATCH(D87,Categories!$A$6:$A$65,0)),IF(E87&lt;0,"Expense","Income"))))</f>
        <v/>
      </c>
      <c r="G87" s="90">
        <f>IF(A87="","",DATE(YEAR(A87),MONTH(A87),1))</f>
        <v/>
      </c>
      <c r="H87" s="87" t="n"/>
      <c r="I87" s="87" t="n"/>
      <c r="J87" s="91" t="inlineStr">
        <is>
          <t>TICKETMASTER</t>
        </is>
      </c>
      <c r="K87" s="91" t="inlineStr">
        <is>
          <t>Sample Card Co</t>
        </is>
      </c>
      <c r="L87" s="91" t="inlineStr">
        <is>
          <t>Credit Card</t>
        </is>
      </c>
      <c r="M87" s="91" t="inlineStr">
        <is>
          <t>Visa_Statement.csv</t>
        </is>
      </c>
      <c r="N87" s="91" t="inlineStr">
        <is>
          <t>2026-10-15 20:14:07</t>
        </is>
      </c>
      <c r="O87" s="91" t="n"/>
      <c r="P87" s="91" t="inlineStr">
        <is>
          <t>REWARDS VISA|20260821|-5219|TICKETMASTER#1</t>
        </is>
      </c>
      <c r="Q87" s="92">
        <f>IF(AND(G87=RptMonth,F87="Expense",N(E87)&lt;0),-E87+ROW()/10000000,"")</f>
        <v/>
      </c>
    </row>
    <row r="88">
      <c r="A88" s="86" t="n">
        <v>46254</v>
      </c>
      <c r="B88" s="87" t="inlineStr">
        <is>
          <t>Everyday Checking</t>
        </is>
      </c>
      <c r="C88" s="87" t="inlineStr">
        <is>
          <t>CREDIT CARD PAYMENT REWARDS VISA</t>
        </is>
      </c>
      <c r="D88" s="87" t="inlineStr">
        <is>
          <t>Credit Card Payment</t>
        </is>
      </c>
      <c r="E88" s="88" t="n">
        <v>-1808.34</v>
      </c>
      <c r="F88" s="89">
        <f>IF(E88="","",IF(OR(D88="",D88="Uncategorized"),IF(E88&lt;0,"Expense","Income"),IFERROR(INDEX(Categories!$B$6:$B$65,MATCH(D88,Categories!$A$6:$A$65,0)),IF(E88&lt;0,"Expense","Income"))))</f>
        <v/>
      </c>
      <c r="G88" s="90">
        <f>IF(A88="","",DATE(YEAR(A88),MONTH(A88),1))</f>
        <v/>
      </c>
      <c r="H88" s="87" t="n"/>
      <c r="I88" s="87" t="n"/>
      <c r="J88" s="91" t="inlineStr">
        <is>
          <t>CREDIT CARD PAYMENT REWARDS VISA</t>
        </is>
      </c>
      <c r="K88" s="91" t="inlineStr">
        <is>
          <t>Sample Bank</t>
        </is>
      </c>
      <c r="L88" s="91" t="inlineStr">
        <is>
          <t>Checking</t>
        </is>
      </c>
      <c r="M88" s="91" t="inlineStr">
        <is>
          <t>Checking_Activity.csv</t>
        </is>
      </c>
      <c r="N88" s="91" t="inlineStr">
        <is>
          <t>2026-10-15 20:14:07</t>
        </is>
      </c>
      <c r="O88" s="91" t="n"/>
      <c r="P88" s="91" t="inlineStr">
        <is>
          <t>EVERYDAY CHECKING|20260820|-180834|CREDITCARDPAYMENTREWARDSVISA#1</t>
        </is>
      </c>
      <c r="Q88" s="92">
        <f>IF(AND(G88=RptMonth,F88="Expense",N(E88)&lt;0),-E88+ROW()/10000000,"")</f>
        <v/>
      </c>
    </row>
    <row r="89">
      <c r="A89" s="86" t="n">
        <v>46254</v>
      </c>
      <c r="B89" s="87" t="inlineStr">
        <is>
          <t>Rewards Visa</t>
        </is>
      </c>
      <c r="C89" s="87" t="inlineStr">
        <is>
          <t>PAYMENT THANK YOU</t>
        </is>
      </c>
      <c r="D89" s="87" t="inlineStr">
        <is>
          <t>Credit Card Payment</t>
        </is>
      </c>
      <c r="E89" s="88" t="n">
        <v>1808.34</v>
      </c>
      <c r="F89" s="89">
        <f>IF(E89="","",IF(OR(D89="",D89="Uncategorized"),IF(E89&lt;0,"Expense","Income"),IFERROR(INDEX(Categories!$B$6:$B$65,MATCH(D89,Categories!$A$6:$A$65,0)),IF(E89&lt;0,"Expense","Income"))))</f>
        <v/>
      </c>
      <c r="G89" s="90">
        <f>IF(A89="","",DATE(YEAR(A89),MONTH(A89),1))</f>
        <v/>
      </c>
      <c r="H89" s="87" t="n"/>
      <c r="I89" s="87" t="n"/>
      <c r="J89" s="91" t="inlineStr">
        <is>
          <t>PAYMENT THANK YOU</t>
        </is>
      </c>
      <c r="K89" s="91" t="inlineStr">
        <is>
          <t>Sample Card Co</t>
        </is>
      </c>
      <c r="L89" s="91" t="inlineStr">
        <is>
          <t>Credit Card</t>
        </is>
      </c>
      <c r="M89" s="91" t="inlineStr">
        <is>
          <t>Visa_Statement.csv</t>
        </is>
      </c>
      <c r="N89" s="91" t="inlineStr">
        <is>
          <t>2026-10-15 20:14:07</t>
        </is>
      </c>
      <c r="O89" s="91" t="n"/>
      <c r="P89" s="91" t="inlineStr">
        <is>
          <t>REWARDS VISA|20260820|180834|PAYMENTTHANKYOU#1</t>
        </is>
      </c>
      <c r="Q89" s="92">
        <f>IF(AND(G89=RptMonth,F89="Expense",N(E89)&lt;0),-E89+ROW()/10000000,"")</f>
        <v/>
      </c>
    </row>
    <row r="90">
      <c r="A90" s="86" t="n">
        <v>46253</v>
      </c>
      <c r="B90" s="87" t="inlineStr">
        <is>
          <t>Rewards Visa</t>
        </is>
      </c>
      <c r="C90" s="87" t="inlineStr">
        <is>
          <t>TRADER JOE'S #548</t>
        </is>
      </c>
      <c r="D90" s="87" t="inlineStr">
        <is>
          <t>Groceries</t>
        </is>
      </c>
      <c r="E90" s="88" t="n">
        <v>-47.21</v>
      </c>
      <c r="F90" s="89">
        <f>IF(E90="","",IF(OR(D90="",D90="Uncategorized"),IF(E90&lt;0,"Expense","Income"),IFERROR(INDEX(Categories!$B$6:$B$65,MATCH(D90,Categories!$A$6:$A$65,0)),IF(E90&lt;0,"Expense","Income"))))</f>
        <v/>
      </c>
      <c r="G90" s="90">
        <f>IF(A90="","",DATE(YEAR(A90),MONTH(A90),1))</f>
        <v/>
      </c>
      <c r="H90" s="87" t="n"/>
      <c r="I90" s="87" t="n"/>
      <c r="J90" s="91" t="inlineStr">
        <is>
          <t>TRADER JOE'S #548</t>
        </is>
      </c>
      <c r="K90" s="91" t="inlineStr">
        <is>
          <t>Sample Card Co</t>
        </is>
      </c>
      <c r="L90" s="91" t="inlineStr">
        <is>
          <t>Credit Card</t>
        </is>
      </c>
      <c r="M90" s="91" t="inlineStr">
        <is>
          <t>Visa_Statement.csv</t>
        </is>
      </c>
      <c r="N90" s="91" t="inlineStr">
        <is>
          <t>2026-10-15 20:14:07</t>
        </is>
      </c>
      <c r="O90" s="91" t="n"/>
      <c r="P90" s="91" t="inlineStr">
        <is>
          <t>REWARDS VISA|20260819|-4721|TRADERJOES548#1</t>
        </is>
      </c>
      <c r="Q90" s="92">
        <f>IF(AND(G90=RptMonth,F90="Expense",N(E90)&lt;0),-E90+ROW()/10000000,"")</f>
        <v/>
      </c>
    </row>
    <row r="91">
      <c r="A91" s="86" t="n">
        <v>46252</v>
      </c>
      <c r="B91" s="87" t="inlineStr">
        <is>
          <t>Everyday Checking</t>
        </is>
      </c>
      <c r="C91" s="87" t="inlineStr">
        <is>
          <t>SAMPLE LOAN SERVICER STUDENT LOAN</t>
        </is>
      </c>
      <c r="D91" s="87" t="inlineStr">
        <is>
          <t>Loan Payments</t>
        </is>
      </c>
      <c r="E91" s="88" t="n">
        <v>-260</v>
      </c>
      <c r="F91" s="89">
        <f>IF(E91="","",IF(OR(D91="",D91="Uncategorized"),IF(E91&lt;0,"Expense","Income"),IFERROR(INDEX(Categories!$B$6:$B$65,MATCH(D91,Categories!$A$6:$A$65,0)),IF(E91&lt;0,"Expense","Income"))))</f>
        <v/>
      </c>
      <c r="G91" s="90">
        <f>IF(A91="","",DATE(YEAR(A91),MONTH(A91),1))</f>
        <v/>
      </c>
      <c r="H91" s="87" t="n"/>
      <c r="I91" s="87" t="n"/>
      <c r="J91" s="91" t="inlineStr">
        <is>
          <t>SAMPLE LOAN SERVICER STUDENT LOAN</t>
        </is>
      </c>
      <c r="K91" s="91" t="inlineStr">
        <is>
          <t>Sample Bank</t>
        </is>
      </c>
      <c r="L91" s="91" t="inlineStr">
        <is>
          <t>Checking</t>
        </is>
      </c>
      <c r="M91" s="91" t="inlineStr">
        <is>
          <t>Checking_Activity.csv</t>
        </is>
      </c>
      <c r="N91" s="91" t="inlineStr">
        <is>
          <t>2026-10-15 20:14:07</t>
        </is>
      </c>
      <c r="O91" s="91" t="n"/>
      <c r="P91" s="91" t="inlineStr">
        <is>
          <t>EVERYDAY CHECKING|20260818|-26000|SAMPLELOANSERVICERSTUDENTLOAN#1</t>
        </is>
      </c>
      <c r="Q91" s="92">
        <f>IF(AND(G91=RptMonth,F91="Expense",N(E91)&lt;0),-E91+ROW()/10000000,"")</f>
        <v/>
      </c>
    </row>
    <row r="92">
      <c r="A92" s="86" t="n">
        <v>46252</v>
      </c>
      <c r="B92" s="87" t="inlineStr">
        <is>
          <t>Rewards Visa</t>
        </is>
      </c>
      <c r="C92" s="87" t="inlineStr">
        <is>
          <t>EXXONMOBIL 4471</t>
        </is>
      </c>
      <c r="D92" s="87" t="inlineStr">
        <is>
          <t>Gas &amp; Fuel</t>
        </is>
      </c>
      <c r="E92" s="88" t="n">
        <v>-43.37</v>
      </c>
      <c r="F92" s="89">
        <f>IF(E92="","",IF(OR(D92="",D92="Uncategorized"),IF(E92&lt;0,"Expense","Income"),IFERROR(INDEX(Categories!$B$6:$B$65,MATCH(D92,Categories!$A$6:$A$65,0)),IF(E92&lt;0,"Expense","Income"))))</f>
        <v/>
      </c>
      <c r="G92" s="90">
        <f>IF(A92="","",DATE(YEAR(A92),MONTH(A92),1))</f>
        <v/>
      </c>
      <c r="H92" s="87" t="n"/>
      <c r="I92" s="87" t="n"/>
      <c r="J92" s="91" t="inlineStr">
        <is>
          <t>EXXONMOBIL 4471</t>
        </is>
      </c>
      <c r="K92" s="91" t="inlineStr">
        <is>
          <t>Sample Card Co</t>
        </is>
      </c>
      <c r="L92" s="91" t="inlineStr">
        <is>
          <t>Credit Card</t>
        </is>
      </c>
      <c r="M92" s="91" t="inlineStr">
        <is>
          <t>Visa_Statement.csv</t>
        </is>
      </c>
      <c r="N92" s="91" t="inlineStr">
        <is>
          <t>2026-10-15 20:14:07</t>
        </is>
      </c>
      <c r="O92" s="91" t="n"/>
      <c r="P92" s="91" t="inlineStr">
        <is>
          <t>REWARDS VISA|20260818|-4337|EXXONMOBIL4471#1</t>
        </is>
      </c>
      <c r="Q92" s="92">
        <f>IF(AND(G92=RptMonth,F92="Expense",N(E92)&lt;0),-E92+ROW()/10000000,"")</f>
        <v/>
      </c>
    </row>
    <row r="93">
      <c r="A93" s="86" t="n">
        <v>46250</v>
      </c>
      <c r="B93" s="87" t="inlineStr">
        <is>
          <t>Rewards Visa</t>
        </is>
      </c>
      <c r="C93" s="87" t="inlineStr">
        <is>
          <t>OLD NAVY ONLINE</t>
        </is>
      </c>
      <c r="D93" s="87" t="inlineStr">
        <is>
          <t>Shopping</t>
        </is>
      </c>
      <c r="E93" s="88" t="n">
        <v>-43.62</v>
      </c>
      <c r="F93" s="89">
        <f>IF(E93="","",IF(OR(D93="",D93="Uncategorized"),IF(E93&lt;0,"Expense","Income"),IFERROR(INDEX(Categories!$B$6:$B$65,MATCH(D93,Categories!$A$6:$A$65,0)),IF(E93&lt;0,"Expense","Income"))))</f>
        <v/>
      </c>
      <c r="G93" s="90">
        <f>IF(A93="","",DATE(YEAR(A93),MONTH(A93),1))</f>
        <v/>
      </c>
      <c r="H93" s="87" t="n"/>
      <c r="I93" s="87" t="n"/>
      <c r="J93" s="91" t="inlineStr">
        <is>
          <t>OLD NAVY ONLINE</t>
        </is>
      </c>
      <c r="K93" s="91" t="inlineStr">
        <is>
          <t>Sample Card Co</t>
        </is>
      </c>
      <c r="L93" s="91" t="inlineStr">
        <is>
          <t>Credit Card</t>
        </is>
      </c>
      <c r="M93" s="91" t="inlineStr">
        <is>
          <t>Visa_Statement.csv</t>
        </is>
      </c>
      <c r="N93" s="91" t="inlineStr">
        <is>
          <t>2026-10-15 20:14:07</t>
        </is>
      </c>
      <c r="O93" s="91" t="n"/>
      <c r="P93" s="91" t="inlineStr">
        <is>
          <t>REWARDS VISA|20260816|-4362|OLDNAVYONLINE#1</t>
        </is>
      </c>
      <c r="Q93" s="92">
        <f>IF(AND(G93=RptMonth,F93="Expense",N(E93)&lt;0),-E93+ROW()/10000000,"")</f>
        <v/>
      </c>
    </row>
    <row r="94">
      <c r="A94" s="86" t="n">
        <v>46250</v>
      </c>
      <c r="B94" s="87" t="inlineStr">
        <is>
          <t>Rewards Visa</t>
        </is>
      </c>
      <c r="C94" s="87" t="inlineStr">
        <is>
          <t>PLANET FITNESS</t>
        </is>
      </c>
      <c r="D94" s="87" t="inlineStr">
        <is>
          <t>Health &amp; Fitness</t>
        </is>
      </c>
      <c r="E94" s="88" t="n">
        <v>-24.99</v>
      </c>
      <c r="F94" s="89">
        <f>IF(E94="","",IF(OR(D94="",D94="Uncategorized"),IF(E94&lt;0,"Expense","Income"),IFERROR(INDEX(Categories!$B$6:$B$65,MATCH(D94,Categories!$A$6:$A$65,0)),IF(E94&lt;0,"Expense","Income"))))</f>
        <v/>
      </c>
      <c r="G94" s="90">
        <f>IF(A94="","",DATE(YEAR(A94),MONTH(A94),1))</f>
        <v/>
      </c>
      <c r="H94" s="87" t="n"/>
      <c r="I94" s="87" t="n"/>
      <c r="J94" s="91" t="inlineStr">
        <is>
          <t>PLANET FITNESS</t>
        </is>
      </c>
      <c r="K94" s="91" t="inlineStr">
        <is>
          <t>Sample Card Co</t>
        </is>
      </c>
      <c r="L94" s="91" t="inlineStr">
        <is>
          <t>Credit Card</t>
        </is>
      </c>
      <c r="M94" s="91" t="inlineStr">
        <is>
          <t>Visa_Statement.csv</t>
        </is>
      </c>
      <c r="N94" s="91" t="inlineStr">
        <is>
          <t>2026-10-15 20:14:07</t>
        </is>
      </c>
      <c r="O94" s="91" t="n"/>
      <c r="P94" s="91" t="inlineStr">
        <is>
          <t>REWARDS VISA|20260816|-2499|PLANETFITNESS#1</t>
        </is>
      </c>
      <c r="Q94" s="92">
        <f>IF(AND(G94=RptMonth,F94="Expense",N(E94)&lt;0),-E94+ROW()/10000000,"")</f>
        <v/>
      </c>
    </row>
    <row r="95">
      <c r="A95" s="86" t="n">
        <v>46249</v>
      </c>
      <c r="B95" s="87" t="inlineStr">
        <is>
          <t>Everyday Checking</t>
        </is>
      </c>
      <c r="C95" s="87" t="inlineStr">
        <is>
          <t>XFINITY INTERNET</t>
        </is>
      </c>
      <c r="D95" s="87" t="inlineStr">
        <is>
          <t>Phone &amp; Internet</t>
        </is>
      </c>
      <c r="E95" s="88" t="n">
        <v>-79.98999999999999</v>
      </c>
      <c r="F95" s="89">
        <f>IF(E95="","",IF(OR(D95="",D95="Uncategorized"),IF(E95&lt;0,"Expense","Income"),IFERROR(INDEX(Categories!$B$6:$B$65,MATCH(D95,Categories!$A$6:$A$65,0)),IF(E95&lt;0,"Expense","Income"))))</f>
        <v/>
      </c>
      <c r="G95" s="90">
        <f>IF(A95="","",DATE(YEAR(A95),MONTH(A95),1))</f>
        <v/>
      </c>
      <c r="H95" s="87" t="n"/>
      <c r="I95" s="87" t="n"/>
      <c r="J95" s="91" t="inlineStr">
        <is>
          <t>XFINITY INTERNET</t>
        </is>
      </c>
      <c r="K95" s="91" t="inlineStr">
        <is>
          <t>Sample Bank</t>
        </is>
      </c>
      <c r="L95" s="91" t="inlineStr">
        <is>
          <t>Checking</t>
        </is>
      </c>
      <c r="M95" s="91" t="inlineStr">
        <is>
          <t>Checking_Activity.csv</t>
        </is>
      </c>
      <c r="N95" s="91" t="inlineStr">
        <is>
          <t>2026-10-15 20:14:07</t>
        </is>
      </c>
      <c r="O95" s="91" t="n"/>
      <c r="P95" s="91" t="inlineStr">
        <is>
          <t>EVERYDAY CHECKING|20260815|-7999|XFINITYINTERNET#1</t>
        </is>
      </c>
      <c r="Q95" s="92">
        <f>IF(AND(G95=RptMonth,F95="Expense",N(E95)&lt;0),-E95+ROW()/10000000,"")</f>
        <v/>
      </c>
    </row>
    <row r="96">
      <c r="A96" s="86" t="n">
        <v>46249</v>
      </c>
      <c r="B96" s="87" t="inlineStr">
        <is>
          <t>Rewards Visa</t>
        </is>
      </c>
      <c r="C96" s="87" t="inlineStr">
        <is>
          <t>H MART #112</t>
        </is>
      </c>
      <c r="D96" s="87" t="inlineStr">
        <is>
          <t>Groceries</t>
        </is>
      </c>
      <c r="E96" s="88" t="n">
        <v>-91.95999999999999</v>
      </c>
      <c r="F96" s="89">
        <f>IF(E96="","",IF(OR(D96="",D96="Uncategorized"),IF(E96&lt;0,"Expense","Income"),IFERROR(INDEX(Categories!$B$6:$B$65,MATCH(D96,Categories!$A$6:$A$65,0)),IF(E96&lt;0,"Expense","Income"))))</f>
        <v/>
      </c>
      <c r="G96" s="90">
        <f>IF(A96="","",DATE(YEAR(A96),MONTH(A96),1))</f>
        <v/>
      </c>
      <c r="H96" s="87" t="n"/>
      <c r="I96" s="87" t="n"/>
      <c r="J96" s="91" t="inlineStr">
        <is>
          <t>H MART #112</t>
        </is>
      </c>
      <c r="K96" s="91" t="inlineStr">
        <is>
          <t>Sample Card Co</t>
        </is>
      </c>
      <c r="L96" s="91" t="inlineStr">
        <is>
          <t>Credit Card</t>
        </is>
      </c>
      <c r="M96" s="91" t="inlineStr">
        <is>
          <t>Visa_Statement.csv</t>
        </is>
      </c>
      <c r="N96" s="91" t="inlineStr">
        <is>
          <t>2026-10-15 20:14:07</t>
        </is>
      </c>
      <c r="O96" s="91" t="n"/>
      <c r="P96" s="91" t="inlineStr">
        <is>
          <t>REWARDS VISA|20260815|-9196|HMART112#1</t>
        </is>
      </c>
      <c r="Q96" s="92">
        <f>IF(AND(G96=RptMonth,F96="Expense",N(E96)&lt;0),-E96+ROW()/10000000,"")</f>
        <v/>
      </c>
    </row>
    <row r="97">
      <c r="A97" s="86" t="n">
        <v>46249</v>
      </c>
      <c r="B97" s="87" t="inlineStr">
        <is>
          <t>Rewards Visa</t>
        </is>
      </c>
      <c r="C97" s="87" t="inlineStr">
        <is>
          <t>SUSHI KOO</t>
        </is>
      </c>
      <c r="D97" s="87" t="inlineStr">
        <is>
          <t>Dining Out</t>
        </is>
      </c>
      <c r="E97" s="88" t="n">
        <v>-7.22</v>
      </c>
      <c r="F97" s="89">
        <f>IF(E97="","",IF(OR(D97="",D97="Uncategorized"),IF(E97&lt;0,"Expense","Income"),IFERROR(INDEX(Categories!$B$6:$B$65,MATCH(D97,Categories!$A$6:$A$65,0)),IF(E97&lt;0,"Expense","Income"))))</f>
        <v/>
      </c>
      <c r="G97" s="90">
        <f>IF(A97="","",DATE(YEAR(A97),MONTH(A97),1))</f>
        <v/>
      </c>
      <c r="H97" s="87" t="n"/>
      <c r="I97" s="87" t="n"/>
      <c r="J97" s="91" t="inlineStr">
        <is>
          <t>SUSHI KOO</t>
        </is>
      </c>
      <c r="K97" s="91" t="inlineStr">
        <is>
          <t>Sample Card Co</t>
        </is>
      </c>
      <c r="L97" s="91" t="inlineStr">
        <is>
          <t>Credit Card</t>
        </is>
      </c>
      <c r="M97" s="91" t="inlineStr">
        <is>
          <t>Visa_Statement.csv</t>
        </is>
      </c>
      <c r="N97" s="91" t="inlineStr">
        <is>
          <t>2026-10-15 20:14:07</t>
        </is>
      </c>
      <c r="O97" s="91" t="n"/>
      <c r="P97" s="91" t="inlineStr">
        <is>
          <t>REWARDS VISA|20260815|-722|SUSHIKOO#1</t>
        </is>
      </c>
      <c r="Q97" s="92">
        <f>IF(AND(G97=RptMonth,F97="Expense",N(E97)&lt;0),-E97+ROW()/10000000,"")</f>
        <v/>
      </c>
    </row>
    <row r="98">
      <c r="A98" s="86" t="n">
        <v>46248</v>
      </c>
      <c r="B98" s="87" t="inlineStr">
        <is>
          <t>Everyday Checking</t>
        </is>
      </c>
      <c r="C98" s="87" t="inlineStr">
        <is>
          <t>CITY WATER UTILITY</t>
        </is>
      </c>
      <c r="D98" s="87" t="inlineStr">
        <is>
          <t>Utilities</t>
        </is>
      </c>
      <c r="E98" s="88" t="n">
        <v>-62.96</v>
      </c>
      <c r="F98" s="89">
        <f>IF(E98="","",IF(OR(D98="",D98="Uncategorized"),IF(E98&lt;0,"Expense","Income"),IFERROR(INDEX(Categories!$B$6:$B$65,MATCH(D98,Categories!$A$6:$A$65,0)),IF(E98&lt;0,"Expense","Income"))))</f>
        <v/>
      </c>
      <c r="G98" s="90">
        <f>IF(A98="","",DATE(YEAR(A98),MONTH(A98),1))</f>
        <v/>
      </c>
      <c r="H98" s="87" t="n"/>
      <c r="I98" s="87" t="n"/>
      <c r="J98" s="91" t="inlineStr">
        <is>
          <t>CITY WATER UTILITY</t>
        </is>
      </c>
      <c r="K98" s="91" t="inlineStr">
        <is>
          <t>Sample Bank</t>
        </is>
      </c>
      <c r="L98" s="91" t="inlineStr">
        <is>
          <t>Checking</t>
        </is>
      </c>
      <c r="M98" s="91" t="inlineStr">
        <is>
          <t>Checking_Activity.csv</t>
        </is>
      </c>
      <c r="N98" s="91" t="inlineStr">
        <is>
          <t>2026-10-15 20:14:07</t>
        </is>
      </c>
      <c r="O98" s="91" t="n"/>
      <c r="P98" s="91" t="inlineStr">
        <is>
          <t>EVERYDAY CHECKING|20260814|-6296|CITYWATERUTILITY#1</t>
        </is>
      </c>
      <c r="Q98" s="92">
        <f>IF(AND(G98=RptMonth,F98="Expense",N(E98)&lt;0),-E98+ROW()/10000000,"")</f>
        <v/>
      </c>
    </row>
    <row r="99">
      <c r="A99" s="86" t="n">
        <v>46248</v>
      </c>
      <c r="B99" s="87" t="inlineStr">
        <is>
          <t>Rewards Visa</t>
        </is>
      </c>
      <c r="C99" s="87" t="inlineStr">
        <is>
          <t>BLUE MOON DINER</t>
        </is>
      </c>
      <c r="D99" s="87" t="inlineStr">
        <is>
          <t>Dining Out</t>
        </is>
      </c>
      <c r="E99" s="88" t="n">
        <v>-28.42</v>
      </c>
      <c r="F99" s="89">
        <f>IF(E99="","",IF(OR(D99="",D99="Uncategorized"),IF(E99&lt;0,"Expense","Income"),IFERROR(INDEX(Categories!$B$6:$B$65,MATCH(D99,Categories!$A$6:$A$65,0)),IF(E99&lt;0,"Expense","Income"))))</f>
        <v/>
      </c>
      <c r="G99" s="90">
        <f>IF(A99="","",DATE(YEAR(A99),MONTH(A99),1))</f>
        <v/>
      </c>
      <c r="H99" s="87" t="n"/>
      <c r="I99" s="87" t="n"/>
      <c r="J99" s="91" t="inlineStr">
        <is>
          <t>BLUE MOON DINER</t>
        </is>
      </c>
      <c r="K99" s="91" t="inlineStr">
        <is>
          <t>Sample Card Co</t>
        </is>
      </c>
      <c r="L99" s="91" t="inlineStr">
        <is>
          <t>Credit Card</t>
        </is>
      </c>
      <c r="M99" s="91" t="inlineStr">
        <is>
          <t>Visa_Statement.csv</t>
        </is>
      </c>
      <c r="N99" s="91" t="inlineStr">
        <is>
          <t>2026-10-15 20:14:07</t>
        </is>
      </c>
      <c r="O99" s="91" t="n"/>
      <c r="P99" s="91" t="inlineStr">
        <is>
          <t>REWARDS VISA|20260814|-2842|BLUEMOONDINER#1</t>
        </is>
      </c>
      <c r="Q99" s="92">
        <f>IF(AND(G99=RptMonth,F99="Expense",N(E99)&lt;0),-E99+ROW()/10000000,"")</f>
        <v/>
      </c>
    </row>
    <row r="100">
      <c r="A100" s="86" t="n">
        <v>46248</v>
      </c>
      <c r="B100" s="87" t="inlineStr">
        <is>
          <t>Rewards Visa</t>
        </is>
      </c>
      <c r="C100" s="87" t="inlineStr">
        <is>
          <t>SHELL OIL 57444</t>
        </is>
      </c>
      <c r="D100" s="87" t="inlineStr">
        <is>
          <t>Gas &amp; Fuel</t>
        </is>
      </c>
      <c r="E100" s="88" t="n">
        <v>-50.32</v>
      </c>
      <c r="F100" s="89">
        <f>IF(E100="","",IF(OR(D100="",D100="Uncategorized"),IF(E100&lt;0,"Expense","Income"),IFERROR(INDEX(Categories!$B$6:$B$65,MATCH(D100,Categories!$A$6:$A$65,0)),IF(E100&lt;0,"Expense","Income"))))</f>
        <v/>
      </c>
      <c r="G100" s="90">
        <f>IF(A100="","",DATE(YEAR(A100),MONTH(A100),1))</f>
        <v/>
      </c>
      <c r="H100" s="87" t="n"/>
      <c r="I100" s="87" t="n"/>
      <c r="J100" s="91" t="inlineStr">
        <is>
          <t>SHELL OIL 57444</t>
        </is>
      </c>
      <c r="K100" s="91" t="inlineStr">
        <is>
          <t>Sample Card Co</t>
        </is>
      </c>
      <c r="L100" s="91" t="inlineStr">
        <is>
          <t>Credit Card</t>
        </is>
      </c>
      <c r="M100" s="91" t="inlineStr">
        <is>
          <t>Visa_Statement.csv</t>
        </is>
      </c>
      <c r="N100" s="91" t="inlineStr">
        <is>
          <t>2026-10-15 20:14:07</t>
        </is>
      </c>
      <c r="O100" s="91" t="n"/>
      <c r="P100" s="91" t="inlineStr">
        <is>
          <t>REWARDS VISA|20260814|-5032|SHELLOIL57444#1</t>
        </is>
      </c>
      <c r="Q100" s="92">
        <f>IF(AND(G100=RptMonth,F100="Expense",N(E100)&lt;0),-E100+ROW()/10000000,"")</f>
        <v/>
      </c>
    </row>
    <row r="101">
      <c r="A101" s="86" t="n">
        <v>46246</v>
      </c>
      <c r="B101" s="87" t="inlineStr">
        <is>
          <t>Everyday Checking</t>
        </is>
      </c>
      <c r="C101" s="87" t="inlineStr">
        <is>
          <t>VERIZON WIRELESS</t>
        </is>
      </c>
      <c r="D101" s="87" t="inlineStr">
        <is>
          <t>Phone &amp; Internet</t>
        </is>
      </c>
      <c r="E101" s="88" t="n">
        <v>-95</v>
      </c>
      <c r="F101" s="89">
        <f>IF(E101="","",IF(OR(D101="",D101="Uncategorized"),IF(E101&lt;0,"Expense","Income"),IFERROR(INDEX(Categories!$B$6:$B$65,MATCH(D101,Categories!$A$6:$A$65,0)),IF(E101&lt;0,"Expense","Income"))))</f>
        <v/>
      </c>
      <c r="G101" s="90">
        <f>IF(A101="","",DATE(YEAR(A101),MONTH(A101),1))</f>
        <v/>
      </c>
      <c r="H101" s="87" t="n"/>
      <c r="I101" s="87" t="n"/>
      <c r="J101" s="91" t="inlineStr">
        <is>
          <t>VERIZON WIRELESS</t>
        </is>
      </c>
      <c r="K101" s="91" t="inlineStr">
        <is>
          <t>Sample Bank</t>
        </is>
      </c>
      <c r="L101" s="91" t="inlineStr">
        <is>
          <t>Checking</t>
        </is>
      </c>
      <c r="M101" s="91" t="inlineStr">
        <is>
          <t>Checking_Activity.csv</t>
        </is>
      </c>
      <c r="N101" s="91" t="inlineStr">
        <is>
          <t>2026-10-15 20:14:07</t>
        </is>
      </c>
      <c r="O101" s="91" t="n"/>
      <c r="P101" s="91" t="inlineStr">
        <is>
          <t>EVERYDAY CHECKING|20260812|-9500|VERIZONWIRELESS#1</t>
        </is>
      </c>
      <c r="Q101" s="92">
        <f>IF(AND(G101=RptMonth,F101="Expense",N(E101)&lt;0),-E101+ROW()/10000000,"")</f>
        <v/>
      </c>
    </row>
    <row r="102">
      <c r="A102" s="86" t="n">
        <v>46246</v>
      </c>
      <c r="B102" s="87" t="inlineStr">
        <is>
          <t>Rewards Visa</t>
        </is>
      </c>
      <c r="C102" s="87" t="inlineStr">
        <is>
          <t>SHOPRITE #0234</t>
        </is>
      </c>
      <c r="D102" s="87" t="inlineStr">
        <is>
          <t>Groceries</t>
        </is>
      </c>
      <c r="E102" s="88" t="n">
        <v>-38.61</v>
      </c>
      <c r="F102" s="89">
        <f>IF(E102="","",IF(OR(D102="",D102="Uncategorized"),IF(E102&lt;0,"Expense","Income"),IFERROR(INDEX(Categories!$B$6:$B$65,MATCH(D102,Categories!$A$6:$A$65,0)),IF(E102&lt;0,"Expense","Income"))))</f>
        <v/>
      </c>
      <c r="G102" s="90">
        <f>IF(A102="","",DATE(YEAR(A102),MONTH(A102),1))</f>
        <v/>
      </c>
      <c r="H102" s="87" t="n"/>
      <c r="I102" s="87" t="n"/>
      <c r="J102" s="91" t="inlineStr">
        <is>
          <t>SHOPRITE #0234</t>
        </is>
      </c>
      <c r="K102" s="91" t="inlineStr">
        <is>
          <t>Sample Card Co</t>
        </is>
      </c>
      <c r="L102" s="91" t="inlineStr">
        <is>
          <t>Credit Card</t>
        </is>
      </c>
      <c r="M102" s="91" t="inlineStr">
        <is>
          <t>Visa_Statement.csv</t>
        </is>
      </c>
      <c r="N102" s="91" t="inlineStr">
        <is>
          <t>2026-10-15 20:14:07</t>
        </is>
      </c>
      <c r="O102" s="91" t="n"/>
      <c r="P102" s="91" t="inlineStr">
        <is>
          <t>REWARDS VISA|20260812|-3861|SHOPRITE0234#1</t>
        </is>
      </c>
      <c r="Q102" s="92">
        <f>IF(AND(G102=RptMonth,F102="Expense",N(E102)&lt;0),-E102+ROW()/10000000,"")</f>
        <v/>
      </c>
    </row>
    <row r="103">
      <c r="A103" s="86" t="n">
        <v>46245</v>
      </c>
      <c r="B103" s="87" t="inlineStr">
        <is>
          <t>Rewards Visa</t>
        </is>
      </c>
      <c r="C103" s="87" t="inlineStr">
        <is>
          <t>APPLE.COM/BILL</t>
        </is>
      </c>
      <c r="D103" s="87" t="inlineStr">
        <is>
          <t>Subscriptions</t>
        </is>
      </c>
      <c r="E103" s="88" t="n">
        <v>-2.99</v>
      </c>
      <c r="F103" s="89">
        <f>IF(E103="","",IF(OR(D103="",D103="Uncategorized"),IF(E103&lt;0,"Expense","Income"),IFERROR(INDEX(Categories!$B$6:$B$65,MATCH(D103,Categories!$A$6:$A$65,0)),IF(E103&lt;0,"Expense","Income"))))</f>
        <v/>
      </c>
      <c r="G103" s="90">
        <f>IF(A103="","",DATE(YEAR(A103),MONTH(A103),1))</f>
        <v/>
      </c>
      <c r="H103" s="87" t="n"/>
      <c r="I103" s="87" t="n"/>
      <c r="J103" s="91" t="inlineStr">
        <is>
          <t>APPLE.COM/BILL</t>
        </is>
      </c>
      <c r="K103" s="91" t="inlineStr">
        <is>
          <t>Sample Card Co</t>
        </is>
      </c>
      <c r="L103" s="91" t="inlineStr">
        <is>
          <t>Credit Card</t>
        </is>
      </c>
      <c r="M103" s="91" t="inlineStr">
        <is>
          <t>Visa_Statement.csv</t>
        </is>
      </c>
      <c r="N103" s="91" t="inlineStr">
        <is>
          <t>2026-10-15 20:14:07</t>
        </is>
      </c>
      <c r="O103" s="91" t="n"/>
      <c r="P103" s="91" t="inlineStr">
        <is>
          <t>REWARDS VISA|20260811|-299|APPLECOMBILL#1</t>
        </is>
      </c>
      <c r="Q103" s="92">
        <f>IF(AND(G103=RptMonth,F103="Expense",N(E103)&lt;0),-E103+ROW()/10000000,"")</f>
        <v/>
      </c>
    </row>
    <row r="104">
      <c r="A104" s="86" t="n">
        <v>46245</v>
      </c>
      <c r="B104" s="87" t="inlineStr">
        <is>
          <t>Rewards Visa</t>
        </is>
      </c>
      <c r="C104" s="87" t="inlineStr">
        <is>
          <t>SHELL OIL 57444</t>
        </is>
      </c>
      <c r="D104" s="87" t="inlineStr">
        <is>
          <t>Gas &amp; Fuel</t>
        </is>
      </c>
      <c r="E104" s="88" t="n">
        <v>-44.81</v>
      </c>
      <c r="F104" s="89">
        <f>IF(E104="","",IF(OR(D104="",D104="Uncategorized"),IF(E104&lt;0,"Expense","Income"),IFERROR(INDEX(Categories!$B$6:$B$65,MATCH(D104,Categories!$A$6:$A$65,0)),IF(E104&lt;0,"Expense","Income"))))</f>
        <v/>
      </c>
      <c r="G104" s="90">
        <f>IF(A104="","",DATE(YEAR(A104),MONTH(A104),1))</f>
        <v/>
      </c>
      <c r="H104" s="87" t="n"/>
      <c r="I104" s="87" t="n"/>
      <c r="J104" s="91" t="inlineStr">
        <is>
          <t>SHELL OIL 57444</t>
        </is>
      </c>
      <c r="K104" s="91" t="inlineStr">
        <is>
          <t>Sample Card Co</t>
        </is>
      </c>
      <c r="L104" s="91" t="inlineStr">
        <is>
          <t>Credit Card</t>
        </is>
      </c>
      <c r="M104" s="91" t="inlineStr">
        <is>
          <t>Visa_Statement.csv</t>
        </is>
      </c>
      <c r="N104" s="91" t="inlineStr">
        <is>
          <t>2026-10-15 20:14:07</t>
        </is>
      </c>
      <c r="O104" s="91" t="n"/>
      <c r="P104" s="91" t="inlineStr">
        <is>
          <t>REWARDS VISA|20260811|-4481|SHELLOIL57444#1</t>
        </is>
      </c>
      <c r="Q104" s="92">
        <f>IF(AND(G104=RptMonth,F104="Expense",N(E104)&lt;0),-E104+ROW()/10000000,"")</f>
        <v/>
      </c>
    </row>
    <row r="105">
      <c r="A105" s="86" t="n">
        <v>46245</v>
      </c>
      <c r="B105" s="87" t="inlineStr">
        <is>
          <t>Rewards Visa</t>
        </is>
      </c>
      <c r="C105" s="87" t="inlineStr">
        <is>
          <t>STARBUCKS STORE 08123</t>
        </is>
      </c>
      <c r="D105" s="87" t="inlineStr">
        <is>
          <t>Dining Out</t>
        </is>
      </c>
      <c r="E105" s="88" t="n">
        <v>-60.44</v>
      </c>
      <c r="F105" s="89">
        <f>IF(E105="","",IF(OR(D105="",D105="Uncategorized"),IF(E105&lt;0,"Expense","Income"),IFERROR(INDEX(Categories!$B$6:$B$65,MATCH(D105,Categories!$A$6:$A$65,0)),IF(E105&lt;0,"Expense","Income"))))</f>
        <v/>
      </c>
      <c r="G105" s="90">
        <f>IF(A105="","",DATE(YEAR(A105),MONTH(A105),1))</f>
        <v/>
      </c>
      <c r="H105" s="87" t="n"/>
      <c r="I105" s="87" t="n"/>
      <c r="J105" s="91" t="inlineStr">
        <is>
          <t>STARBUCKS STORE 08123</t>
        </is>
      </c>
      <c r="K105" s="91" t="inlineStr">
        <is>
          <t>Sample Card Co</t>
        </is>
      </c>
      <c r="L105" s="91" t="inlineStr">
        <is>
          <t>Credit Card</t>
        </is>
      </c>
      <c r="M105" s="91" t="inlineStr">
        <is>
          <t>Visa_Statement.csv</t>
        </is>
      </c>
      <c r="N105" s="91" t="inlineStr">
        <is>
          <t>2026-10-15 20:14:07</t>
        </is>
      </c>
      <c r="O105" s="91" t="n"/>
      <c r="P105" s="91" t="inlineStr">
        <is>
          <t>REWARDS VISA|20260811|-6044|STARBUCKSSTORE08123#1</t>
        </is>
      </c>
      <c r="Q105" s="92">
        <f>IF(AND(G105=RptMonth,F105="Expense",N(E105)&lt;0),-E105+ROW()/10000000,"")</f>
        <v/>
      </c>
    </row>
    <row r="106">
      <c r="A106" s="86" t="n">
        <v>46244</v>
      </c>
      <c r="B106" s="87" t="inlineStr">
        <is>
          <t>Everyday Checking</t>
        </is>
      </c>
      <c r="C106" s="87" t="inlineStr">
        <is>
          <t>SAMPLE AUTO FINANCE PMT</t>
        </is>
      </c>
      <c r="D106" s="87" t="inlineStr">
        <is>
          <t>Auto Payment</t>
        </is>
      </c>
      <c r="E106" s="88" t="n">
        <v>-385</v>
      </c>
      <c r="F106" s="89">
        <f>IF(E106="","",IF(OR(D106="",D106="Uncategorized"),IF(E106&lt;0,"Expense","Income"),IFERROR(INDEX(Categories!$B$6:$B$65,MATCH(D106,Categories!$A$6:$A$65,0)),IF(E106&lt;0,"Expense","Income"))))</f>
        <v/>
      </c>
      <c r="G106" s="90">
        <f>IF(A106="","",DATE(YEAR(A106),MONTH(A106),1))</f>
        <v/>
      </c>
      <c r="H106" s="87" t="n"/>
      <c r="I106" s="87" t="n"/>
      <c r="J106" s="91" t="inlineStr">
        <is>
          <t>SAMPLE AUTO FINANCE PMT</t>
        </is>
      </c>
      <c r="K106" s="91" t="inlineStr">
        <is>
          <t>Sample Bank</t>
        </is>
      </c>
      <c r="L106" s="91" t="inlineStr">
        <is>
          <t>Checking</t>
        </is>
      </c>
      <c r="M106" s="91" t="inlineStr">
        <is>
          <t>Checking_Activity.csv</t>
        </is>
      </c>
      <c r="N106" s="91" t="inlineStr">
        <is>
          <t>2026-10-15 20:14:07</t>
        </is>
      </c>
      <c r="O106" s="91" t="n"/>
      <c r="P106" s="91" t="inlineStr">
        <is>
          <t>EVERYDAY CHECKING|20260810|-38500|SAMPLEAUTOFINANCEPMT#1</t>
        </is>
      </c>
      <c r="Q106" s="92">
        <f>IF(AND(G106=RptMonth,F106="Expense",N(E106)&lt;0),-E106+ROW()/10000000,"")</f>
        <v/>
      </c>
    </row>
    <row r="107">
      <c r="A107" s="86" t="n">
        <v>46244</v>
      </c>
      <c r="B107" s="87" t="inlineStr">
        <is>
          <t>Rewards Visa</t>
        </is>
      </c>
      <c r="C107" s="87" t="inlineStr">
        <is>
          <t>BEST BUY 00412</t>
        </is>
      </c>
      <c r="D107" s="87" t="inlineStr">
        <is>
          <t>Shopping</t>
        </is>
      </c>
      <c r="E107" s="88" t="n">
        <v>-94.29000000000001</v>
      </c>
      <c r="F107" s="89">
        <f>IF(E107="","",IF(OR(D107="",D107="Uncategorized"),IF(E107&lt;0,"Expense","Income"),IFERROR(INDEX(Categories!$B$6:$B$65,MATCH(D107,Categories!$A$6:$A$65,0)),IF(E107&lt;0,"Expense","Income"))))</f>
        <v/>
      </c>
      <c r="G107" s="90">
        <f>IF(A107="","",DATE(YEAR(A107),MONTH(A107),1))</f>
        <v/>
      </c>
      <c r="H107" s="87" t="n"/>
      <c r="I107" s="87" t="n"/>
      <c r="J107" s="91" t="inlineStr">
        <is>
          <t>BEST BUY 00412</t>
        </is>
      </c>
      <c r="K107" s="91" t="inlineStr">
        <is>
          <t>Sample Card Co</t>
        </is>
      </c>
      <c r="L107" s="91" t="inlineStr">
        <is>
          <t>Credit Card</t>
        </is>
      </c>
      <c r="M107" s="91" t="inlineStr">
        <is>
          <t>Visa_Statement.csv</t>
        </is>
      </c>
      <c r="N107" s="91" t="inlineStr">
        <is>
          <t>2026-10-15 20:14:07</t>
        </is>
      </c>
      <c r="O107" s="91" t="n"/>
      <c r="P107" s="91" t="inlineStr">
        <is>
          <t>REWARDS VISA|20260810|-9429|BESTBUY00412#1</t>
        </is>
      </c>
      <c r="Q107" s="92">
        <f>IF(AND(G107=RptMonth,F107="Expense",N(E107)&lt;0),-E107+ROW()/10000000,"")</f>
        <v/>
      </c>
    </row>
    <row r="108">
      <c r="A108" s="86" t="n">
        <v>46244</v>
      </c>
      <c r="B108" s="87" t="inlineStr">
        <is>
          <t>Rewards Visa</t>
        </is>
      </c>
      <c r="C108" s="87" t="inlineStr">
        <is>
          <t>CHIPOTLE 2291</t>
        </is>
      </c>
      <c r="D108" s="87" t="inlineStr">
        <is>
          <t>Dining Out</t>
        </is>
      </c>
      <c r="E108" s="88" t="n">
        <v>-15.36</v>
      </c>
      <c r="F108" s="89">
        <f>IF(E108="","",IF(OR(D108="",D108="Uncategorized"),IF(E108&lt;0,"Expense","Income"),IFERROR(INDEX(Categories!$B$6:$B$65,MATCH(D108,Categories!$A$6:$A$65,0)),IF(E108&lt;0,"Expense","Income"))))</f>
        <v/>
      </c>
      <c r="G108" s="90">
        <f>IF(A108="","",DATE(YEAR(A108),MONTH(A108),1))</f>
        <v/>
      </c>
      <c r="H108" s="87" t="n"/>
      <c r="I108" s="87" t="n"/>
      <c r="J108" s="91" t="inlineStr">
        <is>
          <t>CHIPOTLE 2291</t>
        </is>
      </c>
      <c r="K108" s="91" t="inlineStr">
        <is>
          <t>Sample Card Co</t>
        </is>
      </c>
      <c r="L108" s="91" t="inlineStr">
        <is>
          <t>Credit Card</t>
        </is>
      </c>
      <c r="M108" s="91" t="inlineStr">
        <is>
          <t>Visa_Statement.csv</t>
        </is>
      </c>
      <c r="N108" s="91" t="inlineStr">
        <is>
          <t>2026-10-15 20:14:07</t>
        </is>
      </c>
      <c r="O108" s="91" t="n"/>
      <c r="P108" s="91" t="inlineStr">
        <is>
          <t>REWARDS VISA|20260810|-1536|CHIPOTLE2291#1</t>
        </is>
      </c>
      <c r="Q108" s="92">
        <f>IF(AND(G108=RptMonth,F108="Expense",N(E108)&lt;0),-E108+ROW()/10000000,"")</f>
        <v/>
      </c>
    </row>
    <row r="109">
      <c r="A109" s="86" t="n">
        <v>46243</v>
      </c>
      <c r="B109" s="87" t="inlineStr">
        <is>
          <t>Everyday Checking</t>
        </is>
      </c>
      <c r="C109" s="87" t="inlineStr">
        <is>
          <t>NJ NATURAL GAS PAYMENT</t>
        </is>
      </c>
      <c r="D109" s="87" t="inlineStr">
        <is>
          <t>Utilities</t>
        </is>
      </c>
      <c r="E109" s="88" t="n">
        <v>-48.33</v>
      </c>
      <c r="F109" s="89">
        <f>IF(E109="","",IF(OR(D109="",D109="Uncategorized"),IF(E109&lt;0,"Expense","Income"),IFERROR(INDEX(Categories!$B$6:$B$65,MATCH(D109,Categories!$A$6:$A$65,0)),IF(E109&lt;0,"Expense","Income"))))</f>
        <v/>
      </c>
      <c r="G109" s="90">
        <f>IF(A109="","",DATE(YEAR(A109),MONTH(A109),1))</f>
        <v/>
      </c>
      <c r="H109" s="87" t="n"/>
      <c r="I109" s="87" t="n"/>
      <c r="J109" s="91" t="inlineStr">
        <is>
          <t>NJ NATURAL GAS PAYMENT</t>
        </is>
      </c>
      <c r="K109" s="91" t="inlineStr">
        <is>
          <t>Sample Bank</t>
        </is>
      </c>
      <c r="L109" s="91" t="inlineStr">
        <is>
          <t>Checking</t>
        </is>
      </c>
      <c r="M109" s="91" t="inlineStr">
        <is>
          <t>Checking_Activity.csv</t>
        </is>
      </c>
      <c r="N109" s="91" t="inlineStr">
        <is>
          <t>2026-10-15 20:14:07</t>
        </is>
      </c>
      <c r="O109" s="91" t="n"/>
      <c r="P109" s="91" t="inlineStr">
        <is>
          <t>EVERYDAY CHECKING|20260809|-4833|NJNATURALGASPAYMENT#1</t>
        </is>
      </c>
      <c r="Q109" s="92">
        <f>IF(AND(G109=RptMonth,F109="Expense",N(E109)&lt;0),-E109+ROW()/10000000,"")</f>
        <v/>
      </c>
    </row>
    <row r="110">
      <c r="A110" s="86" t="n">
        <v>46242</v>
      </c>
      <c r="B110" s="87" t="inlineStr">
        <is>
          <t>Everyday Checking</t>
        </is>
      </c>
      <c r="C110" s="87" t="inlineStr">
        <is>
          <t>ATM WITHDRAWAL 1234 MAIN ST</t>
        </is>
      </c>
      <c r="D110" s="87" t="inlineStr">
        <is>
          <t>Cash &amp; ATM</t>
        </is>
      </c>
      <c r="E110" s="88" t="n">
        <v>-60</v>
      </c>
      <c r="F110" s="89">
        <f>IF(E110="","",IF(OR(D110="",D110="Uncategorized"),IF(E110&lt;0,"Expense","Income"),IFERROR(INDEX(Categories!$B$6:$B$65,MATCH(D110,Categories!$A$6:$A$65,0)),IF(E110&lt;0,"Expense","Income"))))</f>
        <v/>
      </c>
      <c r="G110" s="90">
        <f>IF(A110="","",DATE(YEAR(A110),MONTH(A110),1))</f>
        <v/>
      </c>
      <c r="H110" s="87" t="n"/>
      <c r="I110" s="87" t="n"/>
      <c r="J110" s="91" t="inlineStr">
        <is>
          <t>ATM WITHDRAWAL 1234 MAIN ST</t>
        </is>
      </c>
      <c r="K110" s="91" t="inlineStr">
        <is>
          <t>Sample Bank</t>
        </is>
      </c>
      <c r="L110" s="91" t="inlineStr">
        <is>
          <t>Checking</t>
        </is>
      </c>
      <c r="M110" s="91" t="inlineStr">
        <is>
          <t>Checking_Activity.csv</t>
        </is>
      </c>
      <c r="N110" s="91" t="inlineStr">
        <is>
          <t>2026-10-15 20:14:07</t>
        </is>
      </c>
      <c r="O110" s="91" t="n"/>
      <c r="P110" s="91" t="inlineStr">
        <is>
          <t>EVERYDAY CHECKING|20260808|-6000|ATMWITHDRAWAL1234MAINST#1</t>
        </is>
      </c>
      <c r="Q110" s="92">
        <f>IF(AND(G110=RptMonth,F110="Expense",N(E110)&lt;0),-E110+ROW()/10000000,"")</f>
        <v/>
      </c>
    </row>
    <row r="111">
      <c r="A111" s="86" t="n">
        <v>46242</v>
      </c>
      <c r="B111" s="87" t="inlineStr">
        <is>
          <t>Everyday Checking</t>
        </is>
      </c>
      <c r="C111" s="87" t="inlineStr">
        <is>
          <t>PSEG ELECTRIC BILL</t>
        </is>
      </c>
      <c r="D111" s="87" t="inlineStr">
        <is>
          <t>Utilities</t>
        </is>
      </c>
      <c r="E111" s="88" t="n">
        <v>-170.29</v>
      </c>
      <c r="F111" s="89">
        <f>IF(E111="","",IF(OR(D111="",D111="Uncategorized"),IF(E111&lt;0,"Expense","Income"),IFERROR(INDEX(Categories!$B$6:$B$65,MATCH(D111,Categories!$A$6:$A$65,0)),IF(E111&lt;0,"Expense","Income"))))</f>
        <v/>
      </c>
      <c r="G111" s="90">
        <f>IF(A111="","",DATE(YEAR(A111),MONTH(A111),1))</f>
        <v/>
      </c>
      <c r="H111" s="87" t="n"/>
      <c r="I111" s="87" t="n"/>
      <c r="J111" s="91" t="inlineStr">
        <is>
          <t>PSEG ELECTRIC BILL</t>
        </is>
      </c>
      <c r="K111" s="91" t="inlineStr">
        <is>
          <t>Sample Bank</t>
        </is>
      </c>
      <c r="L111" s="91" t="inlineStr">
        <is>
          <t>Checking</t>
        </is>
      </c>
      <c r="M111" s="91" t="inlineStr">
        <is>
          <t>Checking_Activity.csv</t>
        </is>
      </c>
      <c r="N111" s="91" t="inlineStr">
        <is>
          <t>2026-10-15 20:14:07</t>
        </is>
      </c>
      <c r="O111" s="91" t="n"/>
      <c r="P111" s="91" t="inlineStr">
        <is>
          <t>EVERYDAY CHECKING|20260808|-17029|PSEGELECTRICBILL#1</t>
        </is>
      </c>
      <c r="Q111" s="92">
        <f>IF(AND(G111=RptMonth,F111="Expense",N(E111)&lt;0),-E111+ROW()/10000000,"")</f>
        <v/>
      </c>
    </row>
    <row r="112">
      <c r="A112" s="86" t="n">
        <v>46242</v>
      </c>
      <c r="B112" s="87" t="inlineStr">
        <is>
          <t>Rewards Visa</t>
        </is>
      </c>
      <c r="C112" s="87" t="inlineStr">
        <is>
          <t>OLD NAVY ONLINE</t>
        </is>
      </c>
      <c r="D112" s="87" t="inlineStr">
        <is>
          <t>Shopping</t>
        </is>
      </c>
      <c r="E112" s="88" t="n">
        <v>-113.71</v>
      </c>
      <c r="F112" s="89">
        <f>IF(E112="","",IF(OR(D112="",D112="Uncategorized"),IF(E112&lt;0,"Expense","Income"),IFERROR(INDEX(Categories!$B$6:$B$65,MATCH(D112,Categories!$A$6:$A$65,0)),IF(E112&lt;0,"Expense","Income"))))</f>
        <v/>
      </c>
      <c r="G112" s="90">
        <f>IF(A112="","",DATE(YEAR(A112),MONTH(A112),1))</f>
        <v/>
      </c>
      <c r="H112" s="87" t="n"/>
      <c r="I112" s="87" t="n"/>
      <c r="J112" s="91" t="inlineStr">
        <is>
          <t>OLD NAVY ONLINE</t>
        </is>
      </c>
      <c r="K112" s="91" t="inlineStr">
        <is>
          <t>Sample Card Co</t>
        </is>
      </c>
      <c r="L112" s="91" t="inlineStr">
        <is>
          <t>Credit Card</t>
        </is>
      </c>
      <c r="M112" s="91" t="inlineStr">
        <is>
          <t>Visa_Statement.csv</t>
        </is>
      </c>
      <c r="N112" s="91" t="inlineStr">
        <is>
          <t>2026-10-15 20:14:07</t>
        </is>
      </c>
      <c r="O112" s="91" t="n"/>
      <c r="P112" s="91" t="inlineStr">
        <is>
          <t>REWARDS VISA|20260808|-11371|OLDNAVYONLINE#1</t>
        </is>
      </c>
      <c r="Q112" s="92">
        <f>IF(AND(G112=RptMonth,F112="Expense",N(E112)&lt;0),-E112+ROW()/10000000,"")</f>
        <v/>
      </c>
    </row>
    <row r="113">
      <c r="A113" s="86" t="n">
        <v>46242</v>
      </c>
      <c r="B113" s="87" t="inlineStr">
        <is>
          <t>Rewards Visa</t>
        </is>
      </c>
      <c r="C113" s="87" t="inlineStr">
        <is>
          <t>SHOPRITE #0234</t>
        </is>
      </c>
      <c r="D113" s="87" t="inlineStr">
        <is>
          <t>Groceries</t>
        </is>
      </c>
      <c r="E113" s="88" t="n">
        <v>-93.3</v>
      </c>
      <c r="F113" s="89">
        <f>IF(E113="","",IF(OR(D113="",D113="Uncategorized"),IF(E113&lt;0,"Expense","Income"),IFERROR(INDEX(Categories!$B$6:$B$65,MATCH(D113,Categories!$A$6:$A$65,0)),IF(E113&lt;0,"Expense","Income"))))</f>
        <v/>
      </c>
      <c r="G113" s="90">
        <f>IF(A113="","",DATE(YEAR(A113),MONTH(A113),1))</f>
        <v/>
      </c>
      <c r="H113" s="87" t="n"/>
      <c r="I113" s="87" t="n"/>
      <c r="J113" s="91" t="inlineStr">
        <is>
          <t>SHOPRITE #0234</t>
        </is>
      </c>
      <c r="K113" s="91" t="inlineStr">
        <is>
          <t>Sample Card Co</t>
        </is>
      </c>
      <c r="L113" s="91" t="inlineStr">
        <is>
          <t>Credit Card</t>
        </is>
      </c>
      <c r="M113" s="91" t="inlineStr">
        <is>
          <t>Visa_Statement.csv</t>
        </is>
      </c>
      <c r="N113" s="91" t="inlineStr">
        <is>
          <t>2026-10-15 20:14:07</t>
        </is>
      </c>
      <c r="O113" s="91" t="n"/>
      <c r="P113" s="91" t="inlineStr">
        <is>
          <t>REWARDS VISA|20260808|-9330|SHOPRITE0234#1</t>
        </is>
      </c>
      <c r="Q113" s="92">
        <f>IF(AND(G113=RptMonth,F113="Expense",N(E113)&lt;0),-E113+ROW()/10000000,"")</f>
        <v/>
      </c>
    </row>
    <row r="114">
      <c r="A114" s="86" t="n">
        <v>46241</v>
      </c>
      <c r="B114" s="87" t="inlineStr">
        <is>
          <t>Everyday Checking</t>
        </is>
      </c>
      <c r="C114" s="87" t="inlineStr">
        <is>
          <t>ACME CORP PAYROLL DIR DEP</t>
        </is>
      </c>
      <c r="D114" s="87" t="inlineStr">
        <is>
          <t>Salary</t>
        </is>
      </c>
      <c r="E114" s="88" t="n">
        <v>3461.07</v>
      </c>
      <c r="F114" s="89">
        <f>IF(E114="","",IF(OR(D114="",D114="Uncategorized"),IF(E114&lt;0,"Expense","Income"),IFERROR(INDEX(Categories!$B$6:$B$65,MATCH(D114,Categories!$A$6:$A$65,0)),IF(E114&lt;0,"Expense","Income"))))</f>
        <v/>
      </c>
      <c r="G114" s="90">
        <f>IF(A114="","",DATE(YEAR(A114),MONTH(A114),1))</f>
        <v/>
      </c>
      <c r="H114" s="87" t="n"/>
      <c r="I114" s="87" t="n"/>
      <c r="J114" s="91" t="inlineStr">
        <is>
          <t>ACME CORP PAYROLL DIR DEP</t>
        </is>
      </c>
      <c r="K114" s="91" t="inlineStr">
        <is>
          <t>Sample Bank</t>
        </is>
      </c>
      <c r="L114" s="91" t="inlineStr">
        <is>
          <t>Checking</t>
        </is>
      </c>
      <c r="M114" s="91" t="inlineStr">
        <is>
          <t>Checking_Activity.csv</t>
        </is>
      </c>
      <c r="N114" s="91" t="inlineStr">
        <is>
          <t>2026-10-15 20:14:07</t>
        </is>
      </c>
      <c r="O114" s="91" t="n"/>
      <c r="P114" s="91" t="inlineStr">
        <is>
          <t>EVERYDAY CHECKING|20260807|346107|ACMECORPPAYROLLDIRDEP#1</t>
        </is>
      </c>
      <c r="Q114" s="92">
        <f>IF(AND(G114=RptMonth,F114="Expense",N(E114)&lt;0),-E114+ROW()/10000000,"")</f>
        <v/>
      </c>
    </row>
    <row r="115">
      <c r="A115" s="86" t="n">
        <v>46241</v>
      </c>
      <c r="B115" s="87" t="inlineStr">
        <is>
          <t>Rewards Visa</t>
        </is>
      </c>
      <c r="C115" s="87" t="inlineStr">
        <is>
          <t>SHELL OIL 57444</t>
        </is>
      </c>
      <c r="D115" s="87" t="inlineStr">
        <is>
          <t>Gas &amp; Fuel</t>
        </is>
      </c>
      <c r="E115" s="88" t="n">
        <v>-54.18</v>
      </c>
      <c r="F115" s="89">
        <f>IF(E115="","",IF(OR(D115="",D115="Uncategorized"),IF(E115&lt;0,"Expense","Income"),IFERROR(INDEX(Categories!$B$6:$B$65,MATCH(D115,Categories!$A$6:$A$65,0)),IF(E115&lt;0,"Expense","Income"))))</f>
        <v/>
      </c>
      <c r="G115" s="90">
        <f>IF(A115="","",DATE(YEAR(A115),MONTH(A115),1))</f>
        <v/>
      </c>
      <c r="H115" s="87" t="n"/>
      <c r="I115" s="87" t="n"/>
      <c r="J115" s="91" t="inlineStr">
        <is>
          <t>SHELL OIL 57444</t>
        </is>
      </c>
      <c r="K115" s="91" t="inlineStr">
        <is>
          <t>Sample Card Co</t>
        </is>
      </c>
      <c r="L115" s="91" t="inlineStr">
        <is>
          <t>Credit Card</t>
        </is>
      </c>
      <c r="M115" s="91" t="inlineStr">
        <is>
          <t>Visa_Statement.csv</t>
        </is>
      </c>
      <c r="N115" s="91" t="inlineStr">
        <is>
          <t>2026-10-15 20:14:07</t>
        </is>
      </c>
      <c r="O115" s="91" t="n"/>
      <c r="P115" s="91" t="inlineStr">
        <is>
          <t>REWARDS VISA|20260807|-5418|SHELLOIL57444#1</t>
        </is>
      </c>
      <c r="Q115" s="92">
        <f>IF(AND(G115=RptMonth,F115="Expense",N(E115)&lt;0),-E115+ROW()/10000000,"")</f>
        <v/>
      </c>
    </row>
    <row r="116">
      <c r="A116" s="86" t="n">
        <v>46241</v>
      </c>
      <c r="B116" s="87" t="inlineStr">
        <is>
          <t>Rewards Visa</t>
        </is>
      </c>
      <c r="C116" s="87" t="inlineStr">
        <is>
          <t>SPOTIFY USA</t>
        </is>
      </c>
      <c r="D116" s="87" t="inlineStr">
        <is>
          <t>Subscriptions</t>
        </is>
      </c>
      <c r="E116" s="88" t="n">
        <v>-11.99</v>
      </c>
      <c r="F116" s="89">
        <f>IF(E116="","",IF(OR(D116="",D116="Uncategorized"),IF(E116&lt;0,"Expense","Income"),IFERROR(INDEX(Categories!$B$6:$B$65,MATCH(D116,Categories!$A$6:$A$65,0)),IF(E116&lt;0,"Expense","Income"))))</f>
        <v/>
      </c>
      <c r="G116" s="90">
        <f>IF(A116="","",DATE(YEAR(A116),MONTH(A116),1))</f>
        <v/>
      </c>
      <c r="H116" s="87" t="n"/>
      <c r="I116" s="87" t="n"/>
      <c r="J116" s="91" t="inlineStr">
        <is>
          <t>SPOTIFY USA</t>
        </is>
      </c>
      <c r="K116" s="91" t="inlineStr">
        <is>
          <t>Sample Card Co</t>
        </is>
      </c>
      <c r="L116" s="91" t="inlineStr">
        <is>
          <t>Credit Card</t>
        </is>
      </c>
      <c r="M116" s="91" t="inlineStr">
        <is>
          <t>Visa_Statement.csv</t>
        </is>
      </c>
      <c r="N116" s="91" t="inlineStr">
        <is>
          <t>2026-10-15 20:14:07</t>
        </is>
      </c>
      <c r="O116" s="91" t="n"/>
      <c r="P116" s="91" t="inlineStr">
        <is>
          <t>REWARDS VISA|20260807|-1199|SPOTIFYUSA#1</t>
        </is>
      </c>
      <c r="Q116" s="92">
        <f>IF(AND(G116=RptMonth,F116="Expense",N(E116)&lt;0),-E116+ROW()/10000000,"")</f>
        <v/>
      </c>
    </row>
    <row r="117">
      <c r="A117" s="86" t="n">
        <v>46239</v>
      </c>
      <c r="B117" s="87" t="inlineStr">
        <is>
          <t>Everyday Checking</t>
        </is>
      </c>
      <c r="C117" s="87" t="inlineStr">
        <is>
          <t>ONLINE TRANSFER TO HIGH-YIELD SAVINGS</t>
        </is>
      </c>
      <c r="D117" s="87" t="inlineStr">
        <is>
          <t>Transfer</t>
        </is>
      </c>
      <c r="E117" s="88" t="n">
        <v>-500</v>
      </c>
      <c r="F117" s="89">
        <f>IF(E117="","",IF(OR(D117="",D117="Uncategorized"),IF(E117&lt;0,"Expense","Income"),IFERROR(INDEX(Categories!$B$6:$B$65,MATCH(D117,Categories!$A$6:$A$65,0)),IF(E117&lt;0,"Expense","Income"))))</f>
        <v/>
      </c>
      <c r="G117" s="90">
        <f>IF(A117="","",DATE(YEAR(A117),MONTH(A117),1))</f>
        <v/>
      </c>
      <c r="H117" s="87" t="n"/>
      <c r="I117" s="87" t="n"/>
      <c r="J117" s="91" t="inlineStr">
        <is>
          <t>ONLINE TRANSFER TO HIGH-YIELD SAVINGS</t>
        </is>
      </c>
      <c r="K117" s="91" t="inlineStr">
        <is>
          <t>Sample Bank</t>
        </is>
      </c>
      <c r="L117" s="91" t="inlineStr">
        <is>
          <t>Checking</t>
        </is>
      </c>
      <c r="M117" s="91" t="inlineStr">
        <is>
          <t>Checking_Activity.csv</t>
        </is>
      </c>
      <c r="N117" s="91" t="inlineStr">
        <is>
          <t>2026-10-15 20:14:07</t>
        </is>
      </c>
      <c r="O117" s="91" t="n"/>
      <c r="P117" s="91" t="inlineStr">
        <is>
          <t>EVERYDAY CHECKING|20260805|-50000|ONLINETRANSFERTOHIGHYIELDSAVINGS#1</t>
        </is>
      </c>
      <c r="Q117" s="92">
        <f>IF(AND(G117=RptMonth,F117="Expense",N(E117)&lt;0),-E117+ROW()/10000000,"")</f>
        <v/>
      </c>
    </row>
    <row r="118">
      <c r="A118" s="86" t="n">
        <v>46239</v>
      </c>
      <c r="B118" s="87" t="inlineStr">
        <is>
          <t>High-Yield Savings</t>
        </is>
      </c>
      <c r="C118" s="87" t="inlineStr">
        <is>
          <t>ONLINE TRANSFER FROM EVERYDAY CHECKING</t>
        </is>
      </c>
      <c r="D118" s="87" t="inlineStr">
        <is>
          <t>Transfer</t>
        </is>
      </c>
      <c r="E118" s="88" t="n">
        <v>500</v>
      </c>
      <c r="F118" s="89">
        <f>IF(E118="","",IF(OR(D118="",D118="Uncategorized"),IF(E118&lt;0,"Expense","Income"),IFERROR(INDEX(Categories!$B$6:$B$65,MATCH(D118,Categories!$A$6:$A$65,0)),IF(E118&lt;0,"Expense","Income"))))</f>
        <v/>
      </c>
      <c r="G118" s="90">
        <f>IF(A118="","",DATE(YEAR(A118),MONTH(A118),1))</f>
        <v/>
      </c>
      <c r="H118" s="87" t="n"/>
      <c r="I118" s="87" t="n"/>
      <c r="J118" s="91" t="inlineStr">
        <is>
          <t>ONLINE TRANSFER FROM EVERYDAY CHECKING</t>
        </is>
      </c>
      <c r="K118" s="91" t="inlineStr">
        <is>
          <t>Sample Bank</t>
        </is>
      </c>
      <c r="L118" s="91" t="inlineStr">
        <is>
          <t>Savings</t>
        </is>
      </c>
      <c r="M118" s="91" t="inlineStr">
        <is>
          <t>Savings.qfx</t>
        </is>
      </c>
      <c r="N118" s="91" t="inlineStr">
        <is>
          <t>2026-10-15 20:14:07</t>
        </is>
      </c>
      <c r="O118" s="91" t="inlineStr">
        <is>
          <t>773002026080501</t>
        </is>
      </c>
      <c r="P118" s="91" t="inlineStr">
        <is>
          <t>HIGH-YIELD SAVINGS|ID|773002026080501#1</t>
        </is>
      </c>
      <c r="Q118" s="92">
        <f>IF(AND(G118=RptMonth,F118="Expense",N(E118)&lt;0),-E118+ROW()/10000000,"")</f>
        <v/>
      </c>
    </row>
    <row r="119">
      <c r="A119" s="86" t="n">
        <v>46239</v>
      </c>
      <c r="B119" s="87" t="inlineStr">
        <is>
          <t>Rewards Visa</t>
        </is>
      </c>
      <c r="C119" s="87" t="inlineStr">
        <is>
          <t>LOCAL PIZZERIA</t>
        </is>
      </c>
      <c r="D119" s="87" t="inlineStr">
        <is>
          <t>Dining Out</t>
        </is>
      </c>
      <c r="E119" s="88" t="n">
        <v>-28.56</v>
      </c>
      <c r="F119" s="89">
        <f>IF(E119="","",IF(OR(D119="",D119="Uncategorized"),IF(E119&lt;0,"Expense","Income"),IFERROR(INDEX(Categories!$B$6:$B$65,MATCH(D119,Categories!$A$6:$A$65,0)),IF(E119&lt;0,"Expense","Income"))))</f>
        <v/>
      </c>
      <c r="G119" s="90">
        <f>IF(A119="","",DATE(YEAR(A119),MONTH(A119),1))</f>
        <v/>
      </c>
      <c r="H119" s="87" t="n"/>
      <c r="I119" s="87" t="n"/>
      <c r="J119" s="91" t="inlineStr">
        <is>
          <t>LOCAL PIZZERIA</t>
        </is>
      </c>
      <c r="K119" s="91" t="inlineStr">
        <is>
          <t>Sample Card Co</t>
        </is>
      </c>
      <c r="L119" s="91" t="inlineStr">
        <is>
          <t>Credit Card</t>
        </is>
      </c>
      <c r="M119" s="91" t="inlineStr">
        <is>
          <t>Visa_Statement.csv</t>
        </is>
      </c>
      <c r="N119" s="91" t="inlineStr">
        <is>
          <t>2026-10-15 20:14:07</t>
        </is>
      </c>
      <c r="O119" s="91" t="n"/>
      <c r="P119" s="91" t="inlineStr">
        <is>
          <t>REWARDS VISA|20260805|-2856|LOCALPIZZERIA#1</t>
        </is>
      </c>
      <c r="Q119" s="92">
        <f>IF(AND(G119=RptMonth,F119="Expense",N(E119)&lt;0),-E119+ROW()/10000000,"")</f>
        <v/>
      </c>
    </row>
    <row r="120">
      <c r="A120" s="86" t="n">
        <v>46239</v>
      </c>
      <c r="B120" s="87" t="inlineStr">
        <is>
          <t>Rewards Visa</t>
        </is>
      </c>
      <c r="C120" s="87" t="inlineStr">
        <is>
          <t>WHOLE FOODS MARKET #10312</t>
        </is>
      </c>
      <c r="D120" s="87" t="inlineStr">
        <is>
          <t>Groceries</t>
        </is>
      </c>
      <c r="E120" s="88" t="n">
        <v>-47.22</v>
      </c>
      <c r="F120" s="89">
        <f>IF(E120="","",IF(OR(D120="",D120="Uncategorized"),IF(E120&lt;0,"Expense","Income"),IFERROR(INDEX(Categories!$B$6:$B$65,MATCH(D120,Categories!$A$6:$A$65,0)),IF(E120&lt;0,"Expense","Income"))))</f>
        <v/>
      </c>
      <c r="G120" s="90">
        <f>IF(A120="","",DATE(YEAR(A120),MONTH(A120),1))</f>
        <v/>
      </c>
      <c r="H120" s="87" t="n"/>
      <c r="I120" s="87" t="n"/>
      <c r="J120" s="91" t="inlineStr">
        <is>
          <t>WHOLE FOODS MARKET #10312</t>
        </is>
      </c>
      <c r="K120" s="91" t="inlineStr">
        <is>
          <t>Sample Card Co</t>
        </is>
      </c>
      <c r="L120" s="91" t="inlineStr">
        <is>
          <t>Credit Card</t>
        </is>
      </c>
      <c r="M120" s="91" t="inlineStr">
        <is>
          <t>Visa_Statement.csv</t>
        </is>
      </c>
      <c r="N120" s="91" t="inlineStr">
        <is>
          <t>2026-10-15 20:14:07</t>
        </is>
      </c>
      <c r="O120" s="91" t="n"/>
      <c r="P120" s="91" t="inlineStr">
        <is>
          <t>REWARDS VISA|20260805|-4722|WHOLEFOODSMARKET10312#1</t>
        </is>
      </c>
      <c r="Q120" s="92">
        <f>IF(AND(G120=RptMonth,F120="Expense",N(E120)&lt;0),-E120+ROW()/10000000,"")</f>
        <v/>
      </c>
    </row>
    <row r="121">
      <c r="A121" s="86" t="n">
        <v>46237</v>
      </c>
      <c r="B121" s="87" t="inlineStr">
        <is>
          <t>Everyday Checking</t>
        </is>
      </c>
      <c r="C121" s="87" t="inlineStr">
        <is>
          <t>GEICO AUTO INSURANCE</t>
        </is>
      </c>
      <c r="D121" s="87" t="inlineStr">
        <is>
          <t>Insurance</t>
        </is>
      </c>
      <c r="E121" s="88" t="n">
        <v>-142.5</v>
      </c>
      <c r="F121" s="89">
        <f>IF(E121="","",IF(OR(D121="",D121="Uncategorized"),IF(E121&lt;0,"Expense","Income"),IFERROR(INDEX(Categories!$B$6:$B$65,MATCH(D121,Categories!$A$6:$A$65,0)),IF(E121&lt;0,"Expense","Income"))))</f>
        <v/>
      </c>
      <c r="G121" s="90">
        <f>IF(A121="","",DATE(YEAR(A121),MONTH(A121),1))</f>
        <v/>
      </c>
      <c r="H121" s="87" t="n"/>
      <c r="I121" s="87" t="n"/>
      <c r="J121" s="91" t="inlineStr">
        <is>
          <t>GEICO AUTO INSURANCE</t>
        </is>
      </c>
      <c r="K121" s="91" t="inlineStr">
        <is>
          <t>Sample Bank</t>
        </is>
      </c>
      <c r="L121" s="91" t="inlineStr">
        <is>
          <t>Checking</t>
        </is>
      </c>
      <c r="M121" s="91" t="inlineStr">
        <is>
          <t>Checking_Activity.csv</t>
        </is>
      </c>
      <c r="N121" s="91" t="inlineStr">
        <is>
          <t>2026-10-15 20:14:07</t>
        </is>
      </c>
      <c r="O121" s="91" t="n"/>
      <c r="P121" s="91" t="inlineStr">
        <is>
          <t>EVERYDAY CHECKING|20260803|-14250|GEICOAUTOINSURANCE#1</t>
        </is>
      </c>
      <c r="Q121" s="92">
        <f>IF(AND(G121=RptMonth,F121="Expense",N(E121)&lt;0),-E121+ROW()/10000000,"")</f>
        <v/>
      </c>
    </row>
    <row r="122">
      <c r="A122" s="86" t="n">
        <v>46237</v>
      </c>
      <c r="B122" s="87" t="inlineStr">
        <is>
          <t>Rewards Visa</t>
        </is>
      </c>
      <c r="C122" s="87" t="inlineStr">
        <is>
          <t>TARGET 00012345</t>
        </is>
      </c>
      <c r="D122" s="87" t="inlineStr">
        <is>
          <t>Shopping</t>
        </is>
      </c>
      <c r="E122" s="88" t="n">
        <v>-89.14</v>
      </c>
      <c r="F122" s="89">
        <f>IF(E122="","",IF(OR(D122="",D122="Uncategorized"),IF(E122&lt;0,"Expense","Income"),IFERROR(INDEX(Categories!$B$6:$B$65,MATCH(D122,Categories!$A$6:$A$65,0)),IF(E122&lt;0,"Expense","Income"))))</f>
        <v/>
      </c>
      <c r="G122" s="90">
        <f>IF(A122="","",DATE(YEAR(A122),MONTH(A122),1))</f>
        <v/>
      </c>
      <c r="H122" s="87" t="n"/>
      <c r="I122" s="87" t="n"/>
      <c r="J122" s="91" t="inlineStr">
        <is>
          <t>TARGET 00012345</t>
        </is>
      </c>
      <c r="K122" s="91" t="inlineStr">
        <is>
          <t>Sample Card Co</t>
        </is>
      </c>
      <c r="L122" s="91" t="inlineStr">
        <is>
          <t>Credit Card</t>
        </is>
      </c>
      <c r="M122" s="91" t="inlineStr">
        <is>
          <t>Visa_Statement.csv</t>
        </is>
      </c>
      <c r="N122" s="91" t="inlineStr">
        <is>
          <t>2026-10-15 20:14:07</t>
        </is>
      </c>
      <c r="O122" s="91" t="n"/>
      <c r="P122" s="91" t="inlineStr">
        <is>
          <t>REWARDS VISA|20260803|-8914|TARGET00012345#1</t>
        </is>
      </c>
      <c r="Q122" s="92">
        <f>IF(AND(G122=RptMonth,F122="Expense",N(E122)&lt;0),-E122+ROW()/10000000,"")</f>
        <v/>
      </c>
    </row>
    <row r="123">
      <c r="A123" s="86" t="n">
        <v>46236</v>
      </c>
      <c r="B123" s="87" t="inlineStr">
        <is>
          <t>Rewards Visa</t>
        </is>
      </c>
      <c r="C123" s="87" t="inlineStr">
        <is>
          <t>NETFLIX.COM</t>
        </is>
      </c>
      <c r="D123" s="87" t="inlineStr">
        <is>
          <t>Subscriptions</t>
        </is>
      </c>
      <c r="E123" s="88" t="n">
        <v>-15.49</v>
      </c>
      <c r="F123" s="89">
        <f>IF(E123="","",IF(OR(D123="",D123="Uncategorized"),IF(E123&lt;0,"Expense","Income"),IFERROR(INDEX(Categories!$B$6:$B$65,MATCH(D123,Categories!$A$6:$A$65,0)),IF(E123&lt;0,"Expense","Income"))))</f>
        <v/>
      </c>
      <c r="G123" s="90">
        <f>IF(A123="","",DATE(YEAR(A123),MONTH(A123),1))</f>
        <v/>
      </c>
      <c r="H123" s="87" t="n"/>
      <c r="I123" s="87" t="n"/>
      <c r="J123" s="91" t="inlineStr">
        <is>
          <t>NETFLIX.COM</t>
        </is>
      </c>
      <c r="K123" s="91" t="inlineStr">
        <is>
          <t>Sample Card Co</t>
        </is>
      </c>
      <c r="L123" s="91" t="inlineStr">
        <is>
          <t>Credit Card</t>
        </is>
      </c>
      <c r="M123" s="91" t="inlineStr">
        <is>
          <t>Visa_Statement.csv</t>
        </is>
      </c>
      <c r="N123" s="91" t="inlineStr">
        <is>
          <t>2026-10-15 20:14:07</t>
        </is>
      </c>
      <c r="O123" s="91" t="n"/>
      <c r="P123" s="91" t="inlineStr">
        <is>
          <t>REWARDS VISA|20260802|-1549|NETFLIXCOM#1</t>
        </is>
      </c>
      <c r="Q123" s="92">
        <f>IF(AND(G123=RptMonth,F123="Expense",N(E123)&lt;0),-E123+ROW()/10000000,"")</f>
        <v/>
      </c>
    </row>
    <row r="124">
      <c r="A124" s="86" t="n">
        <v>46235</v>
      </c>
      <c r="B124" s="87" t="inlineStr">
        <is>
          <t>Everyday Checking</t>
        </is>
      </c>
      <c r="C124" s="87" t="inlineStr">
        <is>
          <t>SAMPLE MORTGAGE CO PAYMENT</t>
        </is>
      </c>
      <c r="D124" s="87" t="inlineStr">
        <is>
          <t>Mortgage / Rent</t>
        </is>
      </c>
      <c r="E124" s="88" t="n">
        <v>-2450</v>
      </c>
      <c r="F124" s="89">
        <f>IF(E124="","",IF(OR(D124="",D124="Uncategorized"),IF(E124&lt;0,"Expense","Income"),IFERROR(INDEX(Categories!$B$6:$B$65,MATCH(D124,Categories!$A$6:$A$65,0)),IF(E124&lt;0,"Expense","Income"))))</f>
        <v/>
      </c>
      <c r="G124" s="90">
        <f>IF(A124="","",DATE(YEAR(A124),MONTH(A124),1))</f>
        <v/>
      </c>
      <c r="H124" s="87" t="inlineStr">
        <is>
          <t>Includes escrow for taxes and insurance</t>
        </is>
      </c>
      <c r="I124" s="87" t="n"/>
      <c r="J124" s="91" t="inlineStr">
        <is>
          <t>SAMPLE MORTGAGE CO PAYMENT</t>
        </is>
      </c>
      <c r="K124" s="91" t="inlineStr">
        <is>
          <t>Sample Bank</t>
        </is>
      </c>
      <c r="L124" s="91" t="inlineStr">
        <is>
          <t>Checking</t>
        </is>
      </c>
      <c r="M124" s="91" t="inlineStr">
        <is>
          <t>Checking_Activity.csv</t>
        </is>
      </c>
      <c r="N124" s="91" t="inlineStr">
        <is>
          <t>2026-10-15 20:14:07</t>
        </is>
      </c>
      <c r="O124" s="91" t="n"/>
      <c r="P124" s="91" t="inlineStr">
        <is>
          <t>EVERYDAY CHECKING|20260801|-245000|SAMPLEMORTGAGECOPAYMENT#1</t>
        </is>
      </c>
      <c r="Q124" s="92">
        <f>IF(AND(G124=RptMonth,F124="Expense",N(E124)&lt;0),-E124+ROW()/10000000,"")</f>
        <v/>
      </c>
    </row>
    <row r="125">
      <c r="A125" s="86" t="n">
        <v>46235</v>
      </c>
      <c r="B125" s="87" t="inlineStr">
        <is>
          <t>Home Mortgage</t>
        </is>
      </c>
      <c r="C125" s="87" t="inlineStr">
        <is>
          <t>Payment</t>
        </is>
      </c>
      <c r="D125" s="87" t="inlineStr">
        <is>
          <t>Transfer</t>
        </is>
      </c>
      <c r="E125" s="88" t="n">
        <v>312.71</v>
      </c>
      <c r="F125" s="89">
        <f>IF(E125="","",IF(OR(D125="",D125="Uncategorized"),IF(E125&lt;0,"Expense","Income"),IFERROR(INDEX(Categories!$B$6:$B$65,MATCH(D125,Categories!$A$6:$A$65,0)),IF(E125&lt;0,"Expense","Income"))))</f>
        <v/>
      </c>
      <c r="G125" s="90">
        <f>IF(A125="","",DATE(YEAR(A125),MONTH(A125),1))</f>
        <v/>
      </c>
      <c r="H125" s="87" t="n"/>
      <c r="I125" s="87" t="n"/>
      <c r="J125" s="91" t="inlineStr">
        <is>
          <t>Payment</t>
        </is>
      </c>
      <c r="K125" s="91" t="inlineStr">
        <is>
          <t>Sample Mortgage Co</t>
        </is>
      </c>
      <c r="L125" s="91" t="inlineStr">
        <is>
          <t>Mortgage</t>
        </is>
      </c>
      <c r="M125" s="91" t="inlineStr">
        <is>
          <t>Mortgage_History.xlsx</t>
        </is>
      </c>
      <c r="N125" s="91" t="inlineStr">
        <is>
          <t>2026-10-15 20:14:07</t>
        </is>
      </c>
      <c r="O125" s="91" t="n"/>
      <c r="P125" s="91" t="inlineStr">
        <is>
          <t>HOME MORTGAGE|20260801|31271|PAYMENT#1</t>
        </is>
      </c>
      <c r="Q125" s="92">
        <f>IF(AND(G125=RptMonth,F125="Expense",N(E125)&lt;0),-E125+ROW()/10000000,"")</f>
        <v/>
      </c>
    </row>
    <row r="126">
      <c r="A126" s="86" t="n">
        <v>46235</v>
      </c>
      <c r="B126" s="87" t="inlineStr">
        <is>
          <t>Rewards Visa</t>
        </is>
      </c>
      <c r="C126" s="87" t="inlineStr">
        <is>
          <t>BOWLING LANES</t>
        </is>
      </c>
      <c r="D126" s="87" t="inlineStr">
        <is>
          <t>Entertainment</t>
        </is>
      </c>
      <c r="E126" s="88" t="n">
        <v>-93.47</v>
      </c>
      <c r="F126" s="89">
        <f>IF(E126="","",IF(OR(D126="",D126="Uncategorized"),IF(E126&lt;0,"Expense","Income"),IFERROR(INDEX(Categories!$B$6:$B$65,MATCH(D126,Categories!$A$6:$A$65,0)),IF(E126&lt;0,"Expense","Income"))))</f>
        <v/>
      </c>
      <c r="G126" s="90">
        <f>IF(A126="","",DATE(YEAR(A126),MONTH(A126),1))</f>
        <v/>
      </c>
      <c r="H126" s="87" t="n"/>
      <c r="I126" s="87" t="n"/>
      <c r="J126" s="91" t="inlineStr">
        <is>
          <t>BOWLING LANES</t>
        </is>
      </c>
      <c r="K126" s="91" t="inlineStr">
        <is>
          <t>Sample Card Co</t>
        </is>
      </c>
      <c r="L126" s="91" t="inlineStr">
        <is>
          <t>Credit Card</t>
        </is>
      </c>
      <c r="M126" s="91" t="inlineStr">
        <is>
          <t>Visa_Statement.csv</t>
        </is>
      </c>
      <c r="N126" s="91" t="inlineStr">
        <is>
          <t>2026-10-15 20:14:07</t>
        </is>
      </c>
      <c r="O126" s="91" t="n"/>
      <c r="P126" s="91" t="inlineStr">
        <is>
          <t>REWARDS VISA|20260801|-9347|BOWLINGLANES#1</t>
        </is>
      </c>
      <c r="Q126" s="92">
        <f>IF(AND(G126=RptMonth,F126="Expense",N(E126)&lt;0),-E126+ROW()/10000000,"")</f>
        <v/>
      </c>
    </row>
    <row r="127">
      <c r="A127" s="86" t="n">
        <v>46235</v>
      </c>
      <c r="B127" s="87" t="inlineStr">
        <is>
          <t>Rewards Visa</t>
        </is>
      </c>
      <c r="C127" s="87" t="inlineStr">
        <is>
          <t>SUSHI KOO</t>
        </is>
      </c>
      <c r="D127" s="87" t="inlineStr">
        <is>
          <t>Dining Out</t>
        </is>
      </c>
      <c r="E127" s="88" t="n">
        <v>-48.37</v>
      </c>
      <c r="F127" s="89">
        <f>IF(E127="","",IF(OR(D127="",D127="Uncategorized"),IF(E127&lt;0,"Expense","Income"),IFERROR(INDEX(Categories!$B$6:$B$65,MATCH(D127,Categories!$A$6:$A$65,0)),IF(E127&lt;0,"Expense","Income"))))</f>
        <v/>
      </c>
      <c r="G127" s="90">
        <f>IF(A127="","",DATE(YEAR(A127),MONTH(A127),1))</f>
        <v/>
      </c>
      <c r="H127" s="87" t="n"/>
      <c r="I127" s="87" t="n"/>
      <c r="J127" s="91" t="inlineStr">
        <is>
          <t>SUSHI KOO</t>
        </is>
      </c>
      <c r="K127" s="91" t="inlineStr">
        <is>
          <t>Sample Card Co</t>
        </is>
      </c>
      <c r="L127" s="91" t="inlineStr">
        <is>
          <t>Credit Card</t>
        </is>
      </c>
      <c r="M127" s="91" t="inlineStr">
        <is>
          <t>Visa_Statement.csv</t>
        </is>
      </c>
      <c r="N127" s="91" t="inlineStr">
        <is>
          <t>2026-10-15 20:14:07</t>
        </is>
      </c>
      <c r="O127" s="91" t="n"/>
      <c r="P127" s="91" t="inlineStr">
        <is>
          <t>REWARDS VISA|20260801|-4837|SUSHIKOO#1</t>
        </is>
      </c>
      <c r="Q127" s="92">
        <f>IF(AND(G127=RptMonth,F127="Expense",N(E127)&lt;0),-E127+ROW()/10000000,"")</f>
        <v/>
      </c>
    </row>
    <row r="128">
      <c r="A128" s="86" t="n">
        <v>46235</v>
      </c>
      <c r="B128" s="87" t="inlineStr">
        <is>
          <t>Rewards Visa</t>
        </is>
      </c>
      <c r="C128" s="87" t="inlineStr">
        <is>
          <t>TRADER JOE'S #548</t>
        </is>
      </c>
      <c r="D128" s="87" t="inlineStr">
        <is>
          <t>Groceries</t>
        </is>
      </c>
      <c r="E128" s="88" t="n">
        <v>-91.48999999999999</v>
      </c>
      <c r="F128" s="89">
        <f>IF(E128="","",IF(OR(D128="",D128="Uncategorized"),IF(E128&lt;0,"Expense","Income"),IFERROR(INDEX(Categories!$B$6:$B$65,MATCH(D128,Categories!$A$6:$A$65,0)),IF(E128&lt;0,"Expense","Income"))))</f>
        <v/>
      </c>
      <c r="G128" s="90">
        <f>IF(A128="","",DATE(YEAR(A128),MONTH(A128),1))</f>
        <v/>
      </c>
      <c r="H128" s="87" t="n"/>
      <c r="I128" s="87" t="n"/>
      <c r="J128" s="91" t="inlineStr">
        <is>
          <t>TRADER JOE'S #548</t>
        </is>
      </c>
      <c r="K128" s="91" t="inlineStr">
        <is>
          <t>Sample Card Co</t>
        </is>
      </c>
      <c r="L128" s="91" t="inlineStr">
        <is>
          <t>Credit Card</t>
        </is>
      </c>
      <c r="M128" s="91" t="inlineStr">
        <is>
          <t>Visa_Statement.csv</t>
        </is>
      </c>
      <c r="N128" s="91" t="inlineStr">
        <is>
          <t>2026-10-15 20:14:07</t>
        </is>
      </c>
      <c r="O128" s="91" t="n"/>
      <c r="P128" s="91" t="inlineStr">
        <is>
          <t>REWARDS VISA|20260801|-9149|TRADERJOES548#1</t>
        </is>
      </c>
      <c r="Q128" s="92">
        <f>IF(AND(G128=RptMonth,F128="Expense",N(E128)&lt;0),-E128+ROW()/10000000,"")</f>
        <v/>
      </c>
    </row>
    <row r="129">
      <c r="A129" s="86" t="n">
        <v>46234</v>
      </c>
      <c r="B129" s="87" t="inlineStr">
        <is>
          <t>Rewards Visa</t>
        </is>
      </c>
      <c r="C129" s="87" t="inlineStr">
        <is>
          <t>SUSHI KOO</t>
        </is>
      </c>
      <c r="D129" s="87" t="inlineStr">
        <is>
          <t>Dining Out</t>
        </is>
      </c>
      <c r="E129" s="88" t="n">
        <v>-61.6</v>
      </c>
      <c r="F129" s="89">
        <f>IF(E129="","",IF(OR(D129="",D129="Uncategorized"),IF(E129&lt;0,"Expense","Income"),IFERROR(INDEX(Categories!$B$6:$B$65,MATCH(D129,Categories!$A$6:$A$65,0)),IF(E129&lt;0,"Expense","Income"))))</f>
        <v/>
      </c>
      <c r="G129" s="90">
        <f>IF(A129="","",DATE(YEAR(A129),MONTH(A129),1))</f>
        <v/>
      </c>
      <c r="H129" s="87" t="n"/>
      <c r="I129" s="87" t="n"/>
      <c r="J129" s="91" t="inlineStr">
        <is>
          <t>SUSHI KOO</t>
        </is>
      </c>
      <c r="K129" s="91" t="inlineStr">
        <is>
          <t>Sample Card Co</t>
        </is>
      </c>
      <c r="L129" s="91" t="inlineStr">
        <is>
          <t>Credit Card</t>
        </is>
      </c>
      <c r="M129" s="91" t="inlineStr">
        <is>
          <t>Visa_Statement.csv</t>
        </is>
      </c>
      <c r="N129" s="91" t="inlineStr">
        <is>
          <t>2026-10-15 20:14:07</t>
        </is>
      </c>
      <c r="O129" s="91" t="n"/>
      <c r="P129" s="91" t="inlineStr">
        <is>
          <t>REWARDS VISA|20260731|-6160|SUSHIKOO#1</t>
        </is>
      </c>
      <c r="Q129" s="92">
        <f>IF(AND(G129=RptMonth,F129="Expense",N(E129)&lt;0),-E129+ROW()/10000000,"")</f>
        <v/>
      </c>
    </row>
    <row r="130">
      <c r="A130" s="86" t="n">
        <v>46233</v>
      </c>
      <c r="B130" s="87" t="inlineStr">
        <is>
          <t>Rewards Visa</t>
        </is>
      </c>
      <c r="C130" s="87" t="inlineStr">
        <is>
          <t>CHIPOTLE 2291</t>
        </is>
      </c>
      <c r="D130" s="87" t="inlineStr">
        <is>
          <t>Dining Out</t>
        </is>
      </c>
      <c r="E130" s="88" t="n">
        <v>-17.5</v>
      </c>
      <c r="F130" s="89">
        <f>IF(E130="","",IF(OR(D130="",D130="Uncategorized"),IF(E130&lt;0,"Expense","Income"),IFERROR(INDEX(Categories!$B$6:$B$65,MATCH(D130,Categories!$A$6:$A$65,0)),IF(E130&lt;0,"Expense","Income"))))</f>
        <v/>
      </c>
      <c r="G130" s="90">
        <f>IF(A130="","",DATE(YEAR(A130),MONTH(A130),1))</f>
        <v/>
      </c>
      <c r="H130" s="87" t="n"/>
      <c r="I130" s="87" t="n"/>
      <c r="J130" s="91" t="inlineStr">
        <is>
          <t>CHIPOTLE 2291</t>
        </is>
      </c>
      <c r="K130" s="91" t="inlineStr">
        <is>
          <t>Sample Card Co</t>
        </is>
      </c>
      <c r="L130" s="91" t="inlineStr">
        <is>
          <t>Credit Card</t>
        </is>
      </c>
      <c r="M130" s="91" t="inlineStr">
        <is>
          <t>Visa_Statement.csv</t>
        </is>
      </c>
      <c r="N130" s="91" t="inlineStr">
        <is>
          <t>2026-10-15 20:14:07</t>
        </is>
      </c>
      <c r="O130" s="91" t="n"/>
      <c r="P130" s="91" t="inlineStr">
        <is>
          <t>REWARDS VISA|20260730|-1750|CHIPOTLE2291#1</t>
        </is>
      </c>
      <c r="Q130" s="92">
        <f>IF(AND(G130=RptMonth,F130="Expense",N(E130)&lt;0),-E130+ROW()/10000000,"")</f>
        <v/>
      </c>
    </row>
    <row r="131">
      <c r="A131" s="86" t="n">
        <v>46232</v>
      </c>
      <c r="B131" s="87" t="inlineStr">
        <is>
          <t>Rewards Visa</t>
        </is>
      </c>
      <c r="C131" s="87" t="inlineStr">
        <is>
          <t>TRADER JOE'S #548</t>
        </is>
      </c>
      <c r="D131" s="87" t="inlineStr">
        <is>
          <t>Groceries</t>
        </is>
      </c>
      <c r="E131" s="88" t="n">
        <v>-43.44</v>
      </c>
      <c r="F131" s="89">
        <f>IF(E131="","",IF(OR(D131="",D131="Uncategorized"),IF(E131&lt;0,"Expense","Income"),IFERROR(INDEX(Categories!$B$6:$B$65,MATCH(D131,Categories!$A$6:$A$65,0)),IF(E131&lt;0,"Expense","Income"))))</f>
        <v/>
      </c>
      <c r="G131" s="90">
        <f>IF(A131="","",DATE(YEAR(A131),MONTH(A131),1))</f>
        <v/>
      </c>
      <c r="H131" s="87" t="n"/>
      <c r="I131" s="87" t="n"/>
      <c r="J131" s="91" t="inlineStr">
        <is>
          <t>TRADER JOE'S #548</t>
        </is>
      </c>
      <c r="K131" s="91" t="inlineStr">
        <is>
          <t>Sample Card Co</t>
        </is>
      </c>
      <c r="L131" s="91" t="inlineStr">
        <is>
          <t>Credit Card</t>
        </is>
      </c>
      <c r="M131" s="91" t="inlineStr">
        <is>
          <t>Visa_Statement.csv</t>
        </is>
      </c>
      <c r="N131" s="91" t="inlineStr">
        <is>
          <t>2026-10-15 20:14:07</t>
        </is>
      </c>
      <c r="O131" s="91" t="n"/>
      <c r="P131" s="91" t="inlineStr">
        <is>
          <t>REWARDS VISA|20260729|-4344|TRADERJOES548#1</t>
        </is>
      </c>
      <c r="Q131" s="92">
        <f>IF(AND(G131=RptMonth,F131="Expense",N(E131)&lt;0),-E131+ROW()/10000000,"")</f>
        <v/>
      </c>
    </row>
    <row r="132">
      <c r="A132" s="86" t="n">
        <v>46231</v>
      </c>
      <c r="B132" s="87" t="inlineStr">
        <is>
          <t>High-Yield Savings</t>
        </is>
      </c>
      <c r="C132" s="87" t="inlineStr">
        <is>
          <t>INTEREST PAYMENT</t>
        </is>
      </c>
      <c r="D132" s="87" t="inlineStr">
        <is>
          <t>Interest &amp; Dividends</t>
        </is>
      </c>
      <c r="E132" s="88" t="n">
        <v>47.62</v>
      </c>
      <c r="F132" s="89">
        <f>IF(E132="","",IF(OR(D132="",D132="Uncategorized"),IF(E132&lt;0,"Expense","Income"),IFERROR(INDEX(Categories!$B$6:$B$65,MATCH(D132,Categories!$A$6:$A$65,0)),IF(E132&lt;0,"Expense","Income"))))</f>
        <v/>
      </c>
      <c r="G132" s="90">
        <f>IF(A132="","",DATE(YEAR(A132),MONTH(A132),1))</f>
        <v/>
      </c>
      <c r="H132" s="87" t="n"/>
      <c r="I132" s="87" t="n"/>
      <c r="J132" s="91" t="inlineStr">
        <is>
          <t>INTEREST PAYMENT</t>
        </is>
      </c>
      <c r="K132" s="91" t="inlineStr">
        <is>
          <t>Sample Bank</t>
        </is>
      </c>
      <c r="L132" s="91" t="inlineStr">
        <is>
          <t>Savings</t>
        </is>
      </c>
      <c r="M132" s="91" t="inlineStr">
        <is>
          <t>Savings.qfx</t>
        </is>
      </c>
      <c r="N132" s="91" t="inlineStr">
        <is>
          <t>2026-10-15 20:14:07</t>
        </is>
      </c>
      <c r="O132" s="91" t="inlineStr">
        <is>
          <t>773002026072801</t>
        </is>
      </c>
      <c r="P132" s="91" t="inlineStr">
        <is>
          <t>HIGH-YIELD SAVINGS|ID|773002026072801#1</t>
        </is>
      </c>
      <c r="Q132" s="92">
        <f>IF(AND(G132=RptMonth,F132="Expense",N(E132)&lt;0),-E132+ROW()/10000000,"")</f>
        <v/>
      </c>
    </row>
    <row r="133">
      <c r="A133" s="86" t="n">
        <v>46230</v>
      </c>
      <c r="B133" s="87" t="inlineStr">
        <is>
          <t>Rewards Visa</t>
        </is>
      </c>
      <c r="C133" s="87" t="inlineStr">
        <is>
          <t>AMAZON.COM*2K4LP0</t>
        </is>
      </c>
      <c r="D133" s="87" t="inlineStr">
        <is>
          <t>Shopping</t>
        </is>
      </c>
      <c r="E133" s="88" t="n">
        <v>-62.02</v>
      </c>
      <c r="F133" s="89">
        <f>IF(E133="","",IF(OR(D133="",D133="Uncategorized"),IF(E133&lt;0,"Expense","Income"),IFERROR(INDEX(Categories!$B$6:$B$65,MATCH(D133,Categories!$A$6:$A$65,0)),IF(E133&lt;0,"Expense","Income"))))</f>
        <v/>
      </c>
      <c r="G133" s="90">
        <f>IF(A133="","",DATE(YEAR(A133),MONTH(A133),1))</f>
        <v/>
      </c>
      <c r="H133" s="87" t="n"/>
      <c r="I133" s="87" t="n"/>
      <c r="J133" s="91" t="inlineStr">
        <is>
          <t>AMAZON.COM*2K4LP0</t>
        </is>
      </c>
      <c r="K133" s="91" t="inlineStr">
        <is>
          <t>Sample Card Co</t>
        </is>
      </c>
      <c r="L133" s="91" t="inlineStr">
        <is>
          <t>Credit Card</t>
        </is>
      </c>
      <c r="M133" s="91" t="inlineStr">
        <is>
          <t>Visa_Statement.csv</t>
        </is>
      </c>
      <c r="N133" s="91" t="inlineStr">
        <is>
          <t>2026-10-15 20:14:07</t>
        </is>
      </c>
      <c r="O133" s="91" t="n"/>
      <c r="P133" s="91" t="inlineStr">
        <is>
          <t>REWARDS VISA|20260727|-6202|AMAZONCOM2K4LP0#1</t>
        </is>
      </c>
      <c r="Q133" s="92">
        <f>IF(AND(G133=RptMonth,F133="Expense",N(E133)&lt;0),-E133+ROW()/10000000,"")</f>
        <v/>
      </c>
    </row>
    <row r="134">
      <c r="A134" s="86" t="n">
        <v>46228</v>
      </c>
      <c r="B134" s="87" t="inlineStr">
        <is>
          <t>Rewards Visa</t>
        </is>
      </c>
      <c r="C134" s="87" t="inlineStr">
        <is>
          <t>H MART #112</t>
        </is>
      </c>
      <c r="D134" s="87" t="inlineStr">
        <is>
          <t>Groceries</t>
        </is>
      </c>
      <c r="E134" s="88" t="n">
        <v>-151.8</v>
      </c>
      <c r="F134" s="89">
        <f>IF(E134="","",IF(OR(D134="",D134="Uncategorized"),IF(E134&lt;0,"Expense","Income"),IFERROR(INDEX(Categories!$B$6:$B$65,MATCH(D134,Categories!$A$6:$A$65,0)),IF(E134&lt;0,"Expense","Income"))))</f>
        <v/>
      </c>
      <c r="G134" s="90">
        <f>IF(A134="","",DATE(YEAR(A134),MONTH(A134),1))</f>
        <v/>
      </c>
      <c r="H134" s="87" t="n"/>
      <c r="I134" s="87" t="n"/>
      <c r="J134" s="91" t="inlineStr">
        <is>
          <t>H MART #112</t>
        </is>
      </c>
      <c r="K134" s="91" t="inlineStr">
        <is>
          <t>Sample Card Co</t>
        </is>
      </c>
      <c r="L134" s="91" t="inlineStr">
        <is>
          <t>Credit Card</t>
        </is>
      </c>
      <c r="M134" s="91" t="inlineStr">
        <is>
          <t>Visa_Statement.csv</t>
        </is>
      </c>
      <c r="N134" s="91" t="inlineStr">
        <is>
          <t>2026-10-15 20:14:07</t>
        </is>
      </c>
      <c r="O134" s="91" t="n"/>
      <c r="P134" s="91" t="inlineStr">
        <is>
          <t>REWARDS VISA|20260725|-15180|HMART112#1</t>
        </is>
      </c>
      <c r="Q134" s="92">
        <f>IF(AND(G134=RptMonth,F134="Expense",N(E134)&lt;0),-E134+ROW()/10000000,"")</f>
        <v/>
      </c>
    </row>
    <row r="135">
      <c r="A135" s="86" t="n">
        <v>46227</v>
      </c>
      <c r="B135" s="87" t="inlineStr">
        <is>
          <t>Everyday Checking</t>
        </is>
      </c>
      <c r="C135" s="87" t="inlineStr">
        <is>
          <t>ACME CORP PAYROLL DIR DEP</t>
        </is>
      </c>
      <c r="D135" s="87" t="inlineStr">
        <is>
          <t>Salary</t>
        </is>
      </c>
      <c r="E135" s="88" t="n">
        <v>3461.07</v>
      </c>
      <c r="F135" s="89">
        <f>IF(E135="","",IF(OR(D135="",D135="Uncategorized"),IF(E135&lt;0,"Expense","Income"),IFERROR(INDEX(Categories!$B$6:$B$65,MATCH(D135,Categories!$A$6:$A$65,0)),IF(E135&lt;0,"Expense","Income"))))</f>
        <v/>
      </c>
      <c r="G135" s="90">
        <f>IF(A135="","",DATE(YEAR(A135),MONTH(A135),1))</f>
        <v/>
      </c>
      <c r="H135" s="87" t="n"/>
      <c r="I135" s="87" t="n"/>
      <c r="J135" s="91" t="inlineStr">
        <is>
          <t>ACME CORP PAYROLL DIR DEP</t>
        </is>
      </c>
      <c r="K135" s="91" t="inlineStr">
        <is>
          <t>Sample Bank</t>
        </is>
      </c>
      <c r="L135" s="91" t="inlineStr">
        <is>
          <t>Checking</t>
        </is>
      </c>
      <c r="M135" s="91" t="inlineStr">
        <is>
          <t>Checking_Activity.csv</t>
        </is>
      </c>
      <c r="N135" s="91" t="inlineStr">
        <is>
          <t>2026-10-15 20:14:07</t>
        </is>
      </c>
      <c r="O135" s="91" t="n"/>
      <c r="P135" s="91" t="inlineStr">
        <is>
          <t>EVERYDAY CHECKING|20260724|346107|ACMECORPPAYROLLDIRDEP#1</t>
        </is>
      </c>
      <c r="Q135" s="92">
        <f>IF(AND(G135=RptMonth,F135="Expense",N(E135)&lt;0),-E135+ROW()/10000000,"")</f>
        <v/>
      </c>
    </row>
    <row r="136">
      <c r="A136" s="86" t="n">
        <v>46227</v>
      </c>
      <c r="B136" s="87" t="inlineStr">
        <is>
          <t>Rewards Visa</t>
        </is>
      </c>
      <c r="C136" s="87" t="inlineStr">
        <is>
          <t>CVS/PHARMACY #02210</t>
        </is>
      </c>
      <c r="D136" s="87" t="inlineStr">
        <is>
          <t>Shopping</t>
        </is>
      </c>
      <c r="E136" s="88" t="n">
        <v>-32.92</v>
      </c>
      <c r="F136" s="89">
        <f>IF(E136="","",IF(OR(D136="",D136="Uncategorized"),IF(E136&lt;0,"Expense","Income"),IFERROR(INDEX(Categories!$B$6:$B$65,MATCH(D136,Categories!$A$6:$A$65,0)),IF(E136&lt;0,"Expense","Income"))))</f>
        <v/>
      </c>
      <c r="G136" s="90">
        <f>IF(A136="","",DATE(YEAR(A136),MONTH(A136),1))</f>
        <v/>
      </c>
      <c r="H136" s="87" t="n"/>
      <c r="I136" s="87" t="n"/>
      <c r="J136" s="91" t="inlineStr">
        <is>
          <t>CVS/PHARMACY #02210</t>
        </is>
      </c>
      <c r="K136" s="91" t="inlineStr">
        <is>
          <t>Sample Card Co</t>
        </is>
      </c>
      <c r="L136" s="91" t="inlineStr">
        <is>
          <t>Credit Card</t>
        </is>
      </c>
      <c r="M136" s="91" t="inlineStr">
        <is>
          <t>Visa_Statement.csv</t>
        </is>
      </c>
      <c r="N136" s="91" t="inlineStr">
        <is>
          <t>2026-10-15 20:14:07</t>
        </is>
      </c>
      <c r="O136" s="91" t="n"/>
      <c r="P136" s="91" t="inlineStr">
        <is>
          <t>REWARDS VISA|20260724|-3292|CVSPHARMACY02210#1</t>
        </is>
      </c>
      <c r="Q136" s="92">
        <f>IF(AND(G136=RptMonth,F136="Expense",N(E136)&lt;0),-E136+ROW()/10000000,"")</f>
        <v/>
      </c>
    </row>
    <row r="137">
      <c r="A137" s="86" t="n">
        <v>46227</v>
      </c>
      <c r="B137" s="87" t="inlineStr">
        <is>
          <t>Rewards Visa</t>
        </is>
      </c>
      <c r="C137" s="87" t="inlineStr">
        <is>
          <t>EXXONMOBIL 4471</t>
        </is>
      </c>
      <c r="D137" s="87" t="inlineStr">
        <is>
          <t>Gas &amp; Fuel</t>
        </is>
      </c>
      <c r="E137" s="88" t="n">
        <v>-50.89</v>
      </c>
      <c r="F137" s="89">
        <f>IF(E137="","",IF(OR(D137="",D137="Uncategorized"),IF(E137&lt;0,"Expense","Income"),IFERROR(INDEX(Categories!$B$6:$B$65,MATCH(D137,Categories!$A$6:$A$65,0)),IF(E137&lt;0,"Expense","Income"))))</f>
        <v/>
      </c>
      <c r="G137" s="90">
        <f>IF(A137="","",DATE(YEAR(A137),MONTH(A137),1))</f>
        <v/>
      </c>
      <c r="H137" s="87" t="n"/>
      <c r="I137" s="87" t="n"/>
      <c r="J137" s="91" t="inlineStr">
        <is>
          <t>EXXONMOBIL 4471</t>
        </is>
      </c>
      <c r="K137" s="91" t="inlineStr">
        <is>
          <t>Sample Card Co</t>
        </is>
      </c>
      <c r="L137" s="91" t="inlineStr">
        <is>
          <t>Credit Card</t>
        </is>
      </c>
      <c r="M137" s="91" t="inlineStr">
        <is>
          <t>Visa_Statement.csv</t>
        </is>
      </c>
      <c r="N137" s="91" t="inlineStr">
        <is>
          <t>2026-10-15 20:14:07</t>
        </is>
      </c>
      <c r="O137" s="91" t="n"/>
      <c r="P137" s="91" t="inlineStr">
        <is>
          <t>REWARDS VISA|20260724|-5089|EXXONMOBIL4471#1</t>
        </is>
      </c>
      <c r="Q137" s="92">
        <f>IF(AND(G137=RptMonth,F137="Expense",N(E137)&lt;0),-E137+ROW()/10000000,"")</f>
        <v/>
      </c>
    </row>
    <row r="138">
      <c r="A138" s="86" t="n">
        <v>46225</v>
      </c>
      <c r="B138" s="87" t="inlineStr">
        <is>
          <t>Rewards Visa</t>
        </is>
      </c>
      <c r="C138" s="87" t="inlineStr">
        <is>
          <t>BOWLING LANES</t>
        </is>
      </c>
      <c r="D138" s="87" t="inlineStr">
        <is>
          <t>Entertainment</t>
        </is>
      </c>
      <c r="E138" s="88" t="n">
        <v>-48.99</v>
      </c>
      <c r="F138" s="89">
        <f>IF(E138="","",IF(OR(D138="",D138="Uncategorized"),IF(E138&lt;0,"Expense","Income"),IFERROR(INDEX(Categories!$B$6:$B$65,MATCH(D138,Categories!$A$6:$A$65,0)),IF(E138&lt;0,"Expense","Income"))))</f>
        <v/>
      </c>
      <c r="G138" s="90">
        <f>IF(A138="","",DATE(YEAR(A138),MONTH(A138),1))</f>
        <v/>
      </c>
      <c r="H138" s="87" t="n"/>
      <c r="I138" s="87" t="n"/>
      <c r="J138" s="91" t="inlineStr">
        <is>
          <t>BOWLING LANES</t>
        </is>
      </c>
      <c r="K138" s="91" t="inlineStr">
        <is>
          <t>Sample Card Co</t>
        </is>
      </c>
      <c r="L138" s="91" t="inlineStr">
        <is>
          <t>Credit Card</t>
        </is>
      </c>
      <c r="M138" s="91" t="inlineStr">
        <is>
          <t>Visa_Statement.csv</t>
        </is>
      </c>
      <c r="N138" s="91" t="inlineStr">
        <is>
          <t>2026-10-15 20:14:07</t>
        </is>
      </c>
      <c r="O138" s="91" t="n"/>
      <c r="P138" s="91" t="inlineStr">
        <is>
          <t>REWARDS VISA|20260722|-4899|BOWLINGLANES#1</t>
        </is>
      </c>
      <c r="Q138" s="92">
        <f>IF(AND(G138=RptMonth,F138="Expense",N(E138)&lt;0),-E138+ROW()/10000000,"")</f>
        <v/>
      </c>
    </row>
    <row r="139">
      <c r="A139" s="86" t="n">
        <v>46224</v>
      </c>
      <c r="B139" s="87" t="inlineStr">
        <is>
          <t>Rewards Visa</t>
        </is>
      </c>
      <c r="C139" s="87" t="inlineStr">
        <is>
          <t>GREAT CLIPS #4410</t>
        </is>
      </c>
      <c r="D139" s="87" t="inlineStr">
        <is>
          <t>Personal Care</t>
        </is>
      </c>
      <c r="E139" s="88" t="n">
        <v>-26.3</v>
      </c>
      <c r="F139" s="89">
        <f>IF(E139="","",IF(OR(D139="",D139="Uncategorized"),IF(E139&lt;0,"Expense","Income"),IFERROR(INDEX(Categories!$B$6:$B$65,MATCH(D139,Categories!$A$6:$A$65,0)),IF(E139&lt;0,"Expense","Income"))))</f>
        <v/>
      </c>
      <c r="G139" s="90">
        <f>IF(A139="","",DATE(YEAR(A139),MONTH(A139),1))</f>
        <v/>
      </c>
      <c r="H139" s="87" t="n"/>
      <c r="I139" s="87" t="n"/>
      <c r="J139" s="91" t="inlineStr">
        <is>
          <t>GREAT CLIPS #4410</t>
        </is>
      </c>
      <c r="K139" s="91" t="inlineStr">
        <is>
          <t>Sample Card Co</t>
        </is>
      </c>
      <c r="L139" s="91" t="inlineStr">
        <is>
          <t>Credit Card</t>
        </is>
      </c>
      <c r="M139" s="91" t="inlineStr">
        <is>
          <t>Visa_Statement.csv</t>
        </is>
      </c>
      <c r="N139" s="91" t="inlineStr">
        <is>
          <t>2026-10-15 20:14:07</t>
        </is>
      </c>
      <c r="O139" s="91" t="n"/>
      <c r="P139" s="91" t="inlineStr">
        <is>
          <t>REWARDS VISA|20260721|-2630|GREATCLIPS4410#1</t>
        </is>
      </c>
      <c r="Q139" s="92">
        <f>IF(AND(G139=RptMonth,F139="Expense",N(E139)&lt;0),-E139+ROW()/10000000,"")</f>
        <v/>
      </c>
    </row>
    <row r="140">
      <c r="A140" s="86" t="n">
        <v>46223</v>
      </c>
      <c r="B140" s="87" t="inlineStr">
        <is>
          <t>Everyday Checking</t>
        </is>
      </c>
      <c r="C140" s="87" t="inlineStr">
        <is>
          <t>CREDIT CARD PAYMENT REWARDS VISA</t>
        </is>
      </c>
      <c r="D140" s="87" t="inlineStr">
        <is>
          <t>Credit Card Payment</t>
        </is>
      </c>
      <c r="E140" s="88" t="n">
        <v>-3066.49</v>
      </c>
      <c r="F140" s="89">
        <f>IF(E140="","",IF(OR(D140="",D140="Uncategorized"),IF(E140&lt;0,"Expense","Income"),IFERROR(INDEX(Categories!$B$6:$B$65,MATCH(D140,Categories!$A$6:$A$65,0)),IF(E140&lt;0,"Expense","Income"))))</f>
        <v/>
      </c>
      <c r="G140" s="90">
        <f>IF(A140="","",DATE(YEAR(A140),MONTH(A140),1))</f>
        <v/>
      </c>
      <c r="H140" s="87" t="n"/>
      <c r="I140" s="87" t="n"/>
      <c r="J140" s="91" t="inlineStr">
        <is>
          <t>CREDIT CARD PAYMENT REWARDS VISA</t>
        </is>
      </c>
      <c r="K140" s="91" t="inlineStr">
        <is>
          <t>Sample Bank</t>
        </is>
      </c>
      <c r="L140" s="91" t="inlineStr">
        <is>
          <t>Checking</t>
        </is>
      </c>
      <c r="M140" s="91" t="inlineStr">
        <is>
          <t>Checking_Activity.csv</t>
        </is>
      </c>
      <c r="N140" s="91" t="inlineStr">
        <is>
          <t>2026-10-15 20:14:07</t>
        </is>
      </c>
      <c r="O140" s="91" t="n"/>
      <c r="P140" s="91" t="inlineStr">
        <is>
          <t>EVERYDAY CHECKING|20260720|-306649|CREDITCARDPAYMENTREWARDSVISA#1</t>
        </is>
      </c>
      <c r="Q140" s="92">
        <f>IF(AND(G140=RptMonth,F140="Expense",N(E140)&lt;0),-E140+ROW()/10000000,"")</f>
        <v/>
      </c>
    </row>
    <row r="141">
      <c r="A141" s="86" t="n">
        <v>46223</v>
      </c>
      <c r="B141" s="87" t="inlineStr">
        <is>
          <t>Rewards Visa</t>
        </is>
      </c>
      <c r="C141" s="87" t="inlineStr">
        <is>
          <t>PAYMENT THANK YOU</t>
        </is>
      </c>
      <c r="D141" s="87" t="inlineStr">
        <is>
          <t>Credit Card Payment</t>
        </is>
      </c>
      <c r="E141" s="88" t="n">
        <v>3066.49</v>
      </c>
      <c r="F141" s="89">
        <f>IF(E141="","",IF(OR(D141="",D141="Uncategorized"),IF(E141&lt;0,"Expense","Income"),IFERROR(INDEX(Categories!$B$6:$B$65,MATCH(D141,Categories!$A$6:$A$65,0)),IF(E141&lt;0,"Expense","Income"))))</f>
        <v/>
      </c>
      <c r="G141" s="90">
        <f>IF(A141="","",DATE(YEAR(A141),MONTH(A141),1))</f>
        <v/>
      </c>
      <c r="H141" s="87" t="n"/>
      <c r="I141" s="87" t="n"/>
      <c r="J141" s="91" t="inlineStr">
        <is>
          <t>PAYMENT THANK YOU</t>
        </is>
      </c>
      <c r="K141" s="91" t="inlineStr">
        <is>
          <t>Sample Card Co</t>
        </is>
      </c>
      <c r="L141" s="91" t="inlineStr">
        <is>
          <t>Credit Card</t>
        </is>
      </c>
      <c r="M141" s="91" t="inlineStr">
        <is>
          <t>Visa_Statement.csv</t>
        </is>
      </c>
      <c r="N141" s="91" t="inlineStr">
        <is>
          <t>2026-10-15 20:14:07</t>
        </is>
      </c>
      <c r="O141" s="91" t="n"/>
      <c r="P141" s="91" t="inlineStr">
        <is>
          <t>REWARDS VISA|20260720|306649|PAYMENTTHANKYOU#1</t>
        </is>
      </c>
      <c r="Q141" s="92">
        <f>IF(AND(G141=RptMonth,F141="Expense",N(E141)&lt;0),-E141+ROW()/10000000,"")</f>
        <v/>
      </c>
    </row>
    <row r="142">
      <c r="A142" s="86" t="n">
        <v>46223</v>
      </c>
      <c r="B142" s="87" t="inlineStr">
        <is>
          <t>Rewards Visa</t>
        </is>
      </c>
      <c r="C142" s="87" t="inlineStr">
        <is>
          <t>SWEETGREEN PALISADES</t>
        </is>
      </c>
      <c r="D142" s="87" t="inlineStr">
        <is>
          <t>Dining Out</t>
        </is>
      </c>
      <c r="E142" s="88" t="n">
        <v>-32.35</v>
      </c>
      <c r="F142" s="89">
        <f>IF(E142="","",IF(OR(D142="",D142="Uncategorized"),IF(E142&lt;0,"Expense","Income"),IFERROR(INDEX(Categories!$B$6:$B$65,MATCH(D142,Categories!$A$6:$A$65,0)),IF(E142&lt;0,"Expense","Income"))))</f>
        <v/>
      </c>
      <c r="G142" s="90">
        <f>IF(A142="","",DATE(YEAR(A142),MONTH(A142),1))</f>
        <v/>
      </c>
      <c r="H142" s="87" t="n"/>
      <c r="I142" s="87" t="n"/>
      <c r="J142" s="91" t="inlineStr">
        <is>
          <t>SWEETGREEN PALISADES</t>
        </is>
      </c>
      <c r="K142" s="91" t="inlineStr">
        <is>
          <t>Sample Card Co</t>
        </is>
      </c>
      <c r="L142" s="91" t="inlineStr">
        <is>
          <t>Credit Card</t>
        </is>
      </c>
      <c r="M142" s="91" t="inlineStr">
        <is>
          <t>Visa_Statement.csv</t>
        </is>
      </c>
      <c r="N142" s="91" t="inlineStr">
        <is>
          <t>2026-10-15 20:14:07</t>
        </is>
      </c>
      <c r="O142" s="91" t="n"/>
      <c r="P142" s="91" t="inlineStr">
        <is>
          <t>REWARDS VISA|20260720|-3235|SWEETGREENPALISADES#1</t>
        </is>
      </c>
      <c r="Q142" s="92">
        <f>IF(AND(G142=RptMonth,F142="Expense",N(E142)&lt;0),-E142+ROW()/10000000,"")</f>
        <v/>
      </c>
    </row>
    <row r="143">
      <c r="A143" s="86" t="n">
        <v>46222</v>
      </c>
      <c r="B143" s="87" t="inlineStr">
        <is>
          <t>Rewards Visa</t>
        </is>
      </c>
      <c r="C143" s="87" t="inlineStr">
        <is>
          <t>TICKETMASTER</t>
        </is>
      </c>
      <c r="D143" s="87" t="inlineStr">
        <is>
          <t>Entertainment</t>
        </is>
      </c>
      <c r="E143" s="88" t="n">
        <v>-27.69</v>
      </c>
      <c r="F143" s="89">
        <f>IF(E143="","",IF(OR(D143="",D143="Uncategorized"),IF(E143&lt;0,"Expense","Income"),IFERROR(INDEX(Categories!$B$6:$B$65,MATCH(D143,Categories!$A$6:$A$65,0)),IF(E143&lt;0,"Expense","Income"))))</f>
        <v/>
      </c>
      <c r="G143" s="90">
        <f>IF(A143="","",DATE(YEAR(A143),MONTH(A143),1))</f>
        <v/>
      </c>
      <c r="H143" s="87" t="n"/>
      <c r="I143" s="87" t="n"/>
      <c r="J143" s="91" t="inlineStr">
        <is>
          <t>TICKETMASTER</t>
        </is>
      </c>
      <c r="K143" s="91" t="inlineStr">
        <is>
          <t>Sample Card Co</t>
        </is>
      </c>
      <c r="L143" s="91" t="inlineStr">
        <is>
          <t>Credit Card</t>
        </is>
      </c>
      <c r="M143" s="91" t="inlineStr">
        <is>
          <t>Visa_Statement.csv</t>
        </is>
      </c>
      <c r="N143" s="91" t="inlineStr">
        <is>
          <t>2026-10-15 20:14:07</t>
        </is>
      </c>
      <c r="O143" s="91" t="n"/>
      <c r="P143" s="91" t="inlineStr">
        <is>
          <t>REWARDS VISA|20260719|-2769|TICKETMASTER#1</t>
        </is>
      </c>
      <c r="Q143" s="92">
        <f>IF(AND(G143=RptMonth,F143="Expense",N(E143)&lt;0),-E143+ROW()/10000000,"")</f>
        <v/>
      </c>
    </row>
    <row r="144">
      <c r="A144" s="86" t="n">
        <v>46222</v>
      </c>
      <c r="B144" s="87" t="inlineStr">
        <is>
          <t>Rewards Visa</t>
        </is>
      </c>
      <c r="C144" s="87" t="inlineStr">
        <is>
          <t>WALT DISNEY WORLD TICKETS</t>
        </is>
      </c>
      <c r="D144" s="87" t="inlineStr">
        <is>
          <t>Uncategorized</t>
        </is>
      </c>
      <c r="E144" s="88" t="n">
        <v>-540</v>
      </c>
      <c r="F144" s="89">
        <f>IF(E144="","",IF(OR(D144="",D144="Uncategorized"),IF(E144&lt;0,"Expense","Income"),IFERROR(INDEX(Categories!$B$6:$B$65,MATCH(D144,Categories!$A$6:$A$65,0)),IF(E144&lt;0,"Expense","Income"))))</f>
        <v/>
      </c>
      <c r="G144" s="90">
        <f>IF(A144="","",DATE(YEAR(A144),MONTH(A144),1))</f>
        <v/>
      </c>
      <c r="H144" s="87" t="n"/>
      <c r="I144" s="87" t="n"/>
      <c r="J144" s="91" t="inlineStr">
        <is>
          <t>WALT DISNEY WORLD TICKETS</t>
        </is>
      </c>
      <c r="K144" s="91" t="inlineStr">
        <is>
          <t>Sample Card Co</t>
        </is>
      </c>
      <c r="L144" s="91" t="inlineStr">
        <is>
          <t>Credit Card</t>
        </is>
      </c>
      <c r="M144" s="91" t="inlineStr">
        <is>
          <t>Visa_Statement.csv</t>
        </is>
      </c>
      <c r="N144" s="91" t="inlineStr">
        <is>
          <t>2026-10-15 20:14:07</t>
        </is>
      </c>
      <c r="O144" s="91" t="n"/>
      <c r="P144" s="91" t="inlineStr">
        <is>
          <t>REWARDS VISA|20260719|-54000|WALTDISNEYWORLDTICKETS#1</t>
        </is>
      </c>
      <c r="Q144" s="92">
        <f>IF(AND(G144=RptMonth,F144="Expense",N(E144)&lt;0),-E144+ROW()/10000000,"")</f>
        <v/>
      </c>
    </row>
    <row r="145">
      <c r="A145" s="86" t="n">
        <v>46221</v>
      </c>
      <c r="B145" s="87" t="inlineStr">
        <is>
          <t>Everyday Checking</t>
        </is>
      </c>
      <c r="C145" s="87" t="inlineStr">
        <is>
          <t>SAMPLE LOAN SERVICER STUDENT LOAN</t>
        </is>
      </c>
      <c r="D145" s="87" t="inlineStr">
        <is>
          <t>Loan Payments</t>
        </is>
      </c>
      <c r="E145" s="88" t="n">
        <v>-260</v>
      </c>
      <c r="F145" s="89">
        <f>IF(E145="","",IF(OR(D145="",D145="Uncategorized"),IF(E145&lt;0,"Expense","Income"),IFERROR(INDEX(Categories!$B$6:$B$65,MATCH(D145,Categories!$A$6:$A$65,0)),IF(E145&lt;0,"Expense","Income"))))</f>
        <v/>
      </c>
      <c r="G145" s="90">
        <f>IF(A145="","",DATE(YEAR(A145),MONTH(A145),1))</f>
        <v/>
      </c>
      <c r="H145" s="87" t="n"/>
      <c r="I145" s="87" t="n"/>
      <c r="J145" s="91" t="inlineStr">
        <is>
          <t>SAMPLE LOAN SERVICER STUDENT LOAN</t>
        </is>
      </c>
      <c r="K145" s="91" t="inlineStr">
        <is>
          <t>Sample Bank</t>
        </is>
      </c>
      <c r="L145" s="91" t="inlineStr">
        <is>
          <t>Checking</t>
        </is>
      </c>
      <c r="M145" s="91" t="inlineStr">
        <is>
          <t>Checking_Activity.csv</t>
        </is>
      </c>
      <c r="N145" s="91" t="inlineStr">
        <is>
          <t>2026-10-15 20:14:07</t>
        </is>
      </c>
      <c r="O145" s="91" t="n"/>
      <c r="P145" s="91" t="inlineStr">
        <is>
          <t>EVERYDAY CHECKING|20260718|-26000|SAMPLELOANSERVICERSTUDENTLOAN#1</t>
        </is>
      </c>
      <c r="Q145" s="92">
        <f>IF(AND(G145=RptMonth,F145="Expense",N(E145)&lt;0),-E145+ROW()/10000000,"")</f>
        <v/>
      </c>
    </row>
    <row r="146">
      <c r="A146" s="86" t="n">
        <v>46221</v>
      </c>
      <c r="B146" s="87" t="inlineStr">
        <is>
          <t>Rewards Visa</t>
        </is>
      </c>
      <c r="C146" s="87" t="inlineStr">
        <is>
          <t>AMC THEATRES 0221</t>
        </is>
      </c>
      <c r="D146" s="87" t="inlineStr">
        <is>
          <t>Entertainment</t>
        </is>
      </c>
      <c r="E146" s="88" t="n">
        <v>-63.24</v>
      </c>
      <c r="F146" s="89">
        <f>IF(E146="","",IF(OR(D146="",D146="Uncategorized"),IF(E146&lt;0,"Expense","Income"),IFERROR(INDEX(Categories!$B$6:$B$65,MATCH(D146,Categories!$A$6:$A$65,0)),IF(E146&lt;0,"Expense","Income"))))</f>
        <v/>
      </c>
      <c r="G146" s="90">
        <f>IF(A146="","",DATE(YEAR(A146),MONTH(A146),1))</f>
        <v/>
      </c>
      <c r="H146" s="87" t="n"/>
      <c r="I146" s="87" t="n"/>
      <c r="J146" s="91" t="inlineStr">
        <is>
          <t>AMC THEATRES 0221</t>
        </is>
      </c>
      <c r="K146" s="91" t="inlineStr">
        <is>
          <t>Sample Card Co</t>
        </is>
      </c>
      <c r="L146" s="91" t="inlineStr">
        <is>
          <t>Credit Card</t>
        </is>
      </c>
      <c r="M146" s="91" t="inlineStr">
        <is>
          <t>Visa_Statement.csv</t>
        </is>
      </c>
      <c r="N146" s="91" t="inlineStr">
        <is>
          <t>2026-10-15 20:14:07</t>
        </is>
      </c>
      <c r="O146" s="91" t="n"/>
      <c r="P146" s="91" t="inlineStr">
        <is>
          <t>REWARDS VISA|20260718|-6324|AMCTHEATRES0221#1</t>
        </is>
      </c>
      <c r="Q146" s="92">
        <f>IF(AND(G146=RptMonth,F146="Expense",N(E146)&lt;0),-E146+ROW()/10000000,"")</f>
        <v/>
      </c>
    </row>
    <row r="147">
      <c r="A147" s="86" t="n">
        <v>46221</v>
      </c>
      <c r="B147" s="87" t="inlineStr">
        <is>
          <t>Rewards Visa</t>
        </is>
      </c>
      <c r="C147" s="87" t="inlineStr">
        <is>
          <t>H MART #112</t>
        </is>
      </c>
      <c r="D147" s="87" t="inlineStr">
        <is>
          <t>Groceries</t>
        </is>
      </c>
      <c r="E147" s="88" t="n">
        <v>-154.6</v>
      </c>
      <c r="F147" s="89">
        <f>IF(E147="","",IF(OR(D147="",D147="Uncategorized"),IF(E147&lt;0,"Expense","Income"),IFERROR(INDEX(Categories!$B$6:$B$65,MATCH(D147,Categories!$A$6:$A$65,0)),IF(E147&lt;0,"Expense","Income"))))</f>
        <v/>
      </c>
      <c r="G147" s="90">
        <f>IF(A147="","",DATE(YEAR(A147),MONTH(A147),1))</f>
        <v/>
      </c>
      <c r="H147" s="87" t="n"/>
      <c r="I147" s="87" t="n"/>
      <c r="J147" s="91" t="inlineStr">
        <is>
          <t>H MART #112</t>
        </is>
      </c>
      <c r="K147" s="91" t="inlineStr">
        <is>
          <t>Sample Card Co</t>
        </is>
      </c>
      <c r="L147" s="91" t="inlineStr">
        <is>
          <t>Credit Card</t>
        </is>
      </c>
      <c r="M147" s="91" t="inlineStr">
        <is>
          <t>Visa_Statement.csv</t>
        </is>
      </c>
      <c r="N147" s="91" t="inlineStr">
        <is>
          <t>2026-10-15 20:14:07</t>
        </is>
      </c>
      <c r="O147" s="91" t="n"/>
      <c r="P147" s="91" t="inlineStr">
        <is>
          <t>REWARDS VISA|20260718|-15460|HMART112#1</t>
        </is>
      </c>
      <c r="Q147" s="92">
        <f>IF(AND(G147=RptMonth,F147="Expense",N(E147)&lt;0),-E147+ROW()/10000000,"")</f>
        <v/>
      </c>
    </row>
    <row r="148">
      <c r="A148" s="86" t="n">
        <v>46221</v>
      </c>
      <c r="B148" s="87" t="inlineStr">
        <is>
          <t>Rewards Visa</t>
        </is>
      </c>
      <c r="C148" s="87" t="inlineStr">
        <is>
          <t>MARRIOTT HOTEL ORLANDO</t>
        </is>
      </c>
      <c r="D148" s="87" t="inlineStr">
        <is>
          <t>Travel</t>
        </is>
      </c>
      <c r="E148" s="88" t="n">
        <v>-612.45</v>
      </c>
      <c r="F148" s="89">
        <f>IF(E148="","",IF(OR(D148="",D148="Uncategorized"),IF(E148&lt;0,"Expense","Income"),IFERROR(INDEX(Categories!$B$6:$B$65,MATCH(D148,Categories!$A$6:$A$65,0)),IF(E148&lt;0,"Expense","Income"))))</f>
        <v/>
      </c>
      <c r="G148" s="90">
        <f>IF(A148="","",DATE(YEAR(A148),MONTH(A148),1))</f>
        <v/>
      </c>
      <c r="H148" s="87" t="n"/>
      <c r="I148" s="87" t="n"/>
      <c r="J148" s="91" t="inlineStr">
        <is>
          <t>MARRIOTT HOTEL ORLANDO</t>
        </is>
      </c>
      <c r="K148" s="91" t="inlineStr">
        <is>
          <t>Sample Card Co</t>
        </is>
      </c>
      <c r="L148" s="91" t="inlineStr">
        <is>
          <t>Credit Card</t>
        </is>
      </c>
      <c r="M148" s="91" t="inlineStr">
        <is>
          <t>Visa_Statement.csv</t>
        </is>
      </c>
      <c r="N148" s="91" t="inlineStr">
        <is>
          <t>2026-10-15 20:14:07</t>
        </is>
      </c>
      <c r="O148" s="91" t="n"/>
      <c r="P148" s="91" t="inlineStr">
        <is>
          <t>REWARDS VISA|20260718|-61245|MARRIOTTHOTELORLANDO#1</t>
        </is>
      </c>
      <c r="Q148" s="92">
        <f>IF(AND(G148=RptMonth,F148="Expense",N(E148)&lt;0),-E148+ROW()/10000000,"")</f>
        <v/>
      </c>
    </row>
    <row r="149">
      <c r="A149" s="86" t="n">
        <v>46220</v>
      </c>
      <c r="B149" s="87" t="inlineStr">
        <is>
          <t>Rewards Visa</t>
        </is>
      </c>
      <c r="C149" s="87" t="inlineStr">
        <is>
          <t>SHELL OIL 57444</t>
        </is>
      </c>
      <c r="D149" s="87" t="inlineStr">
        <is>
          <t>Gas &amp; Fuel</t>
        </is>
      </c>
      <c r="E149" s="88" t="n">
        <v>-40.53</v>
      </c>
      <c r="F149" s="89">
        <f>IF(E149="","",IF(OR(D149="",D149="Uncategorized"),IF(E149&lt;0,"Expense","Income"),IFERROR(INDEX(Categories!$B$6:$B$65,MATCH(D149,Categories!$A$6:$A$65,0)),IF(E149&lt;0,"Expense","Income"))))</f>
        <v/>
      </c>
      <c r="G149" s="90">
        <f>IF(A149="","",DATE(YEAR(A149),MONTH(A149),1))</f>
        <v/>
      </c>
      <c r="H149" s="87" t="n"/>
      <c r="I149" s="87" t="n"/>
      <c r="J149" s="91" t="inlineStr">
        <is>
          <t>SHELL OIL 57444</t>
        </is>
      </c>
      <c r="K149" s="91" t="inlineStr">
        <is>
          <t>Sample Card Co</t>
        </is>
      </c>
      <c r="L149" s="91" t="inlineStr">
        <is>
          <t>Credit Card</t>
        </is>
      </c>
      <c r="M149" s="91" t="inlineStr">
        <is>
          <t>Visa_Statement.csv</t>
        </is>
      </c>
      <c r="N149" s="91" t="inlineStr">
        <is>
          <t>2026-10-15 20:14:07</t>
        </is>
      </c>
      <c r="O149" s="91" t="n"/>
      <c r="P149" s="91" t="inlineStr">
        <is>
          <t>REWARDS VISA|20260717|-4053|SHELLOIL57444#1</t>
        </is>
      </c>
      <c r="Q149" s="92">
        <f>IF(AND(G149=RptMonth,F149="Expense",N(E149)&lt;0),-E149+ROW()/10000000,"")</f>
        <v/>
      </c>
    </row>
    <row r="150">
      <c r="A150" s="86" t="n">
        <v>46219</v>
      </c>
      <c r="B150" s="87" t="inlineStr">
        <is>
          <t>Rewards Visa</t>
        </is>
      </c>
      <c r="C150" s="87" t="inlineStr">
        <is>
          <t>PLANET FITNESS</t>
        </is>
      </c>
      <c r="D150" s="87" t="inlineStr">
        <is>
          <t>Health &amp; Fitness</t>
        </is>
      </c>
      <c r="E150" s="88" t="n">
        <v>-24.99</v>
      </c>
      <c r="F150" s="89">
        <f>IF(E150="","",IF(OR(D150="",D150="Uncategorized"),IF(E150&lt;0,"Expense","Income"),IFERROR(INDEX(Categories!$B$6:$B$65,MATCH(D150,Categories!$A$6:$A$65,0)),IF(E150&lt;0,"Expense","Income"))))</f>
        <v/>
      </c>
      <c r="G150" s="90">
        <f>IF(A150="","",DATE(YEAR(A150),MONTH(A150),1))</f>
        <v/>
      </c>
      <c r="H150" s="87" t="n"/>
      <c r="I150" s="87" t="n"/>
      <c r="J150" s="91" t="inlineStr">
        <is>
          <t>PLANET FITNESS</t>
        </is>
      </c>
      <c r="K150" s="91" t="inlineStr">
        <is>
          <t>Sample Card Co</t>
        </is>
      </c>
      <c r="L150" s="91" t="inlineStr">
        <is>
          <t>Credit Card</t>
        </is>
      </c>
      <c r="M150" s="91" t="inlineStr">
        <is>
          <t>Visa_Statement.csv</t>
        </is>
      </c>
      <c r="N150" s="91" t="inlineStr">
        <is>
          <t>2026-10-15 20:14:07</t>
        </is>
      </c>
      <c r="O150" s="91" t="n"/>
      <c r="P150" s="91" t="inlineStr">
        <is>
          <t>REWARDS VISA|20260716|-2499|PLANETFITNESS#1</t>
        </is>
      </c>
      <c r="Q150" s="92">
        <f>IF(AND(G150=RptMonth,F150="Expense",N(E150)&lt;0),-E150+ROW()/10000000,"")</f>
        <v/>
      </c>
    </row>
    <row r="151">
      <c r="A151" s="86" t="n">
        <v>46218</v>
      </c>
      <c r="B151" s="87" t="inlineStr">
        <is>
          <t>Everyday Checking</t>
        </is>
      </c>
      <c r="C151" s="87" t="inlineStr">
        <is>
          <t>XFINITY INTERNET</t>
        </is>
      </c>
      <c r="D151" s="87" t="inlineStr">
        <is>
          <t>Phone &amp; Internet</t>
        </is>
      </c>
      <c r="E151" s="88" t="n">
        <v>-79.98999999999999</v>
      </c>
      <c r="F151" s="89">
        <f>IF(E151="","",IF(OR(D151="",D151="Uncategorized"),IF(E151&lt;0,"Expense","Income"),IFERROR(INDEX(Categories!$B$6:$B$65,MATCH(D151,Categories!$A$6:$A$65,0)),IF(E151&lt;0,"Expense","Income"))))</f>
        <v/>
      </c>
      <c r="G151" s="90">
        <f>IF(A151="","",DATE(YEAR(A151),MONTH(A151),1))</f>
        <v/>
      </c>
      <c r="H151" s="87" t="n"/>
      <c r="I151" s="87" t="n"/>
      <c r="J151" s="91" t="inlineStr">
        <is>
          <t>XFINITY INTERNET</t>
        </is>
      </c>
      <c r="K151" s="91" t="inlineStr">
        <is>
          <t>Sample Bank</t>
        </is>
      </c>
      <c r="L151" s="91" t="inlineStr">
        <is>
          <t>Checking</t>
        </is>
      </c>
      <c r="M151" s="91" t="inlineStr">
        <is>
          <t>Checking_Activity.csv</t>
        </is>
      </c>
      <c r="N151" s="91" t="inlineStr">
        <is>
          <t>2026-10-15 20:14:07</t>
        </is>
      </c>
      <c r="O151" s="91" t="n"/>
      <c r="P151" s="91" t="inlineStr">
        <is>
          <t>EVERYDAY CHECKING|20260715|-7999|XFINITYINTERNET#1</t>
        </is>
      </c>
      <c r="Q151" s="92">
        <f>IF(AND(G151=RptMonth,F151="Expense",N(E151)&lt;0),-E151+ROW()/10000000,"")</f>
        <v/>
      </c>
    </row>
    <row r="152">
      <c r="A152" s="86" t="n">
        <v>46215</v>
      </c>
      <c r="B152" s="87" t="inlineStr">
        <is>
          <t>Everyday Checking</t>
        </is>
      </c>
      <c r="C152" s="87" t="inlineStr">
        <is>
          <t>VERIZON WIRELESS</t>
        </is>
      </c>
      <c r="D152" s="87" t="inlineStr">
        <is>
          <t>Phone &amp; Internet</t>
        </is>
      </c>
      <c r="E152" s="88" t="n">
        <v>-95</v>
      </c>
      <c r="F152" s="89">
        <f>IF(E152="","",IF(OR(D152="",D152="Uncategorized"),IF(E152&lt;0,"Expense","Income"),IFERROR(INDEX(Categories!$B$6:$B$65,MATCH(D152,Categories!$A$6:$A$65,0)),IF(E152&lt;0,"Expense","Income"))))</f>
        <v/>
      </c>
      <c r="G152" s="90">
        <f>IF(A152="","",DATE(YEAR(A152),MONTH(A152),1))</f>
        <v/>
      </c>
      <c r="H152" s="87" t="n"/>
      <c r="I152" s="87" t="n"/>
      <c r="J152" s="91" t="inlineStr">
        <is>
          <t>VERIZON WIRELESS</t>
        </is>
      </c>
      <c r="K152" s="91" t="inlineStr">
        <is>
          <t>Sample Bank</t>
        </is>
      </c>
      <c r="L152" s="91" t="inlineStr">
        <is>
          <t>Checking</t>
        </is>
      </c>
      <c r="M152" s="91" t="inlineStr">
        <is>
          <t>Checking_Activity.csv</t>
        </is>
      </c>
      <c r="N152" s="91" t="inlineStr">
        <is>
          <t>2026-10-15 20:14:07</t>
        </is>
      </c>
      <c r="O152" s="91" t="n"/>
      <c r="P152" s="91" t="inlineStr">
        <is>
          <t>EVERYDAY CHECKING|20260712|-9500|VERIZONWIRELESS#1</t>
        </is>
      </c>
      <c r="Q152" s="92">
        <f>IF(AND(G152=RptMonth,F152="Expense",N(E152)&lt;0),-E152+ROW()/10000000,"")</f>
        <v/>
      </c>
    </row>
    <row r="153">
      <c r="A153" s="86" t="n">
        <v>46214</v>
      </c>
      <c r="B153" s="87" t="inlineStr">
        <is>
          <t>Rewards Visa</t>
        </is>
      </c>
      <c r="C153" s="87" t="inlineStr">
        <is>
          <t>APPLE.COM/BILL</t>
        </is>
      </c>
      <c r="D153" s="87" t="inlineStr">
        <is>
          <t>Subscriptions</t>
        </is>
      </c>
      <c r="E153" s="88" t="n">
        <v>-2.99</v>
      </c>
      <c r="F153" s="89">
        <f>IF(E153="","",IF(OR(D153="",D153="Uncategorized"),IF(E153&lt;0,"Expense","Income"),IFERROR(INDEX(Categories!$B$6:$B$65,MATCH(D153,Categories!$A$6:$A$65,0)),IF(E153&lt;0,"Expense","Income"))))</f>
        <v/>
      </c>
      <c r="G153" s="90">
        <f>IF(A153="","",DATE(YEAR(A153),MONTH(A153),1))</f>
        <v/>
      </c>
      <c r="H153" s="87" t="n"/>
      <c r="I153" s="87" t="n"/>
      <c r="J153" s="91" t="inlineStr">
        <is>
          <t>APPLE.COM/BILL</t>
        </is>
      </c>
      <c r="K153" s="91" t="inlineStr">
        <is>
          <t>Sample Card Co</t>
        </is>
      </c>
      <c r="L153" s="91" t="inlineStr">
        <is>
          <t>Credit Card</t>
        </is>
      </c>
      <c r="M153" s="91" t="inlineStr">
        <is>
          <t>Visa_Statement.csv</t>
        </is>
      </c>
      <c r="N153" s="91" t="inlineStr">
        <is>
          <t>2026-10-15 20:14:07</t>
        </is>
      </c>
      <c r="O153" s="91" t="n"/>
      <c r="P153" s="91" t="inlineStr">
        <is>
          <t>REWARDS VISA|20260711|-299|APPLECOMBILL#1</t>
        </is>
      </c>
      <c r="Q153" s="92">
        <f>IF(AND(G153=RptMonth,F153="Expense",N(E153)&lt;0),-E153+ROW()/10000000,"")</f>
        <v/>
      </c>
    </row>
    <row r="154">
      <c r="A154" s="86" t="n">
        <v>46214</v>
      </c>
      <c r="B154" s="87" t="inlineStr">
        <is>
          <t>Rewards Visa</t>
        </is>
      </c>
      <c r="C154" s="87" t="inlineStr">
        <is>
          <t>OLD NAVY ONLINE</t>
        </is>
      </c>
      <c r="D154" s="87" t="inlineStr">
        <is>
          <t>Shopping</t>
        </is>
      </c>
      <c r="E154" s="88" t="n">
        <v>-85.56999999999999</v>
      </c>
      <c r="F154" s="89">
        <f>IF(E154="","",IF(OR(D154="",D154="Uncategorized"),IF(E154&lt;0,"Expense","Income"),IFERROR(INDEX(Categories!$B$6:$B$65,MATCH(D154,Categories!$A$6:$A$65,0)),IF(E154&lt;0,"Expense","Income"))))</f>
        <v/>
      </c>
      <c r="G154" s="90">
        <f>IF(A154="","",DATE(YEAR(A154),MONTH(A154),1))</f>
        <v/>
      </c>
      <c r="H154" s="87" t="n"/>
      <c r="I154" s="87" t="n"/>
      <c r="J154" s="91" t="inlineStr">
        <is>
          <t>OLD NAVY ONLINE</t>
        </is>
      </c>
      <c r="K154" s="91" t="inlineStr">
        <is>
          <t>Sample Card Co</t>
        </is>
      </c>
      <c r="L154" s="91" t="inlineStr">
        <is>
          <t>Credit Card</t>
        </is>
      </c>
      <c r="M154" s="91" t="inlineStr">
        <is>
          <t>Visa_Statement.csv</t>
        </is>
      </c>
      <c r="N154" s="91" t="inlineStr">
        <is>
          <t>2026-10-15 20:14:07</t>
        </is>
      </c>
      <c r="O154" s="91" t="n"/>
      <c r="P154" s="91" t="inlineStr">
        <is>
          <t>REWARDS VISA|20260711|-8557|OLDNAVYONLINE#1</t>
        </is>
      </c>
      <c r="Q154" s="92">
        <f>IF(AND(G154=RptMonth,F154="Expense",N(E154)&lt;0),-E154+ROW()/10000000,"")</f>
        <v/>
      </c>
    </row>
    <row r="155">
      <c r="A155" s="86" t="n">
        <v>46214</v>
      </c>
      <c r="B155" s="87" t="inlineStr">
        <is>
          <t>Rewards Visa</t>
        </is>
      </c>
      <c r="C155" s="87" t="inlineStr">
        <is>
          <t>TRADER JOE'S #548</t>
        </is>
      </c>
      <c r="D155" s="87" t="inlineStr">
        <is>
          <t>Groceries</t>
        </is>
      </c>
      <c r="E155" s="88" t="n">
        <v>-123.7</v>
      </c>
      <c r="F155" s="89">
        <f>IF(E155="","",IF(OR(D155="",D155="Uncategorized"),IF(E155&lt;0,"Expense","Income"),IFERROR(INDEX(Categories!$B$6:$B$65,MATCH(D155,Categories!$A$6:$A$65,0)),IF(E155&lt;0,"Expense","Income"))))</f>
        <v/>
      </c>
      <c r="G155" s="90">
        <f>IF(A155="","",DATE(YEAR(A155),MONTH(A155),1))</f>
        <v/>
      </c>
      <c r="H155" s="87" t="n"/>
      <c r="I155" s="87" t="n"/>
      <c r="J155" s="91" t="inlineStr">
        <is>
          <t>TRADER JOE'S #548</t>
        </is>
      </c>
      <c r="K155" s="91" t="inlineStr">
        <is>
          <t>Sample Card Co</t>
        </is>
      </c>
      <c r="L155" s="91" t="inlineStr">
        <is>
          <t>Credit Card</t>
        </is>
      </c>
      <c r="M155" s="91" t="inlineStr">
        <is>
          <t>Visa_Statement.csv</t>
        </is>
      </c>
      <c r="N155" s="91" t="inlineStr">
        <is>
          <t>2026-10-15 20:14:07</t>
        </is>
      </c>
      <c r="O155" s="91" t="n"/>
      <c r="P155" s="91" t="inlineStr">
        <is>
          <t>REWARDS VISA|20260711|-12370|TRADERJOES548#1</t>
        </is>
      </c>
      <c r="Q155" s="92">
        <f>IF(AND(G155=RptMonth,F155="Expense",N(E155)&lt;0),-E155+ROW()/10000000,"")</f>
        <v/>
      </c>
    </row>
    <row r="156">
      <c r="A156" s="86" t="n">
        <v>46213</v>
      </c>
      <c r="B156" s="87" t="inlineStr">
        <is>
          <t>Everyday Checking</t>
        </is>
      </c>
      <c r="C156" s="87" t="inlineStr">
        <is>
          <t>ACME CORP PAYROLL DIR DEP</t>
        </is>
      </c>
      <c r="D156" s="87" t="inlineStr">
        <is>
          <t>Salary</t>
        </is>
      </c>
      <c r="E156" s="88" t="n">
        <v>3461.07</v>
      </c>
      <c r="F156" s="89">
        <f>IF(E156="","",IF(OR(D156="",D156="Uncategorized"),IF(E156&lt;0,"Expense","Income"),IFERROR(INDEX(Categories!$B$6:$B$65,MATCH(D156,Categories!$A$6:$A$65,0)),IF(E156&lt;0,"Expense","Income"))))</f>
        <v/>
      </c>
      <c r="G156" s="90">
        <f>IF(A156="","",DATE(YEAR(A156),MONTH(A156),1))</f>
        <v/>
      </c>
      <c r="H156" s="87" t="n"/>
      <c r="I156" s="87" t="n"/>
      <c r="J156" s="91" t="inlineStr">
        <is>
          <t>ACME CORP PAYROLL DIR DEP</t>
        </is>
      </c>
      <c r="K156" s="91" t="inlineStr">
        <is>
          <t>Sample Bank</t>
        </is>
      </c>
      <c r="L156" s="91" t="inlineStr">
        <is>
          <t>Checking</t>
        </is>
      </c>
      <c r="M156" s="91" t="inlineStr">
        <is>
          <t>Checking_Activity.csv</t>
        </is>
      </c>
      <c r="N156" s="91" t="inlineStr">
        <is>
          <t>2026-10-15 20:14:07</t>
        </is>
      </c>
      <c r="O156" s="91" t="n"/>
      <c r="P156" s="91" t="inlineStr">
        <is>
          <t>EVERYDAY CHECKING|20260710|346107|ACMECORPPAYROLLDIRDEP#1</t>
        </is>
      </c>
      <c r="Q156" s="92">
        <f>IF(AND(G156=RptMonth,F156="Expense",N(E156)&lt;0),-E156+ROW()/10000000,"")</f>
        <v/>
      </c>
    </row>
    <row r="157">
      <c r="A157" s="86" t="n">
        <v>46213</v>
      </c>
      <c r="B157" s="87" t="inlineStr">
        <is>
          <t>Everyday Checking</t>
        </is>
      </c>
      <c r="C157" s="87" t="inlineStr">
        <is>
          <t>ATM WITHDRAWAL 1234 MAIN ST</t>
        </is>
      </c>
      <c r="D157" s="87" t="inlineStr">
        <is>
          <t>Cash &amp; ATM</t>
        </is>
      </c>
      <c r="E157" s="88" t="n">
        <v>-60</v>
      </c>
      <c r="F157" s="89">
        <f>IF(E157="","",IF(OR(D157="",D157="Uncategorized"),IF(E157&lt;0,"Expense","Income"),IFERROR(INDEX(Categories!$B$6:$B$65,MATCH(D157,Categories!$A$6:$A$65,0)),IF(E157&lt;0,"Expense","Income"))))</f>
        <v/>
      </c>
      <c r="G157" s="90">
        <f>IF(A157="","",DATE(YEAR(A157),MONTH(A157),1))</f>
        <v/>
      </c>
      <c r="H157" s="87" t="n"/>
      <c r="I157" s="87" t="n"/>
      <c r="J157" s="91" t="inlineStr">
        <is>
          <t>ATM WITHDRAWAL 1234 MAIN ST</t>
        </is>
      </c>
      <c r="K157" s="91" t="inlineStr">
        <is>
          <t>Sample Bank</t>
        </is>
      </c>
      <c r="L157" s="91" t="inlineStr">
        <is>
          <t>Checking</t>
        </is>
      </c>
      <c r="M157" s="91" t="inlineStr">
        <is>
          <t>Checking_Activity.csv</t>
        </is>
      </c>
      <c r="N157" s="91" t="inlineStr">
        <is>
          <t>2026-10-15 20:14:07</t>
        </is>
      </c>
      <c r="O157" s="91" t="n"/>
      <c r="P157" s="91" t="inlineStr">
        <is>
          <t>EVERYDAY CHECKING|20260710|-6000|ATMWITHDRAWAL1234MAINST#1</t>
        </is>
      </c>
      <c r="Q157" s="92">
        <f>IF(AND(G157=RptMonth,F157="Expense",N(E157)&lt;0),-E157+ROW()/10000000,"")</f>
        <v/>
      </c>
    </row>
    <row r="158">
      <c r="A158" s="86" t="n">
        <v>46213</v>
      </c>
      <c r="B158" s="87" t="inlineStr">
        <is>
          <t>Everyday Checking</t>
        </is>
      </c>
      <c r="C158" s="87" t="inlineStr">
        <is>
          <t>SAMPLE AUTO FINANCE PMT</t>
        </is>
      </c>
      <c r="D158" s="87" t="inlineStr">
        <is>
          <t>Auto Payment</t>
        </is>
      </c>
      <c r="E158" s="88" t="n">
        <v>-385</v>
      </c>
      <c r="F158" s="89">
        <f>IF(E158="","",IF(OR(D158="",D158="Uncategorized"),IF(E158&lt;0,"Expense","Income"),IFERROR(INDEX(Categories!$B$6:$B$65,MATCH(D158,Categories!$A$6:$A$65,0)),IF(E158&lt;0,"Expense","Income"))))</f>
        <v/>
      </c>
      <c r="G158" s="90">
        <f>IF(A158="","",DATE(YEAR(A158),MONTH(A158),1))</f>
        <v/>
      </c>
      <c r="H158" s="87" t="n"/>
      <c r="I158" s="87" t="n"/>
      <c r="J158" s="91" t="inlineStr">
        <is>
          <t>SAMPLE AUTO FINANCE PMT</t>
        </is>
      </c>
      <c r="K158" s="91" t="inlineStr">
        <is>
          <t>Sample Bank</t>
        </is>
      </c>
      <c r="L158" s="91" t="inlineStr">
        <is>
          <t>Checking</t>
        </is>
      </c>
      <c r="M158" s="91" t="inlineStr">
        <is>
          <t>Checking_Activity.csv</t>
        </is>
      </c>
      <c r="N158" s="91" t="inlineStr">
        <is>
          <t>2026-10-15 20:14:07</t>
        </is>
      </c>
      <c r="O158" s="91" t="n"/>
      <c r="P158" s="91" t="inlineStr">
        <is>
          <t>EVERYDAY CHECKING|20260710|-38500|SAMPLEAUTOFINANCEPMT#1</t>
        </is>
      </c>
      <c r="Q158" s="92">
        <f>IF(AND(G158=RptMonth,F158="Expense",N(E158)&lt;0),-E158+ROW()/10000000,"")</f>
        <v/>
      </c>
    </row>
    <row r="159">
      <c r="A159" s="86" t="n">
        <v>46213</v>
      </c>
      <c r="B159" s="87" t="inlineStr">
        <is>
          <t>Rewards Visa</t>
        </is>
      </c>
      <c r="C159" s="87" t="inlineStr">
        <is>
          <t>EXXONMOBIL 4471</t>
        </is>
      </c>
      <c r="D159" s="87" t="inlineStr">
        <is>
          <t>Gas &amp; Fuel</t>
        </is>
      </c>
      <c r="E159" s="88" t="n">
        <v>-41.42</v>
      </c>
      <c r="F159" s="89">
        <f>IF(E159="","",IF(OR(D159="",D159="Uncategorized"),IF(E159&lt;0,"Expense","Income"),IFERROR(INDEX(Categories!$B$6:$B$65,MATCH(D159,Categories!$A$6:$A$65,0)),IF(E159&lt;0,"Expense","Income"))))</f>
        <v/>
      </c>
      <c r="G159" s="90">
        <f>IF(A159="","",DATE(YEAR(A159),MONTH(A159),1))</f>
        <v/>
      </c>
      <c r="H159" s="87" t="n"/>
      <c r="I159" s="87" t="n"/>
      <c r="J159" s="91" t="inlineStr">
        <is>
          <t>EXXONMOBIL 4471</t>
        </is>
      </c>
      <c r="K159" s="91" t="inlineStr">
        <is>
          <t>Sample Card Co</t>
        </is>
      </c>
      <c r="L159" s="91" t="inlineStr">
        <is>
          <t>Credit Card</t>
        </is>
      </c>
      <c r="M159" s="91" t="inlineStr">
        <is>
          <t>Visa_Statement.csv</t>
        </is>
      </c>
      <c r="N159" s="91" t="inlineStr">
        <is>
          <t>2026-10-15 20:14:07</t>
        </is>
      </c>
      <c r="O159" s="91" t="n"/>
      <c r="P159" s="91" t="inlineStr">
        <is>
          <t>REWARDS VISA|20260710|-4142|EXXONMOBIL4471#1</t>
        </is>
      </c>
      <c r="Q159" s="92">
        <f>IF(AND(G159=RptMonth,F159="Expense",N(E159)&lt;0),-E159+ROW()/10000000,"")</f>
        <v/>
      </c>
    </row>
    <row r="160">
      <c r="A160" s="86" t="n">
        <v>46213</v>
      </c>
      <c r="B160" s="87" t="inlineStr">
        <is>
          <t>Rewards Visa</t>
        </is>
      </c>
      <c r="C160" s="87" t="inlineStr">
        <is>
          <t>OLD NAVY ONLINE</t>
        </is>
      </c>
      <c r="D160" s="87" t="inlineStr">
        <is>
          <t>Shopping</t>
        </is>
      </c>
      <c r="E160" s="88" t="n">
        <v>-67.91</v>
      </c>
      <c r="F160" s="89">
        <f>IF(E160="","",IF(OR(D160="",D160="Uncategorized"),IF(E160&lt;0,"Expense","Income"),IFERROR(INDEX(Categories!$B$6:$B$65,MATCH(D160,Categories!$A$6:$A$65,0)),IF(E160&lt;0,"Expense","Income"))))</f>
        <v/>
      </c>
      <c r="G160" s="90">
        <f>IF(A160="","",DATE(YEAR(A160),MONTH(A160),1))</f>
        <v/>
      </c>
      <c r="H160" s="87" t="n"/>
      <c r="I160" s="87" t="n"/>
      <c r="J160" s="91" t="inlineStr">
        <is>
          <t>OLD NAVY ONLINE</t>
        </is>
      </c>
      <c r="K160" s="91" t="inlineStr">
        <is>
          <t>Sample Card Co</t>
        </is>
      </c>
      <c r="L160" s="91" t="inlineStr">
        <is>
          <t>Credit Card</t>
        </is>
      </c>
      <c r="M160" s="91" t="inlineStr">
        <is>
          <t>Visa_Statement.csv</t>
        </is>
      </c>
      <c r="N160" s="91" t="inlineStr">
        <is>
          <t>2026-10-15 20:14:07</t>
        </is>
      </c>
      <c r="O160" s="91" t="n"/>
      <c r="P160" s="91" t="inlineStr">
        <is>
          <t>REWARDS VISA|20260710|-6791|OLDNAVYONLINE#1</t>
        </is>
      </c>
      <c r="Q160" s="92">
        <f>IF(AND(G160=RptMonth,F160="Expense",N(E160)&lt;0),-E160+ROW()/10000000,"")</f>
        <v/>
      </c>
    </row>
    <row r="161">
      <c r="A161" s="86" t="n">
        <v>46212</v>
      </c>
      <c r="B161" s="87" t="inlineStr">
        <is>
          <t>Everyday Checking</t>
        </is>
      </c>
      <c r="C161" s="87" t="inlineStr">
        <is>
          <t>NJ NATURAL GAS PAYMENT</t>
        </is>
      </c>
      <c r="D161" s="87" t="inlineStr">
        <is>
          <t>Utilities</t>
        </is>
      </c>
      <c r="E161" s="88" t="n">
        <v>-40.88</v>
      </c>
      <c r="F161" s="89">
        <f>IF(E161="","",IF(OR(D161="",D161="Uncategorized"),IF(E161&lt;0,"Expense","Income"),IFERROR(INDEX(Categories!$B$6:$B$65,MATCH(D161,Categories!$A$6:$A$65,0)),IF(E161&lt;0,"Expense","Income"))))</f>
        <v/>
      </c>
      <c r="G161" s="90">
        <f>IF(A161="","",DATE(YEAR(A161),MONTH(A161),1))</f>
        <v/>
      </c>
      <c r="H161" s="87" t="n"/>
      <c r="I161" s="87" t="n"/>
      <c r="J161" s="91" t="inlineStr">
        <is>
          <t>NJ NATURAL GAS PAYMENT</t>
        </is>
      </c>
      <c r="K161" s="91" t="inlineStr">
        <is>
          <t>Sample Bank</t>
        </is>
      </c>
      <c r="L161" s="91" t="inlineStr">
        <is>
          <t>Checking</t>
        </is>
      </c>
      <c r="M161" s="91" t="inlineStr">
        <is>
          <t>Checking_Activity.csv</t>
        </is>
      </c>
      <c r="N161" s="91" t="inlineStr">
        <is>
          <t>2026-10-15 20:14:07</t>
        </is>
      </c>
      <c r="O161" s="91" t="n"/>
      <c r="P161" s="91" t="inlineStr">
        <is>
          <t>EVERYDAY CHECKING|20260709|-4088|NJNATURALGASPAYMENT#1</t>
        </is>
      </c>
      <c r="Q161" s="92">
        <f>IF(AND(G161=RptMonth,F161="Expense",N(E161)&lt;0),-E161+ROW()/10000000,"")</f>
        <v/>
      </c>
    </row>
    <row r="162">
      <c r="A162" s="86" t="n">
        <v>46212</v>
      </c>
      <c r="B162" s="87" t="inlineStr">
        <is>
          <t>Rewards Visa</t>
        </is>
      </c>
      <c r="C162" s="87" t="inlineStr">
        <is>
          <t>DELTA AIR LINES</t>
        </is>
      </c>
      <c r="D162" s="87" t="inlineStr">
        <is>
          <t>Travel</t>
        </is>
      </c>
      <c r="E162" s="88" t="n">
        <v>-486.8</v>
      </c>
      <c r="F162" s="89">
        <f>IF(E162="","",IF(OR(D162="",D162="Uncategorized"),IF(E162&lt;0,"Expense","Income"),IFERROR(INDEX(Categories!$B$6:$B$65,MATCH(D162,Categories!$A$6:$A$65,0)),IF(E162&lt;0,"Expense","Income"))))</f>
        <v/>
      </c>
      <c r="G162" s="90">
        <f>IF(A162="","",DATE(YEAR(A162),MONTH(A162),1))</f>
        <v/>
      </c>
      <c r="H162" s="87" t="n"/>
      <c r="I162" s="87" t="n"/>
      <c r="J162" s="91" t="inlineStr">
        <is>
          <t>DELTA AIR LINES</t>
        </is>
      </c>
      <c r="K162" s="91" t="inlineStr">
        <is>
          <t>Sample Card Co</t>
        </is>
      </c>
      <c r="L162" s="91" t="inlineStr">
        <is>
          <t>Credit Card</t>
        </is>
      </c>
      <c r="M162" s="91" t="inlineStr">
        <is>
          <t>Visa_Statement.csv</t>
        </is>
      </c>
      <c r="N162" s="91" t="inlineStr">
        <is>
          <t>2026-10-15 20:14:07</t>
        </is>
      </c>
      <c r="O162" s="91" t="n"/>
      <c r="P162" s="91" t="inlineStr">
        <is>
          <t>REWARDS VISA|20260709|-48680|DELTAAIRLINES#1</t>
        </is>
      </c>
      <c r="Q162" s="92">
        <f>IF(AND(G162=RptMonth,F162="Expense",N(E162)&lt;0),-E162+ROW()/10000000,"")</f>
        <v/>
      </c>
    </row>
    <row r="163">
      <c r="A163" s="86" t="n">
        <v>46211</v>
      </c>
      <c r="B163" s="87" t="inlineStr">
        <is>
          <t>Everyday Checking</t>
        </is>
      </c>
      <c r="C163" s="87" t="inlineStr">
        <is>
          <t>PSEG ELECTRIC BILL</t>
        </is>
      </c>
      <c r="D163" s="87" t="inlineStr">
        <is>
          <t>Utilities</t>
        </is>
      </c>
      <c r="E163" s="88" t="n">
        <v>-184.35</v>
      </c>
      <c r="F163" s="89">
        <f>IF(E163="","",IF(OR(D163="",D163="Uncategorized"),IF(E163&lt;0,"Expense","Income"),IFERROR(INDEX(Categories!$B$6:$B$65,MATCH(D163,Categories!$A$6:$A$65,0)),IF(E163&lt;0,"Expense","Income"))))</f>
        <v/>
      </c>
      <c r="G163" s="90">
        <f>IF(A163="","",DATE(YEAR(A163),MONTH(A163),1))</f>
        <v/>
      </c>
      <c r="H163" s="87" t="n"/>
      <c r="I163" s="87" t="n"/>
      <c r="J163" s="91" t="inlineStr">
        <is>
          <t>PSEG ELECTRIC BILL</t>
        </is>
      </c>
      <c r="K163" s="91" t="inlineStr">
        <is>
          <t>Sample Bank</t>
        </is>
      </c>
      <c r="L163" s="91" t="inlineStr">
        <is>
          <t>Checking</t>
        </is>
      </c>
      <c r="M163" s="91" t="inlineStr">
        <is>
          <t>Checking_Activity.csv</t>
        </is>
      </c>
      <c r="N163" s="91" t="inlineStr">
        <is>
          <t>2026-10-15 20:14:07</t>
        </is>
      </c>
      <c r="O163" s="91" t="n"/>
      <c r="P163" s="91" t="inlineStr">
        <is>
          <t>EVERYDAY CHECKING|20260708|-18435|PSEGELECTRICBILL#1</t>
        </is>
      </c>
      <c r="Q163" s="92">
        <f>IF(AND(G163=RptMonth,F163="Expense",N(E163)&lt;0),-E163+ROW()/10000000,"")</f>
        <v/>
      </c>
    </row>
    <row r="164">
      <c r="A164" s="86" t="n">
        <v>46210</v>
      </c>
      <c r="B164" s="87" t="inlineStr">
        <is>
          <t>Rewards Visa</t>
        </is>
      </c>
      <c r="C164" s="87" t="inlineStr">
        <is>
          <t>SHELL OIL 57444</t>
        </is>
      </c>
      <c r="D164" s="87" t="inlineStr">
        <is>
          <t>Gas &amp; Fuel</t>
        </is>
      </c>
      <c r="E164" s="88" t="n">
        <v>-40.88</v>
      </c>
      <c r="F164" s="89">
        <f>IF(E164="","",IF(OR(D164="",D164="Uncategorized"),IF(E164&lt;0,"Expense","Income"),IFERROR(INDEX(Categories!$B$6:$B$65,MATCH(D164,Categories!$A$6:$A$65,0)),IF(E164&lt;0,"Expense","Income"))))</f>
        <v/>
      </c>
      <c r="G164" s="90">
        <f>IF(A164="","",DATE(YEAR(A164),MONTH(A164),1))</f>
        <v/>
      </c>
      <c r="H164" s="87" t="n"/>
      <c r="I164" s="87" t="n"/>
      <c r="J164" s="91" t="inlineStr">
        <is>
          <t>SHELL OIL 57444</t>
        </is>
      </c>
      <c r="K164" s="91" t="inlineStr">
        <is>
          <t>Sample Card Co</t>
        </is>
      </c>
      <c r="L164" s="91" t="inlineStr">
        <is>
          <t>Credit Card</t>
        </is>
      </c>
      <c r="M164" s="91" t="inlineStr">
        <is>
          <t>Visa_Statement.csv</t>
        </is>
      </c>
      <c r="N164" s="91" t="inlineStr">
        <is>
          <t>2026-10-15 20:14:07</t>
        </is>
      </c>
      <c r="O164" s="91" t="n"/>
      <c r="P164" s="91" t="inlineStr">
        <is>
          <t>REWARDS VISA|20260707|-4088|SHELLOIL57444#1</t>
        </is>
      </c>
      <c r="Q164" s="92">
        <f>IF(AND(G164=RptMonth,F164="Expense",N(E164)&lt;0),-E164+ROW()/10000000,"")</f>
        <v/>
      </c>
    </row>
    <row r="165">
      <c r="A165" s="86" t="n">
        <v>46210</v>
      </c>
      <c r="B165" s="87" t="inlineStr">
        <is>
          <t>Rewards Visa</t>
        </is>
      </c>
      <c r="C165" s="87" t="inlineStr">
        <is>
          <t>SPOTIFY USA</t>
        </is>
      </c>
      <c r="D165" s="87" t="inlineStr">
        <is>
          <t>Subscriptions</t>
        </is>
      </c>
      <c r="E165" s="88" t="n">
        <v>-11.99</v>
      </c>
      <c r="F165" s="89">
        <f>IF(E165="","",IF(OR(D165="",D165="Uncategorized"),IF(E165&lt;0,"Expense","Income"),IFERROR(INDEX(Categories!$B$6:$B$65,MATCH(D165,Categories!$A$6:$A$65,0)),IF(E165&lt;0,"Expense","Income"))))</f>
        <v/>
      </c>
      <c r="G165" s="90">
        <f>IF(A165="","",DATE(YEAR(A165),MONTH(A165),1))</f>
        <v/>
      </c>
      <c r="H165" s="87" t="n"/>
      <c r="I165" s="87" t="n"/>
      <c r="J165" s="91" t="inlineStr">
        <is>
          <t>SPOTIFY USA</t>
        </is>
      </c>
      <c r="K165" s="91" t="inlineStr">
        <is>
          <t>Sample Card Co</t>
        </is>
      </c>
      <c r="L165" s="91" t="inlineStr">
        <is>
          <t>Credit Card</t>
        </is>
      </c>
      <c r="M165" s="91" t="inlineStr">
        <is>
          <t>Visa_Statement.csv</t>
        </is>
      </c>
      <c r="N165" s="91" t="inlineStr">
        <is>
          <t>2026-10-15 20:14:07</t>
        </is>
      </c>
      <c r="O165" s="91" t="n"/>
      <c r="P165" s="91" t="inlineStr">
        <is>
          <t>REWARDS VISA|20260707|-1199|SPOTIFYUSA#1</t>
        </is>
      </c>
      <c r="Q165" s="92">
        <f>IF(AND(G165=RptMonth,F165="Expense",N(E165)&lt;0),-E165+ROW()/10000000,"")</f>
        <v/>
      </c>
    </row>
    <row r="166">
      <c r="A166" s="86" t="n">
        <v>46208</v>
      </c>
      <c r="B166" s="87" t="inlineStr">
        <is>
          <t>Everyday Checking</t>
        </is>
      </c>
      <c r="C166" s="87" t="inlineStr">
        <is>
          <t>ONLINE TRANSFER TO HIGH-YIELD SAVINGS</t>
        </is>
      </c>
      <c r="D166" s="87" t="inlineStr">
        <is>
          <t>Transfer</t>
        </is>
      </c>
      <c r="E166" s="88" t="n">
        <v>-500</v>
      </c>
      <c r="F166" s="89">
        <f>IF(E166="","",IF(OR(D166="",D166="Uncategorized"),IF(E166&lt;0,"Expense","Income"),IFERROR(INDEX(Categories!$B$6:$B$65,MATCH(D166,Categories!$A$6:$A$65,0)),IF(E166&lt;0,"Expense","Income"))))</f>
        <v/>
      </c>
      <c r="G166" s="90">
        <f>IF(A166="","",DATE(YEAR(A166),MONTH(A166),1))</f>
        <v/>
      </c>
      <c r="H166" s="87" t="n"/>
      <c r="I166" s="87" t="n"/>
      <c r="J166" s="91" t="inlineStr">
        <is>
          <t>ONLINE TRANSFER TO HIGH-YIELD SAVINGS</t>
        </is>
      </c>
      <c r="K166" s="91" t="inlineStr">
        <is>
          <t>Sample Bank</t>
        </is>
      </c>
      <c r="L166" s="91" t="inlineStr">
        <is>
          <t>Checking</t>
        </is>
      </c>
      <c r="M166" s="91" t="inlineStr">
        <is>
          <t>Checking_Activity.csv</t>
        </is>
      </c>
      <c r="N166" s="91" t="inlineStr">
        <is>
          <t>2026-10-15 20:14:07</t>
        </is>
      </c>
      <c r="O166" s="91" t="n"/>
      <c r="P166" s="91" t="inlineStr">
        <is>
          <t>EVERYDAY CHECKING|20260705|-50000|ONLINETRANSFERTOHIGHYIELDSAVINGS#1</t>
        </is>
      </c>
      <c r="Q166" s="92">
        <f>IF(AND(G166=RptMonth,F166="Expense",N(E166)&lt;0),-E166+ROW()/10000000,"")</f>
        <v/>
      </c>
    </row>
    <row r="167">
      <c r="A167" s="86" t="n">
        <v>46208</v>
      </c>
      <c r="B167" s="87" t="inlineStr">
        <is>
          <t>High-Yield Savings</t>
        </is>
      </c>
      <c r="C167" s="87" t="inlineStr">
        <is>
          <t>ONLINE TRANSFER FROM EVERYDAY CHECKING</t>
        </is>
      </c>
      <c r="D167" s="87" t="inlineStr">
        <is>
          <t>Transfer</t>
        </is>
      </c>
      <c r="E167" s="88" t="n">
        <v>500</v>
      </c>
      <c r="F167" s="89">
        <f>IF(E167="","",IF(OR(D167="",D167="Uncategorized"),IF(E167&lt;0,"Expense","Income"),IFERROR(INDEX(Categories!$B$6:$B$65,MATCH(D167,Categories!$A$6:$A$65,0)),IF(E167&lt;0,"Expense","Income"))))</f>
        <v/>
      </c>
      <c r="G167" s="90">
        <f>IF(A167="","",DATE(YEAR(A167),MONTH(A167),1))</f>
        <v/>
      </c>
      <c r="H167" s="87" t="n"/>
      <c r="I167" s="87" t="n"/>
      <c r="J167" s="91" t="inlineStr">
        <is>
          <t>ONLINE TRANSFER FROM EVERYDAY CHECKING</t>
        </is>
      </c>
      <c r="K167" s="91" t="inlineStr">
        <is>
          <t>Sample Bank</t>
        </is>
      </c>
      <c r="L167" s="91" t="inlineStr">
        <is>
          <t>Savings</t>
        </is>
      </c>
      <c r="M167" s="91" t="inlineStr">
        <is>
          <t>Savings.qfx</t>
        </is>
      </c>
      <c r="N167" s="91" t="inlineStr">
        <is>
          <t>2026-10-15 20:14:07</t>
        </is>
      </c>
      <c r="O167" s="91" t="inlineStr">
        <is>
          <t>773002026070501</t>
        </is>
      </c>
      <c r="P167" s="91" t="inlineStr">
        <is>
          <t>HIGH-YIELD SAVINGS|ID|773002026070501#1</t>
        </is>
      </c>
      <c r="Q167" s="92">
        <f>IF(AND(G167=RptMonth,F167="Expense",N(E167)&lt;0),-E167+ROW()/10000000,"")</f>
        <v/>
      </c>
    </row>
    <row r="168">
      <c r="A168" s="86" t="n">
        <v>46207</v>
      </c>
      <c r="B168" s="87" t="inlineStr">
        <is>
          <t>Rewards Visa</t>
        </is>
      </c>
      <c r="C168" s="87" t="inlineStr">
        <is>
          <t>SHOPRITE #0234</t>
        </is>
      </c>
      <c r="D168" s="87" t="inlineStr">
        <is>
          <t>Groceries</t>
        </is>
      </c>
      <c r="E168" s="88" t="n">
        <v>-164.59</v>
      </c>
      <c r="F168" s="89">
        <f>IF(E168="","",IF(OR(D168="",D168="Uncategorized"),IF(E168&lt;0,"Expense","Income"),IFERROR(INDEX(Categories!$B$6:$B$65,MATCH(D168,Categories!$A$6:$A$65,0)),IF(E168&lt;0,"Expense","Income"))))</f>
        <v/>
      </c>
      <c r="G168" s="90">
        <f>IF(A168="","",DATE(YEAR(A168),MONTH(A168),1))</f>
        <v/>
      </c>
      <c r="H168" s="87" t="n"/>
      <c r="I168" s="87" t="n"/>
      <c r="J168" s="91" t="inlineStr">
        <is>
          <t>SHOPRITE #0234</t>
        </is>
      </c>
      <c r="K168" s="91" t="inlineStr">
        <is>
          <t>Sample Card Co</t>
        </is>
      </c>
      <c r="L168" s="91" t="inlineStr">
        <is>
          <t>Credit Card</t>
        </is>
      </c>
      <c r="M168" s="91" t="inlineStr">
        <is>
          <t>Visa_Statement.csv</t>
        </is>
      </c>
      <c r="N168" s="91" t="inlineStr">
        <is>
          <t>2026-10-15 20:14:07</t>
        </is>
      </c>
      <c r="O168" s="91" t="n"/>
      <c r="P168" s="91" t="inlineStr">
        <is>
          <t>REWARDS VISA|20260704|-16459|SHOPRITE0234#1</t>
        </is>
      </c>
      <c r="Q168" s="92">
        <f>IF(AND(G168=RptMonth,F168="Expense",N(E168)&lt;0),-E168+ROW()/10000000,"")</f>
        <v/>
      </c>
    </row>
    <row r="169">
      <c r="A169" s="86" t="n">
        <v>46206</v>
      </c>
      <c r="B169" s="87" t="inlineStr">
        <is>
          <t>Everyday Checking</t>
        </is>
      </c>
      <c r="C169" s="87" t="inlineStr">
        <is>
          <t>GEICO AUTO INSURANCE</t>
        </is>
      </c>
      <c r="D169" s="87" t="inlineStr">
        <is>
          <t>Insurance</t>
        </is>
      </c>
      <c r="E169" s="88" t="n">
        <v>-142.5</v>
      </c>
      <c r="F169" s="89">
        <f>IF(E169="","",IF(OR(D169="",D169="Uncategorized"),IF(E169&lt;0,"Expense","Income"),IFERROR(INDEX(Categories!$B$6:$B$65,MATCH(D169,Categories!$A$6:$A$65,0)),IF(E169&lt;0,"Expense","Income"))))</f>
        <v/>
      </c>
      <c r="G169" s="90">
        <f>IF(A169="","",DATE(YEAR(A169),MONTH(A169),1))</f>
        <v/>
      </c>
      <c r="H169" s="87" t="n"/>
      <c r="I169" s="87" t="n"/>
      <c r="J169" s="91" t="inlineStr">
        <is>
          <t>GEICO AUTO INSURANCE</t>
        </is>
      </c>
      <c r="K169" s="91" t="inlineStr">
        <is>
          <t>Sample Bank</t>
        </is>
      </c>
      <c r="L169" s="91" t="inlineStr">
        <is>
          <t>Checking</t>
        </is>
      </c>
      <c r="M169" s="91" t="inlineStr">
        <is>
          <t>Checking_Activity.csv</t>
        </is>
      </c>
      <c r="N169" s="91" t="inlineStr">
        <is>
          <t>2026-10-15 20:14:07</t>
        </is>
      </c>
      <c r="O169" s="91" t="n"/>
      <c r="P169" s="91" t="inlineStr">
        <is>
          <t>EVERYDAY CHECKING|20260703|-14250|GEICOAUTOINSURANCE#1</t>
        </is>
      </c>
      <c r="Q169" s="92">
        <f>IF(AND(G169=RptMonth,F169="Expense",N(E169)&lt;0),-E169+ROW()/10000000,"")</f>
        <v/>
      </c>
    </row>
    <row r="170">
      <c r="A170" s="86" t="n">
        <v>46205</v>
      </c>
      <c r="B170" s="87" t="inlineStr">
        <is>
          <t>Rewards Visa</t>
        </is>
      </c>
      <c r="C170" s="87" t="inlineStr">
        <is>
          <t>NETFLIX.COM</t>
        </is>
      </c>
      <c r="D170" s="87" t="inlineStr">
        <is>
          <t>Subscriptions</t>
        </is>
      </c>
      <c r="E170" s="88" t="n">
        <v>-15.49</v>
      </c>
      <c r="F170" s="89">
        <f>IF(E170="","",IF(OR(D170="",D170="Uncategorized"),IF(E170&lt;0,"Expense","Income"),IFERROR(INDEX(Categories!$B$6:$B$65,MATCH(D170,Categories!$A$6:$A$65,0)),IF(E170&lt;0,"Expense","Income"))))</f>
        <v/>
      </c>
      <c r="G170" s="90">
        <f>IF(A170="","",DATE(YEAR(A170),MONTH(A170),1))</f>
        <v/>
      </c>
      <c r="H170" s="87" t="n"/>
      <c r="I170" s="87" t="n"/>
      <c r="J170" s="91" t="inlineStr">
        <is>
          <t>NETFLIX.COM</t>
        </is>
      </c>
      <c r="K170" s="91" t="inlineStr">
        <is>
          <t>Sample Card Co</t>
        </is>
      </c>
      <c r="L170" s="91" t="inlineStr">
        <is>
          <t>Credit Card</t>
        </is>
      </c>
      <c r="M170" s="91" t="inlineStr">
        <is>
          <t>Visa_Statement.csv</t>
        </is>
      </c>
      <c r="N170" s="91" t="inlineStr">
        <is>
          <t>2026-10-15 20:14:07</t>
        </is>
      </c>
      <c r="O170" s="91" t="n"/>
      <c r="P170" s="91" t="inlineStr">
        <is>
          <t>REWARDS VISA|20260702|-1549|NETFLIXCOM#1</t>
        </is>
      </c>
      <c r="Q170" s="92">
        <f>IF(AND(G170=RptMonth,F170="Expense",N(E170)&lt;0),-E170+ROW()/10000000,"")</f>
        <v/>
      </c>
    </row>
    <row r="171">
      <c r="A171" s="86" t="n">
        <v>46204</v>
      </c>
      <c r="B171" s="87" t="inlineStr">
        <is>
          <t>Everyday Checking</t>
        </is>
      </c>
      <c r="C171" s="87" t="inlineStr">
        <is>
          <t>SAMPLE MORTGAGE CO PAYMENT</t>
        </is>
      </c>
      <c r="D171" s="87" t="inlineStr">
        <is>
          <t>Mortgage / Rent</t>
        </is>
      </c>
      <c r="E171" s="88" t="n">
        <v>-2450</v>
      </c>
      <c r="F171" s="89">
        <f>IF(E171="","",IF(OR(D171="",D171="Uncategorized"),IF(E171&lt;0,"Expense","Income"),IFERROR(INDEX(Categories!$B$6:$B$65,MATCH(D171,Categories!$A$6:$A$65,0)),IF(E171&lt;0,"Expense","Income"))))</f>
        <v/>
      </c>
      <c r="G171" s="90">
        <f>IF(A171="","",DATE(YEAR(A171),MONTH(A171),1))</f>
        <v/>
      </c>
      <c r="H171" s="87" t="inlineStr">
        <is>
          <t>Includes escrow for taxes and insurance</t>
        </is>
      </c>
      <c r="I171" s="87" t="n"/>
      <c r="J171" s="91" t="inlineStr">
        <is>
          <t>SAMPLE MORTGAGE CO PAYMENT</t>
        </is>
      </c>
      <c r="K171" s="91" t="inlineStr">
        <is>
          <t>Sample Bank</t>
        </is>
      </c>
      <c r="L171" s="91" t="inlineStr">
        <is>
          <t>Checking</t>
        </is>
      </c>
      <c r="M171" s="91" t="inlineStr">
        <is>
          <t>Checking_Activity.csv</t>
        </is>
      </c>
      <c r="N171" s="91" t="inlineStr">
        <is>
          <t>2026-10-15 20:14:07</t>
        </is>
      </c>
      <c r="O171" s="91" t="n"/>
      <c r="P171" s="91" t="inlineStr">
        <is>
          <t>EVERYDAY CHECKING|20260701|-245000|SAMPLEMORTGAGECOPAYMENT#1</t>
        </is>
      </c>
      <c r="Q171" s="92">
        <f>IF(AND(G171=RptMonth,F171="Expense",N(E171)&lt;0),-E171+ROW()/10000000,"")</f>
        <v/>
      </c>
    </row>
    <row r="172">
      <c r="A172" s="86" t="n">
        <v>46204</v>
      </c>
      <c r="B172" s="87" t="inlineStr">
        <is>
          <t>Home Mortgage</t>
        </is>
      </c>
      <c r="C172" s="87" t="inlineStr">
        <is>
          <t>Payment</t>
        </is>
      </c>
      <c r="D172" s="87" t="inlineStr">
        <is>
          <t>Transfer</t>
        </is>
      </c>
      <c r="E172" s="88" t="n">
        <v>311.09</v>
      </c>
      <c r="F172" s="89">
        <f>IF(E172="","",IF(OR(D172="",D172="Uncategorized"),IF(E172&lt;0,"Expense","Income"),IFERROR(INDEX(Categories!$B$6:$B$65,MATCH(D172,Categories!$A$6:$A$65,0)),IF(E172&lt;0,"Expense","Income"))))</f>
        <v/>
      </c>
      <c r="G172" s="90">
        <f>IF(A172="","",DATE(YEAR(A172),MONTH(A172),1))</f>
        <v/>
      </c>
      <c r="H172" s="87" t="n"/>
      <c r="I172" s="87" t="n"/>
      <c r="J172" s="91" t="inlineStr">
        <is>
          <t>Payment</t>
        </is>
      </c>
      <c r="K172" s="91" t="inlineStr">
        <is>
          <t>Sample Mortgage Co</t>
        </is>
      </c>
      <c r="L172" s="91" t="inlineStr">
        <is>
          <t>Mortgage</t>
        </is>
      </c>
      <c r="M172" s="91" t="inlineStr">
        <is>
          <t>Mortgage_History.xlsx</t>
        </is>
      </c>
      <c r="N172" s="91" t="inlineStr">
        <is>
          <t>2026-10-15 20:14:07</t>
        </is>
      </c>
      <c r="O172" s="91" t="n"/>
      <c r="P172" s="91" t="inlineStr">
        <is>
          <t>HOME MORTGAGE|20260701|31109|PAYMENT#1</t>
        </is>
      </c>
      <c r="Q172" s="92">
        <f>IF(AND(G172=RptMonth,F172="Expense",N(E172)&lt;0),-E172+ROW()/10000000,"")</f>
        <v/>
      </c>
    </row>
    <row r="173">
      <c r="A173" s="86" t="n">
        <v>46203</v>
      </c>
      <c r="B173" s="87" t="inlineStr">
        <is>
          <t>Rewards Visa</t>
        </is>
      </c>
      <c r="C173" s="87" t="inlineStr">
        <is>
          <t>SHELL OIL 57444</t>
        </is>
      </c>
      <c r="D173" s="87" t="inlineStr">
        <is>
          <t>Gas &amp; Fuel</t>
        </is>
      </c>
      <c r="E173" s="88" t="n">
        <v>-57.44</v>
      </c>
      <c r="F173" s="89">
        <f>IF(E173="","",IF(OR(D173="",D173="Uncategorized"),IF(E173&lt;0,"Expense","Income"),IFERROR(INDEX(Categories!$B$6:$B$65,MATCH(D173,Categories!$A$6:$A$65,0)),IF(E173&lt;0,"Expense","Income"))))</f>
        <v/>
      </c>
      <c r="G173" s="90">
        <f>IF(A173="","",DATE(YEAR(A173),MONTH(A173),1))</f>
        <v/>
      </c>
      <c r="H173" s="87" t="n"/>
      <c r="I173" s="87" t="n"/>
      <c r="J173" s="91" t="inlineStr">
        <is>
          <t>SHELL OIL 57444</t>
        </is>
      </c>
      <c r="K173" s="91" t="inlineStr">
        <is>
          <t>Sample Card Co</t>
        </is>
      </c>
      <c r="L173" s="91" t="inlineStr">
        <is>
          <t>Credit Card</t>
        </is>
      </c>
      <c r="M173" s="91" t="inlineStr">
        <is>
          <t>Visa_Statement.csv</t>
        </is>
      </c>
      <c r="N173" s="91" t="inlineStr">
        <is>
          <t>2026-10-15 20:14:07</t>
        </is>
      </c>
      <c r="O173" s="91" t="n"/>
      <c r="P173" s="91" t="inlineStr">
        <is>
          <t>REWARDS VISA|20260630|-5744|SHELLOIL57444#1</t>
        </is>
      </c>
      <c r="Q173" s="92">
        <f>IF(AND(G173=RptMonth,F173="Expense",N(E173)&lt;0),-E173+ROW()/10000000,"")</f>
        <v/>
      </c>
    </row>
    <row r="174">
      <c r="A174" s="86" t="n">
        <v>46201</v>
      </c>
      <c r="B174" s="87" t="inlineStr">
        <is>
          <t>High-Yield Savings</t>
        </is>
      </c>
      <c r="C174" s="87" t="inlineStr">
        <is>
          <t>INTEREST PAYMENT</t>
        </is>
      </c>
      <c r="D174" s="87" t="inlineStr">
        <is>
          <t>Interest &amp; Dividends</t>
        </is>
      </c>
      <c r="E174" s="88" t="n">
        <v>42.53</v>
      </c>
      <c r="F174" s="89">
        <f>IF(E174="","",IF(OR(D174="",D174="Uncategorized"),IF(E174&lt;0,"Expense","Income"),IFERROR(INDEX(Categories!$B$6:$B$65,MATCH(D174,Categories!$A$6:$A$65,0)),IF(E174&lt;0,"Expense","Income"))))</f>
        <v/>
      </c>
      <c r="G174" s="90">
        <f>IF(A174="","",DATE(YEAR(A174),MONTH(A174),1))</f>
        <v/>
      </c>
      <c r="H174" s="87" t="n"/>
      <c r="I174" s="87" t="n"/>
      <c r="J174" s="91" t="inlineStr">
        <is>
          <t>INTEREST PAYMENT</t>
        </is>
      </c>
      <c r="K174" s="91" t="inlineStr">
        <is>
          <t>Sample Bank</t>
        </is>
      </c>
      <c r="L174" s="91" t="inlineStr">
        <is>
          <t>Savings</t>
        </is>
      </c>
      <c r="M174" s="91" t="inlineStr">
        <is>
          <t>Savings.qfx</t>
        </is>
      </c>
      <c r="N174" s="91" t="inlineStr">
        <is>
          <t>2026-10-15 20:14:07</t>
        </is>
      </c>
      <c r="O174" s="91" t="inlineStr">
        <is>
          <t>773002026062801</t>
        </is>
      </c>
      <c r="P174" s="91" t="inlineStr">
        <is>
          <t>HIGH-YIELD SAVINGS|ID|773002026062801#1</t>
        </is>
      </c>
      <c r="Q174" s="92">
        <f>IF(AND(G174=RptMonth,F174="Expense",N(E174)&lt;0),-E174+ROW()/10000000,"")</f>
        <v/>
      </c>
    </row>
    <row r="175">
      <c r="A175" s="86" t="n">
        <v>46201</v>
      </c>
      <c r="B175" s="87" t="inlineStr">
        <is>
          <t>Rewards Visa</t>
        </is>
      </c>
      <c r="C175" s="87" t="inlineStr">
        <is>
          <t>SWEETGREEN PALISADES</t>
        </is>
      </c>
      <c r="D175" s="87" t="inlineStr">
        <is>
          <t>Dining Out</t>
        </is>
      </c>
      <c r="E175" s="88" t="n">
        <v>-43.17</v>
      </c>
      <c r="F175" s="89">
        <f>IF(E175="","",IF(OR(D175="",D175="Uncategorized"),IF(E175&lt;0,"Expense","Income"),IFERROR(INDEX(Categories!$B$6:$B$65,MATCH(D175,Categories!$A$6:$A$65,0)),IF(E175&lt;0,"Expense","Income"))))</f>
        <v/>
      </c>
      <c r="G175" s="90">
        <f>IF(A175="","",DATE(YEAR(A175),MONTH(A175),1))</f>
        <v/>
      </c>
      <c r="H175" s="87" t="n"/>
      <c r="I175" s="87" t="n"/>
      <c r="J175" s="91" t="inlineStr">
        <is>
          <t>SWEETGREEN PALISADES</t>
        </is>
      </c>
      <c r="K175" s="91" t="inlineStr">
        <is>
          <t>Sample Card Co</t>
        </is>
      </c>
      <c r="L175" s="91" t="inlineStr">
        <is>
          <t>Credit Card</t>
        </is>
      </c>
      <c r="M175" s="91" t="inlineStr">
        <is>
          <t>Visa_Statement.csv</t>
        </is>
      </c>
      <c r="N175" s="91" t="inlineStr">
        <is>
          <t>2026-10-15 20:14:07</t>
        </is>
      </c>
      <c r="O175" s="91" t="n"/>
      <c r="P175" s="91" t="inlineStr">
        <is>
          <t>REWARDS VISA|20260628|-4317|SWEETGREENPALISADES#1</t>
        </is>
      </c>
      <c r="Q175" s="92">
        <f>IF(AND(G175=RptMonth,F175="Expense",N(E175)&lt;0),-E175+ROW()/10000000,"")</f>
        <v/>
      </c>
    </row>
    <row r="176">
      <c r="A176" s="86" t="n">
        <v>46200</v>
      </c>
      <c r="B176" s="87" t="inlineStr">
        <is>
          <t>Rewards Visa</t>
        </is>
      </c>
      <c r="C176" s="87" t="inlineStr">
        <is>
          <t>CHIPOTLE 2291</t>
        </is>
      </c>
      <c r="D176" s="87" t="inlineStr">
        <is>
          <t>Dining Out</t>
        </is>
      </c>
      <c r="E176" s="88" t="n">
        <v>-25.69</v>
      </c>
      <c r="F176" s="89">
        <f>IF(E176="","",IF(OR(D176="",D176="Uncategorized"),IF(E176&lt;0,"Expense","Income"),IFERROR(INDEX(Categories!$B$6:$B$65,MATCH(D176,Categories!$A$6:$A$65,0)),IF(E176&lt;0,"Expense","Income"))))</f>
        <v/>
      </c>
      <c r="G176" s="90">
        <f>IF(A176="","",DATE(YEAR(A176),MONTH(A176),1))</f>
        <v/>
      </c>
      <c r="H176" s="87" t="n"/>
      <c r="I176" s="87" t="n"/>
      <c r="J176" s="91" t="inlineStr">
        <is>
          <t>CHIPOTLE 2291</t>
        </is>
      </c>
      <c r="K176" s="91" t="inlineStr">
        <is>
          <t>Sample Card Co</t>
        </is>
      </c>
      <c r="L176" s="91" t="inlineStr">
        <is>
          <t>Credit Card</t>
        </is>
      </c>
      <c r="M176" s="91" t="inlineStr">
        <is>
          <t>Visa_Statement.csv</t>
        </is>
      </c>
      <c r="N176" s="91" t="inlineStr">
        <is>
          <t>2026-10-15 20:14:07</t>
        </is>
      </c>
      <c r="O176" s="91" t="n"/>
      <c r="P176" s="91" t="inlineStr">
        <is>
          <t>REWARDS VISA|20260627|-2569|CHIPOTLE2291#1</t>
        </is>
      </c>
      <c r="Q176" s="92">
        <f>IF(AND(G176=RptMonth,F176="Expense",N(E176)&lt;0),-E176+ROW()/10000000,"")</f>
        <v/>
      </c>
    </row>
    <row r="177">
      <c r="A177" s="86" t="n">
        <v>46200</v>
      </c>
      <c r="B177" s="87" t="inlineStr">
        <is>
          <t>Rewards Visa</t>
        </is>
      </c>
      <c r="C177" s="87" t="inlineStr">
        <is>
          <t>SHOPRITE #0234</t>
        </is>
      </c>
      <c r="D177" s="87" t="inlineStr">
        <is>
          <t>Groceries</t>
        </is>
      </c>
      <c r="E177" s="88" t="n">
        <v>-118.56</v>
      </c>
      <c r="F177" s="89">
        <f>IF(E177="","",IF(OR(D177="",D177="Uncategorized"),IF(E177&lt;0,"Expense","Income"),IFERROR(INDEX(Categories!$B$6:$B$65,MATCH(D177,Categories!$A$6:$A$65,0)),IF(E177&lt;0,"Expense","Income"))))</f>
        <v/>
      </c>
      <c r="G177" s="90">
        <f>IF(A177="","",DATE(YEAR(A177),MONTH(A177),1))</f>
        <v/>
      </c>
      <c r="H177" s="87" t="n"/>
      <c r="I177" s="87" t="n"/>
      <c r="J177" s="91" t="inlineStr">
        <is>
          <t>SHOPRITE #0234</t>
        </is>
      </c>
      <c r="K177" s="91" t="inlineStr">
        <is>
          <t>Sample Card Co</t>
        </is>
      </c>
      <c r="L177" s="91" t="inlineStr">
        <is>
          <t>Credit Card</t>
        </is>
      </c>
      <c r="M177" s="91" t="inlineStr">
        <is>
          <t>Visa_Statement.csv</t>
        </is>
      </c>
      <c r="N177" s="91" t="inlineStr">
        <is>
          <t>2026-10-15 20:14:07</t>
        </is>
      </c>
      <c r="O177" s="91" t="n"/>
      <c r="P177" s="91" t="inlineStr">
        <is>
          <t>REWARDS VISA|20260627|-11856|SHOPRITE0234#1</t>
        </is>
      </c>
      <c r="Q177" s="92">
        <f>IF(AND(G177=RptMonth,F177="Expense",N(E177)&lt;0),-E177+ROW()/10000000,"")</f>
        <v/>
      </c>
    </row>
    <row r="178">
      <c r="A178" s="86" t="n">
        <v>46199</v>
      </c>
      <c r="B178" s="87" t="inlineStr">
        <is>
          <t>Everyday Checking</t>
        </is>
      </c>
      <c r="C178" s="87" t="inlineStr">
        <is>
          <t>ACME CORP PAYROLL DIR DEP</t>
        </is>
      </c>
      <c r="D178" s="87" t="inlineStr">
        <is>
          <t>Salary</t>
        </is>
      </c>
      <c r="E178" s="88" t="n">
        <v>3461.07</v>
      </c>
      <c r="F178" s="89">
        <f>IF(E178="","",IF(OR(D178="",D178="Uncategorized"),IF(E178&lt;0,"Expense","Income"),IFERROR(INDEX(Categories!$B$6:$B$65,MATCH(D178,Categories!$A$6:$A$65,0)),IF(E178&lt;0,"Expense","Income"))))</f>
        <v/>
      </c>
      <c r="G178" s="90">
        <f>IF(A178="","",DATE(YEAR(A178),MONTH(A178),1))</f>
        <v/>
      </c>
      <c r="H178" s="87" t="n"/>
      <c r="I178" s="87" t="n"/>
      <c r="J178" s="91" t="inlineStr">
        <is>
          <t>ACME CORP PAYROLL DIR DEP</t>
        </is>
      </c>
      <c r="K178" s="91" t="inlineStr">
        <is>
          <t>Sample Bank</t>
        </is>
      </c>
      <c r="L178" s="91" t="inlineStr">
        <is>
          <t>Checking</t>
        </is>
      </c>
      <c r="M178" s="91" t="inlineStr">
        <is>
          <t>Checking_Activity.csv</t>
        </is>
      </c>
      <c r="N178" s="91" t="inlineStr">
        <is>
          <t>2026-10-15 20:14:07</t>
        </is>
      </c>
      <c r="O178" s="91" t="n"/>
      <c r="P178" s="91" t="inlineStr">
        <is>
          <t>EVERYDAY CHECKING|20260626|346107|ACMECORPPAYROLLDIRDEP#1</t>
        </is>
      </c>
      <c r="Q178" s="92">
        <f>IF(AND(G178=RptMonth,F178="Expense",N(E178)&lt;0),-E178+ROW()/10000000,"")</f>
        <v/>
      </c>
    </row>
    <row r="179">
      <c r="A179" s="86" t="n">
        <v>46199</v>
      </c>
      <c r="B179" s="87" t="inlineStr">
        <is>
          <t>Rewards Visa</t>
        </is>
      </c>
      <c r="C179" s="87" t="inlineStr">
        <is>
          <t>SUNOCO 0391</t>
        </is>
      </c>
      <c r="D179" s="87" t="inlineStr">
        <is>
          <t>Gas &amp; Fuel</t>
        </is>
      </c>
      <c r="E179" s="88" t="n">
        <v>-61.79</v>
      </c>
      <c r="F179" s="89">
        <f>IF(E179="","",IF(OR(D179="",D179="Uncategorized"),IF(E179&lt;0,"Expense","Income"),IFERROR(INDEX(Categories!$B$6:$B$65,MATCH(D179,Categories!$A$6:$A$65,0)),IF(E179&lt;0,"Expense","Income"))))</f>
        <v/>
      </c>
      <c r="G179" s="90">
        <f>IF(A179="","",DATE(YEAR(A179),MONTH(A179),1))</f>
        <v/>
      </c>
      <c r="H179" s="87" t="n"/>
      <c r="I179" s="87" t="n"/>
      <c r="J179" s="91" t="inlineStr">
        <is>
          <t>SUNOCO 0391</t>
        </is>
      </c>
      <c r="K179" s="91" t="inlineStr">
        <is>
          <t>Sample Card Co</t>
        </is>
      </c>
      <c r="L179" s="91" t="inlineStr">
        <is>
          <t>Credit Card</t>
        </is>
      </c>
      <c r="M179" s="91" t="inlineStr">
        <is>
          <t>Visa_Statement.csv</t>
        </is>
      </c>
      <c r="N179" s="91" t="inlineStr">
        <is>
          <t>2026-10-15 20:14:07</t>
        </is>
      </c>
      <c r="O179" s="91" t="n"/>
      <c r="P179" s="91" t="inlineStr">
        <is>
          <t>REWARDS VISA|20260626|-6179|SUNOCO0391#1</t>
        </is>
      </c>
      <c r="Q179" s="92">
        <f>IF(AND(G179=RptMonth,F179="Expense",N(E179)&lt;0),-E179+ROW()/10000000,"")</f>
        <v/>
      </c>
    </row>
    <row r="180">
      <c r="A180" s="86" t="n">
        <v>46197</v>
      </c>
      <c r="B180" s="87" t="inlineStr">
        <is>
          <t>Rewards Visa</t>
        </is>
      </c>
      <c r="C180" s="87" t="inlineStr">
        <is>
          <t>CVS/PHARMACY #02210</t>
        </is>
      </c>
      <c r="D180" s="87" t="inlineStr">
        <is>
          <t>Shopping</t>
        </is>
      </c>
      <c r="E180" s="88" t="n">
        <v>-44.95</v>
      </c>
      <c r="F180" s="89">
        <f>IF(E180="","",IF(OR(D180="",D180="Uncategorized"),IF(E180&lt;0,"Expense","Income"),IFERROR(INDEX(Categories!$B$6:$B$65,MATCH(D180,Categories!$A$6:$A$65,0)),IF(E180&lt;0,"Expense","Income"))))</f>
        <v/>
      </c>
      <c r="G180" s="90">
        <f>IF(A180="","",DATE(YEAR(A180),MONTH(A180),1))</f>
        <v/>
      </c>
      <c r="H180" s="87" t="n"/>
      <c r="I180" s="87" t="n"/>
      <c r="J180" s="91" t="inlineStr">
        <is>
          <t>CVS/PHARMACY #02210</t>
        </is>
      </c>
      <c r="K180" s="91" t="inlineStr">
        <is>
          <t>Sample Card Co</t>
        </is>
      </c>
      <c r="L180" s="91" t="inlineStr">
        <is>
          <t>Credit Card</t>
        </is>
      </c>
      <c r="M180" s="91" t="inlineStr">
        <is>
          <t>Visa_Statement.csv</t>
        </is>
      </c>
      <c r="N180" s="91" t="inlineStr">
        <is>
          <t>2026-10-15 20:14:07</t>
        </is>
      </c>
      <c r="O180" s="91" t="n"/>
      <c r="P180" s="91" t="inlineStr">
        <is>
          <t>REWARDS VISA|20260624|-4495|CVSPHARMACY02210#1</t>
        </is>
      </c>
      <c r="Q180" s="92">
        <f>IF(AND(G180=RptMonth,F180="Expense",N(E180)&lt;0),-E180+ROW()/10000000,"")</f>
        <v/>
      </c>
    </row>
    <row r="181">
      <c r="A181" s="86" t="n">
        <v>46196</v>
      </c>
      <c r="B181" s="87" t="inlineStr">
        <is>
          <t>Rewards Visa</t>
        </is>
      </c>
      <c r="C181" s="87" t="inlineStr">
        <is>
          <t>SUNOCO 0391</t>
        </is>
      </c>
      <c r="D181" s="87" t="inlineStr">
        <is>
          <t>Gas &amp; Fuel</t>
        </is>
      </c>
      <c r="E181" s="88" t="n">
        <v>-45.66</v>
      </c>
      <c r="F181" s="89">
        <f>IF(E181="","",IF(OR(D181="",D181="Uncategorized"),IF(E181&lt;0,"Expense","Income"),IFERROR(INDEX(Categories!$B$6:$B$65,MATCH(D181,Categories!$A$6:$A$65,0)),IF(E181&lt;0,"Expense","Income"))))</f>
        <v/>
      </c>
      <c r="G181" s="90">
        <f>IF(A181="","",DATE(YEAR(A181),MONTH(A181),1))</f>
        <v/>
      </c>
      <c r="H181" s="87" t="n"/>
      <c r="I181" s="87" t="n"/>
      <c r="J181" s="91" t="inlineStr">
        <is>
          <t>SUNOCO 0391</t>
        </is>
      </c>
      <c r="K181" s="91" t="inlineStr">
        <is>
          <t>Sample Card Co</t>
        </is>
      </c>
      <c r="L181" s="91" t="inlineStr">
        <is>
          <t>Credit Card</t>
        </is>
      </c>
      <c r="M181" s="91" t="inlineStr">
        <is>
          <t>Visa_Statement.csv</t>
        </is>
      </c>
      <c r="N181" s="91" t="inlineStr">
        <is>
          <t>2026-10-15 20:14:07</t>
        </is>
      </c>
      <c r="O181" s="91" t="n"/>
      <c r="P181" s="91" t="inlineStr">
        <is>
          <t>REWARDS VISA|20260623|-4566|SUNOCO0391#1</t>
        </is>
      </c>
      <c r="Q181" s="92">
        <f>IF(AND(G181=RptMonth,F181="Expense",N(E181)&lt;0),-E181+ROW()/10000000,"")</f>
        <v/>
      </c>
    </row>
    <row r="182">
      <c r="A182" s="86" t="n">
        <v>46194</v>
      </c>
      <c r="B182" s="87" t="inlineStr">
        <is>
          <t>Rewards Visa</t>
        </is>
      </c>
      <c r="C182" s="87" t="inlineStr">
        <is>
          <t>GREAT CLIPS #4410</t>
        </is>
      </c>
      <c r="D182" s="87" t="inlineStr">
        <is>
          <t>Personal Care</t>
        </is>
      </c>
      <c r="E182" s="88" t="n">
        <v>-31.65</v>
      </c>
      <c r="F182" s="89">
        <f>IF(E182="","",IF(OR(D182="",D182="Uncategorized"),IF(E182&lt;0,"Expense","Income"),IFERROR(INDEX(Categories!$B$6:$B$65,MATCH(D182,Categories!$A$6:$A$65,0)),IF(E182&lt;0,"Expense","Income"))))</f>
        <v/>
      </c>
      <c r="G182" s="90">
        <f>IF(A182="","",DATE(YEAR(A182),MONTH(A182),1))</f>
        <v/>
      </c>
      <c r="H182" s="87" t="n"/>
      <c r="I182" s="87" t="n"/>
      <c r="J182" s="91" t="inlineStr">
        <is>
          <t>GREAT CLIPS #4410</t>
        </is>
      </c>
      <c r="K182" s="91" t="inlineStr">
        <is>
          <t>Sample Card Co</t>
        </is>
      </c>
      <c r="L182" s="91" t="inlineStr">
        <is>
          <t>Credit Card</t>
        </is>
      </c>
      <c r="M182" s="91" t="inlineStr">
        <is>
          <t>Visa_Statement.csv</t>
        </is>
      </c>
      <c r="N182" s="91" t="inlineStr">
        <is>
          <t>2026-10-15 20:14:07</t>
        </is>
      </c>
      <c r="O182" s="91" t="n"/>
      <c r="P182" s="91" t="inlineStr">
        <is>
          <t>REWARDS VISA|20260621|-3165|GREATCLIPS4410#1</t>
        </is>
      </c>
      <c r="Q182" s="92">
        <f>IF(AND(G182=RptMonth,F182="Expense",N(E182)&lt;0),-E182+ROW()/10000000,"")</f>
        <v/>
      </c>
    </row>
    <row r="183">
      <c r="A183" s="86" t="n">
        <v>46193</v>
      </c>
      <c r="B183" s="87" t="inlineStr">
        <is>
          <t>Everyday Checking</t>
        </is>
      </c>
      <c r="C183" s="87" t="inlineStr">
        <is>
          <t>CREDIT CARD PAYMENT REWARDS VISA</t>
        </is>
      </c>
      <c r="D183" s="87" t="inlineStr">
        <is>
          <t>Credit Card Payment</t>
        </is>
      </c>
      <c r="E183" s="88" t="n">
        <v>-1920</v>
      </c>
      <c r="F183" s="89">
        <f>IF(E183="","",IF(OR(D183="",D183="Uncategorized"),IF(E183&lt;0,"Expense","Income"),IFERROR(INDEX(Categories!$B$6:$B$65,MATCH(D183,Categories!$A$6:$A$65,0)),IF(E183&lt;0,"Expense","Income"))))</f>
        <v/>
      </c>
      <c r="G183" s="90">
        <f>IF(A183="","",DATE(YEAR(A183),MONTH(A183),1))</f>
        <v/>
      </c>
      <c r="H183" s="87" t="n"/>
      <c r="I183" s="87" t="n"/>
      <c r="J183" s="91" t="inlineStr">
        <is>
          <t>CREDIT CARD PAYMENT REWARDS VISA</t>
        </is>
      </c>
      <c r="K183" s="91" t="inlineStr">
        <is>
          <t>Sample Bank</t>
        </is>
      </c>
      <c r="L183" s="91" t="inlineStr">
        <is>
          <t>Checking</t>
        </is>
      </c>
      <c r="M183" s="91" t="inlineStr">
        <is>
          <t>Checking_Activity.csv</t>
        </is>
      </c>
      <c r="N183" s="91" t="inlineStr">
        <is>
          <t>2026-10-15 20:14:07</t>
        </is>
      </c>
      <c r="O183" s="91" t="n"/>
      <c r="P183" s="91" t="inlineStr">
        <is>
          <t>EVERYDAY CHECKING|20260620|-192000|CREDITCARDPAYMENTREWARDSVISA#1</t>
        </is>
      </c>
      <c r="Q183" s="92">
        <f>IF(AND(G183=RptMonth,F183="Expense",N(E183)&lt;0),-E183+ROW()/10000000,"")</f>
        <v/>
      </c>
    </row>
    <row r="184">
      <c r="A184" s="86" t="n">
        <v>46193</v>
      </c>
      <c r="B184" s="87" t="inlineStr">
        <is>
          <t>Rewards Visa</t>
        </is>
      </c>
      <c r="C184" s="87" t="inlineStr">
        <is>
          <t>DOORDASH*THAI PALACE</t>
        </is>
      </c>
      <c r="D184" s="87" t="inlineStr">
        <is>
          <t>Dining Out</t>
        </is>
      </c>
      <c r="E184" s="88" t="n">
        <v>-15.8</v>
      </c>
      <c r="F184" s="89">
        <f>IF(E184="","",IF(OR(D184="",D184="Uncategorized"),IF(E184&lt;0,"Expense","Income"),IFERROR(INDEX(Categories!$B$6:$B$65,MATCH(D184,Categories!$A$6:$A$65,0)),IF(E184&lt;0,"Expense","Income"))))</f>
        <v/>
      </c>
      <c r="G184" s="90">
        <f>IF(A184="","",DATE(YEAR(A184),MONTH(A184),1))</f>
        <v/>
      </c>
      <c r="H184" s="87" t="n"/>
      <c r="I184" s="87" t="n"/>
      <c r="J184" s="91" t="inlineStr">
        <is>
          <t>DOORDASH*THAI PALACE</t>
        </is>
      </c>
      <c r="K184" s="91" t="inlineStr">
        <is>
          <t>Sample Card Co</t>
        </is>
      </c>
      <c r="L184" s="91" t="inlineStr">
        <is>
          <t>Credit Card</t>
        </is>
      </c>
      <c r="M184" s="91" t="inlineStr">
        <is>
          <t>Visa_Statement.csv</t>
        </is>
      </c>
      <c r="N184" s="91" t="inlineStr">
        <is>
          <t>2026-10-15 20:14:07</t>
        </is>
      </c>
      <c r="O184" s="91" t="n"/>
      <c r="P184" s="91" t="inlineStr">
        <is>
          <t>REWARDS VISA|20260620|-1580|DOORDASHTHAIPALACE#1</t>
        </is>
      </c>
      <c r="Q184" s="92">
        <f>IF(AND(G184=RptMonth,F184="Expense",N(E184)&lt;0),-E184+ROW()/10000000,"")</f>
        <v/>
      </c>
    </row>
    <row r="185">
      <c r="A185" s="86" t="n">
        <v>46193</v>
      </c>
      <c r="B185" s="87" t="inlineStr">
        <is>
          <t>Rewards Visa</t>
        </is>
      </c>
      <c r="C185" s="87" t="inlineStr">
        <is>
          <t>PAYMENT THANK YOU</t>
        </is>
      </c>
      <c r="D185" s="87" t="inlineStr">
        <is>
          <t>Credit Card Payment</t>
        </is>
      </c>
      <c r="E185" s="88" t="n">
        <v>1920</v>
      </c>
      <c r="F185" s="89">
        <f>IF(E185="","",IF(OR(D185="",D185="Uncategorized"),IF(E185&lt;0,"Expense","Income"),IFERROR(INDEX(Categories!$B$6:$B$65,MATCH(D185,Categories!$A$6:$A$65,0)),IF(E185&lt;0,"Expense","Income"))))</f>
        <v/>
      </c>
      <c r="G185" s="90">
        <f>IF(A185="","",DATE(YEAR(A185),MONTH(A185),1))</f>
        <v/>
      </c>
      <c r="H185" s="87" t="n"/>
      <c r="I185" s="87" t="n"/>
      <c r="J185" s="91" t="inlineStr">
        <is>
          <t>PAYMENT THANK YOU</t>
        </is>
      </c>
      <c r="K185" s="91" t="inlineStr">
        <is>
          <t>Sample Card Co</t>
        </is>
      </c>
      <c r="L185" s="91" t="inlineStr">
        <is>
          <t>Credit Card</t>
        </is>
      </c>
      <c r="M185" s="91" t="inlineStr">
        <is>
          <t>Visa_Statement.csv</t>
        </is>
      </c>
      <c r="N185" s="91" t="inlineStr">
        <is>
          <t>2026-10-15 20:14:07</t>
        </is>
      </c>
      <c r="O185" s="91" t="n"/>
      <c r="P185" s="91" t="inlineStr">
        <is>
          <t>REWARDS VISA|20260620|192000|PAYMENTTHANKYOU#1</t>
        </is>
      </c>
      <c r="Q185" s="92">
        <f>IF(AND(G185=RptMonth,F185="Expense",N(E185)&lt;0),-E185+ROW()/10000000,"")</f>
        <v/>
      </c>
    </row>
    <row r="186">
      <c r="A186" s="86" t="n">
        <v>46193</v>
      </c>
      <c r="B186" s="87" t="inlineStr">
        <is>
          <t>Rewards Visa</t>
        </is>
      </c>
      <c r="C186" s="87" t="inlineStr">
        <is>
          <t>TRADER JOE'S #548</t>
        </is>
      </c>
      <c r="D186" s="87" t="inlineStr">
        <is>
          <t>Groceries</t>
        </is>
      </c>
      <c r="E186" s="88" t="n">
        <v>-116.94</v>
      </c>
      <c r="F186" s="89">
        <f>IF(E186="","",IF(OR(D186="",D186="Uncategorized"),IF(E186&lt;0,"Expense","Income"),IFERROR(INDEX(Categories!$B$6:$B$65,MATCH(D186,Categories!$A$6:$A$65,0)),IF(E186&lt;0,"Expense","Income"))))</f>
        <v/>
      </c>
      <c r="G186" s="90">
        <f>IF(A186="","",DATE(YEAR(A186),MONTH(A186),1))</f>
        <v/>
      </c>
      <c r="H186" s="87" t="n"/>
      <c r="I186" s="87" t="n"/>
      <c r="J186" s="91" t="inlineStr">
        <is>
          <t>TRADER JOE'S #548</t>
        </is>
      </c>
      <c r="K186" s="91" t="inlineStr">
        <is>
          <t>Sample Card Co</t>
        </is>
      </c>
      <c r="L186" s="91" t="inlineStr">
        <is>
          <t>Credit Card</t>
        </is>
      </c>
      <c r="M186" s="91" t="inlineStr">
        <is>
          <t>Visa_Statement.csv</t>
        </is>
      </c>
      <c r="N186" s="91" t="inlineStr">
        <is>
          <t>2026-10-15 20:14:07</t>
        </is>
      </c>
      <c r="O186" s="91" t="n"/>
      <c r="P186" s="91" t="inlineStr">
        <is>
          <t>REWARDS VISA|20260620|-11694|TRADERJOES548#1</t>
        </is>
      </c>
      <c r="Q186" s="92">
        <f>IF(AND(G186=RptMonth,F186="Expense",N(E186)&lt;0),-E186+ROW()/10000000,"")</f>
        <v/>
      </c>
    </row>
    <row r="187">
      <c r="A187" s="86" t="n">
        <v>46192</v>
      </c>
      <c r="B187" s="87" t="inlineStr">
        <is>
          <t>Rewards Visa</t>
        </is>
      </c>
      <c r="C187" s="87" t="inlineStr">
        <is>
          <t>CHIPOTLE 2291</t>
        </is>
      </c>
      <c r="D187" s="87" t="inlineStr">
        <is>
          <t>Dining Out</t>
        </is>
      </c>
      <c r="E187" s="88" t="n">
        <v>-42.33</v>
      </c>
      <c r="F187" s="89">
        <f>IF(E187="","",IF(OR(D187="",D187="Uncategorized"),IF(E187&lt;0,"Expense","Income"),IFERROR(INDEX(Categories!$B$6:$B$65,MATCH(D187,Categories!$A$6:$A$65,0)),IF(E187&lt;0,"Expense","Income"))))</f>
        <v/>
      </c>
      <c r="G187" s="90">
        <f>IF(A187="","",DATE(YEAR(A187),MONTH(A187),1))</f>
        <v/>
      </c>
      <c r="H187" s="87" t="n"/>
      <c r="I187" s="87" t="n"/>
      <c r="J187" s="91" t="inlineStr">
        <is>
          <t>CHIPOTLE 2291</t>
        </is>
      </c>
      <c r="K187" s="91" t="inlineStr">
        <is>
          <t>Sample Card Co</t>
        </is>
      </c>
      <c r="L187" s="91" t="inlineStr">
        <is>
          <t>Credit Card</t>
        </is>
      </c>
      <c r="M187" s="91" t="inlineStr">
        <is>
          <t>Visa_Statement.csv</t>
        </is>
      </c>
      <c r="N187" s="91" t="inlineStr">
        <is>
          <t>2026-10-15 20:14:07</t>
        </is>
      </c>
      <c r="O187" s="91" t="n"/>
      <c r="P187" s="91" t="inlineStr">
        <is>
          <t>REWARDS VISA|20260619|-4233|CHIPOTLE2291#1</t>
        </is>
      </c>
      <c r="Q187" s="92">
        <f>IF(AND(G187=RptMonth,F187="Expense",N(E187)&lt;0),-E187+ROW()/10000000,"")</f>
        <v/>
      </c>
    </row>
    <row r="188">
      <c r="A188" s="86" t="n">
        <v>46192</v>
      </c>
      <c r="B188" s="87" t="inlineStr">
        <is>
          <t>Rewards Visa</t>
        </is>
      </c>
      <c r="C188" s="87" t="inlineStr">
        <is>
          <t>HOME DEPOT #0911</t>
        </is>
      </c>
      <c r="D188" s="87" t="inlineStr">
        <is>
          <t>Home Improvement</t>
        </is>
      </c>
      <c r="E188" s="88" t="n">
        <v>-36.96</v>
      </c>
      <c r="F188" s="89">
        <f>IF(E188="","",IF(OR(D188="",D188="Uncategorized"),IF(E188&lt;0,"Expense","Income"),IFERROR(INDEX(Categories!$B$6:$B$65,MATCH(D188,Categories!$A$6:$A$65,0)),IF(E188&lt;0,"Expense","Income"))))</f>
        <v/>
      </c>
      <c r="G188" s="90">
        <f>IF(A188="","",DATE(YEAR(A188),MONTH(A188),1))</f>
        <v/>
      </c>
      <c r="H188" s="87" t="n"/>
      <c r="I188" s="87" t="n"/>
      <c r="J188" s="91" t="inlineStr">
        <is>
          <t>HOME DEPOT #0911</t>
        </is>
      </c>
      <c r="K188" s="91" t="inlineStr">
        <is>
          <t>Sample Card Co</t>
        </is>
      </c>
      <c r="L188" s="91" t="inlineStr">
        <is>
          <t>Credit Card</t>
        </is>
      </c>
      <c r="M188" s="91" t="inlineStr">
        <is>
          <t>Visa_Statement.csv</t>
        </is>
      </c>
      <c r="N188" s="91" t="inlineStr">
        <is>
          <t>2026-10-15 20:14:07</t>
        </is>
      </c>
      <c r="O188" s="91" t="n"/>
      <c r="P188" s="91" t="inlineStr">
        <is>
          <t>REWARDS VISA|20260619|-3696|HOMEDEPOT0911#1</t>
        </is>
      </c>
      <c r="Q188" s="92">
        <f>IF(AND(G188=RptMonth,F188="Expense",N(E188)&lt;0),-E188+ROW()/10000000,"")</f>
        <v/>
      </c>
    </row>
    <row r="189">
      <c r="A189" s="86" t="n">
        <v>46192</v>
      </c>
      <c r="B189" s="87" t="inlineStr">
        <is>
          <t>Rewards Visa</t>
        </is>
      </c>
      <c r="C189" s="87" t="inlineStr">
        <is>
          <t>SUNOCO 0391</t>
        </is>
      </c>
      <c r="D189" s="87" t="inlineStr">
        <is>
          <t>Gas &amp; Fuel</t>
        </is>
      </c>
      <c r="E189" s="88" t="n">
        <v>-54.56</v>
      </c>
      <c r="F189" s="89">
        <f>IF(E189="","",IF(OR(D189="",D189="Uncategorized"),IF(E189&lt;0,"Expense","Income"),IFERROR(INDEX(Categories!$B$6:$B$65,MATCH(D189,Categories!$A$6:$A$65,0)),IF(E189&lt;0,"Expense","Income"))))</f>
        <v/>
      </c>
      <c r="G189" s="90">
        <f>IF(A189="","",DATE(YEAR(A189),MONTH(A189),1))</f>
        <v/>
      </c>
      <c r="H189" s="87" t="n"/>
      <c r="I189" s="87" t="n"/>
      <c r="J189" s="91" t="inlineStr">
        <is>
          <t>SUNOCO 0391</t>
        </is>
      </c>
      <c r="K189" s="91" t="inlineStr">
        <is>
          <t>Sample Card Co</t>
        </is>
      </c>
      <c r="L189" s="91" t="inlineStr">
        <is>
          <t>Credit Card</t>
        </is>
      </c>
      <c r="M189" s="91" t="inlineStr">
        <is>
          <t>Visa_Statement.csv</t>
        </is>
      </c>
      <c r="N189" s="91" t="inlineStr">
        <is>
          <t>2026-10-15 20:14:07</t>
        </is>
      </c>
      <c r="O189" s="91" t="n"/>
      <c r="P189" s="91" t="inlineStr">
        <is>
          <t>REWARDS VISA|20260619|-5456|SUNOCO0391#1</t>
        </is>
      </c>
      <c r="Q189" s="92">
        <f>IF(AND(G189=RptMonth,F189="Expense",N(E189)&lt;0),-E189+ROW()/10000000,"")</f>
        <v/>
      </c>
    </row>
    <row r="190">
      <c r="A190" s="86" t="n">
        <v>46191</v>
      </c>
      <c r="B190" s="87" t="inlineStr">
        <is>
          <t>Everyday Checking</t>
        </is>
      </c>
      <c r="C190" s="87" t="inlineStr">
        <is>
          <t>SAMPLE LOAN SERVICER STUDENT LOAN</t>
        </is>
      </c>
      <c r="D190" s="87" t="inlineStr">
        <is>
          <t>Loan Payments</t>
        </is>
      </c>
      <c r="E190" s="88" t="n">
        <v>-260</v>
      </c>
      <c r="F190" s="89">
        <f>IF(E190="","",IF(OR(D190="",D190="Uncategorized"),IF(E190&lt;0,"Expense","Income"),IFERROR(INDEX(Categories!$B$6:$B$65,MATCH(D190,Categories!$A$6:$A$65,0)),IF(E190&lt;0,"Expense","Income"))))</f>
        <v/>
      </c>
      <c r="G190" s="90">
        <f>IF(A190="","",DATE(YEAR(A190),MONTH(A190),1))</f>
        <v/>
      </c>
      <c r="H190" s="87" t="n"/>
      <c r="I190" s="87" t="n"/>
      <c r="J190" s="91" t="inlineStr">
        <is>
          <t>SAMPLE LOAN SERVICER STUDENT LOAN</t>
        </is>
      </c>
      <c r="K190" s="91" t="inlineStr">
        <is>
          <t>Sample Bank</t>
        </is>
      </c>
      <c r="L190" s="91" t="inlineStr">
        <is>
          <t>Checking</t>
        </is>
      </c>
      <c r="M190" s="91" t="inlineStr">
        <is>
          <t>Checking_Activity.csv</t>
        </is>
      </c>
      <c r="N190" s="91" t="inlineStr">
        <is>
          <t>2026-10-15 20:14:07</t>
        </is>
      </c>
      <c r="O190" s="91" t="n"/>
      <c r="P190" s="91" t="inlineStr">
        <is>
          <t>EVERYDAY CHECKING|20260618|-26000|SAMPLELOANSERVICERSTUDENTLOAN#1</t>
        </is>
      </c>
      <c r="Q190" s="92">
        <f>IF(AND(G190=RptMonth,F190="Expense",N(E190)&lt;0),-E190+ROW()/10000000,"")</f>
        <v/>
      </c>
    </row>
    <row r="191">
      <c r="A191" s="86" t="n">
        <v>46191</v>
      </c>
      <c r="B191" s="87" t="inlineStr">
        <is>
          <t>Rewards Visa</t>
        </is>
      </c>
      <c r="C191" s="87" t="inlineStr">
        <is>
          <t>UBER *TRIP</t>
        </is>
      </c>
      <c r="D191" s="87" t="inlineStr">
        <is>
          <t>Transportation</t>
        </is>
      </c>
      <c r="E191" s="88" t="n">
        <v>-15.45</v>
      </c>
      <c r="F191" s="89">
        <f>IF(E191="","",IF(OR(D191="",D191="Uncategorized"),IF(E191&lt;0,"Expense","Income"),IFERROR(INDEX(Categories!$B$6:$B$65,MATCH(D191,Categories!$A$6:$A$65,0)),IF(E191&lt;0,"Expense","Income"))))</f>
        <v/>
      </c>
      <c r="G191" s="90">
        <f>IF(A191="","",DATE(YEAR(A191),MONTH(A191),1))</f>
        <v/>
      </c>
      <c r="H191" s="87" t="n"/>
      <c r="I191" s="87" t="n"/>
      <c r="J191" s="91" t="inlineStr">
        <is>
          <t>UBER *TRIP</t>
        </is>
      </c>
      <c r="K191" s="91" t="inlineStr">
        <is>
          <t>Sample Card Co</t>
        </is>
      </c>
      <c r="L191" s="91" t="inlineStr">
        <is>
          <t>Credit Card</t>
        </is>
      </c>
      <c r="M191" s="91" t="inlineStr">
        <is>
          <t>Visa_Statement.csv</t>
        </is>
      </c>
      <c r="N191" s="91" t="inlineStr">
        <is>
          <t>2026-10-15 20:14:07</t>
        </is>
      </c>
      <c r="O191" s="91" t="n"/>
      <c r="P191" s="91" t="inlineStr">
        <is>
          <t>REWARDS VISA|20260618|-1545|UBERTRIP#1</t>
        </is>
      </c>
      <c r="Q191" s="92">
        <f>IF(AND(G191=RptMonth,F191="Expense",N(E191)&lt;0),-E191+ROW()/10000000,"")</f>
        <v/>
      </c>
    </row>
    <row r="192">
      <c r="A192" s="86" t="n">
        <v>46190</v>
      </c>
      <c r="B192" s="87" t="inlineStr">
        <is>
          <t>Rewards Visa</t>
        </is>
      </c>
      <c r="C192" s="87" t="inlineStr">
        <is>
          <t>H MART #112</t>
        </is>
      </c>
      <c r="D192" s="87" t="inlineStr">
        <is>
          <t>Groceries</t>
        </is>
      </c>
      <c r="E192" s="88" t="n">
        <v>-67.84999999999999</v>
      </c>
      <c r="F192" s="89">
        <f>IF(E192="","",IF(OR(D192="",D192="Uncategorized"),IF(E192&lt;0,"Expense","Income"),IFERROR(INDEX(Categories!$B$6:$B$65,MATCH(D192,Categories!$A$6:$A$65,0)),IF(E192&lt;0,"Expense","Income"))))</f>
        <v/>
      </c>
      <c r="G192" s="90">
        <f>IF(A192="","",DATE(YEAR(A192),MONTH(A192),1))</f>
        <v/>
      </c>
      <c r="H192" s="87" t="n"/>
      <c r="I192" s="87" t="n"/>
      <c r="J192" s="91" t="inlineStr">
        <is>
          <t>H MART #112</t>
        </is>
      </c>
      <c r="K192" s="91" t="inlineStr">
        <is>
          <t>Sample Card Co</t>
        </is>
      </c>
      <c r="L192" s="91" t="inlineStr">
        <is>
          <t>Credit Card</t>
        </is>
      </c>
      <c r="M192" s="91" t="inlineStr">
        <is>
          <t>Visa_Statement.csv</t>
        </is>
      </c>
      <c r="N192" s="91" t="inlineStr">
        <is>
          <t>2026-10-15 20:14:07</t>
        </is>
      </c>
      <c r="O192" s="91" t="n"/>
      <c r="P192" s="91" t="inlineStr">
        <is>
          <t>REWARDS VISA|20260617|-6785|HMART112#1</t>
        </is>
      </c>
      <c r="Q192" s="92">
        <f>IF(AND(G192=RptMonth,F192="Expense",N(E192)&lt;0),-E192+ROW()/10000000,"")</f>
        <v/>
      </c>
    </row>
    <row r="193">
      <c r="A193" s="86" t="n">
        <v>46189</v>
      </c>
      <c r="B193" s="87" t="inlineStr">
        <is>
          <t>Rewards Visa</t>
        </is>
      </c>
      <c r="C193" s="87" t="inlineStr">
        <is>
          <t>PLANET FITNESS</t>
        </is>
      </c>
      <c r="D193" s="87" t="inlineStr">
        <is>
          <t>Health &amp; Fitness</t>
        </is>
      </c>
      <c r="E193" s="88" t="n">
        <v>-24.99</v>
      </c>
      <c r="F193" s="89">
        <f>IF(E193="","",IF(OR(D193="",D193="Uncategorized"),IF(E193&lt;0,"Expense","Income"),IFERROR(INDEX(Categories!$B$6:$B$65,MATCH(D193,Categories!$A$6:$A$65,0)),IF(E193&lt;0,"Expense","Income"))))</f>
        <v/>
      </c>
      <c r="G193" s="90">
        <f>IF(A193="","",DATE(YEAR(A193),MONTH(A193),1))</f>
        <v/>
      </c>
      <c r="H193" s="87" t="n"/>
      <c r="I193" s="87" t="n"/>
      <c r="J193" s="91" t="inlineStr">
        <is>
          <t>PLANET FITNESS</t>
        </is>
      </c>
      <c r="K193" s="91" t="inlineStr">
        <is>
          <t>Sample Card Co</t>
        </is>
      </c>
      <c r="L193" s="91" t="inlineStr">
        <is>
          <t>Credit Card</t>
        </is>
      </c>
      <c r="M193" s="91" t="inlineStr">
        <is>
          <t>Visa_Statement.csv</t>
        </is>
      </c>
      <c r="N193" s="91" t="inlineStr">
        <is>
          <t>2026-10-15 20:14:07</t>
        </is>
      </c>
      <c r="O193" s="91" t="n"/>
      <c r="P193" s="91" t="inlineStr">
        <is>
          <t>REWARDS VISA|20260616|-2499|PLANETFITNESS#1</t>
        </is>
      </c>
      <c r="Q193" s="92">
        <f>IF(AND(G193=RptMonth,F193="Expense",N(E193)&lt;0),-E193+ROW()/10000000,"")</f>
        <v/>
      </c>
    </row>
    <row r="194">
      <c r="A194" s="86" t="n">
        <v>46188</v>
      </c>
      <c r="B194" s="87" t="inlineStr">
        <is>
          <t>Everyday Checking</t>
        </is>
      </c>
      <c r="C194" s="87" t="inlineStr">
        <is>
          <t>XFINITY INTERNET</t>
        </is>
      </c>
      <c r="D194" s="87" t="inlineStr">
        <is>
          <t>Phone &amp; Internet</t>
        </is>
      </c>
      <c r="E194" s="88" t="n">
        <v>-79.98999999999999</v>
      </c>
      <c r="F194" s="89">
        <f>IF(E194="","",IF(OR(D194="",D194="Uncategorized"),IF(E194&lt;0,"Expense","Income"),IFERROR(INDEX(Categories!$B$6:$B$65,MATCH(D194,Categories!$A$6:$A$65,0)),IF(E194&lt;0,"Expense","Income"))))</f>
        <v/>
      </c>
      <c r="G194" s="90">
        <f>IF(A194="","",DATE(YEAR(A194),MONTH(A194),1))</f>
        <v/>
      </c>
      <c r="H194" s="87" t="n"/>
      <c r="I194" s="87" t="n"/>
      <c r="J194" s="91" t="inlineStr">
        <is>
          <t>XFINITY INTERNET</t>
        </is>
      </c>
      <c r="K194" s="91" t="inlineStr">
        <is>
          <t>Sample Bank</t>
        </is>
      </c>
      <c r="L194" s="91" t="inlineStr">
        <is>
          <t>Checking</t>
        </is>
      </c>
      <c r="M194" s="91" t="inlineStr">
        <is>
          <t>Checking_Activity.csv</t>
        </is>
      </c>
      <c r="N194" s="91" t="inlineStr">
        <is>
          <t>2026-10-15 20:14:07</t>
        </is>
      </c>
      <c r="O194" s="91" t="n"/>
      <c r="P194" s="91" t="inlineStr">
        <is>
          <t>EVERYDAY CHECKING|20260615|-7999|XFINITYINTERNET#1</t>
        </is>
      </c>
      <c r="Q194" s="92">
        <f>IF(AND(G194=RptMonth,F194="Expense",N(E194)&lt;0),-E194+ROW()/10000000,"")</f>
        <v/>
      </c>
    </row>
    <row r="195">
      <c r="A195" s="86" t="n">
        <v>46188</v>
      </c>
      <c r="B195" s="87" t="inlineStr">
        <is>
          <t>Rewards Visa</t>
        </is>
      </c>
      <c r="C195" s="87" t="inlineStr">
        <is>
          <t>BLUE MOON DINER</t>
        </is>
      </c>
      <c r="D195" s="87" t="inlineStr">
        <is>
          <t>Dining Out</t>
        </is>
      </c>
      <c r="E195" s="88" t="n">
        <v>-20.39</v>
      </c>
      <c r="F195" s="89">
        <f>IF(E195="","",IF(OR(D195="",D195="Uncategorized"),IF(E195&lt;0,"Expense","Income"),IFERROR(INDEX(Categories!$B$6:$B$65,MATCH(D195,Categories!$A$6:$A$65,0)),IF(E195&lt;0,"Expense","Income"))))</f>
        <v/>
      </c>
      <c r="G195" s="90">
        <f>IF(A195="","",DATE(YEAR(A195),MONTH(A195),1))</f>
        <v/>
      </c>
      <c r="H195" s="87" t="n"/>
      <c r="I195" s="87" t="n"/>
      <c r="J195" s="91" t="inlineStr">
        <is>
          <t>BLUE MOON DINER</t>
        </is>
      </c>
      <c r="K195" s="91" t="inlineStr">
        <is>
          <t>Sample Card Co</t>
        </is>
      </c>
      <c r="L195" s="91" t="inlineStr">
        <is>
          <t>Credit Card</t>
        </is>
      </c>
      <c r="M195" s="91" t="inlineStr">
        <is>
          <t>Visa_Statement.csv</t>
        </is>
      </c>
      <c r="N195" s="91" t="inlineStr">
        <is>
          <t>2026-10-15 20:14:07</t>
        </is>
      </c>
      <c r="O195" s="91" t="n"/>
      <c r="P195" s="91" t="inlineStr">
        <is>
          <t>REWARDS VISA|20260615|-2039|BLUEMOONDINER#1</t>
        </is>
      </c>
      <c r="Q195" s="92">
        <f>IF(AND(G195=RptMonth,F195="Expense",N(E195)&lt;0),-E195+ROW()/10000000,"")</f>
        <v/>
      </c>
    </row>
    <row r="196">
      <c r="A196" s="86" t="n">
        <v>46187</v>
      </c>
      <c r="B196" s="87" t="inlineStr">
        <is>
          <t>Everyday Checking</t>
        </is>
      </c>
      <c r="C196" s="87" t="inlineStr">
        <is>
          <t>CITY WATER UTILITY</t>
        </is>
      </c>
      <c r="D196" s="87" t="inlineStr">
        <is>
          <t>Utilities</t>
        </is>
      </c>
      <c r="E196" s="88" t="n">
        <v>-72.13</v>
      </c>
      <c r="F196" s="89">
        <f>IF(E196="","",IF(OR(D196="",D196="Uncategorized"),IF(E196&lt;0,"Expense","Income"),IFERROR(INDEX(Categories!$B$6:$B$65,MATCH(D196,Categories!$A$6:$A$65,0)),IF(E196&lt;0,"Expense","Income"))))</f>
        <v/>
      </c>
      <c r="G196" s="90">
        <f>IF(A196="","",DATE(YEAR(A196),MONTH(A196),1))</f>
        <v/>
      </c>
      <c r="H196" s="87" t="n"/>
      <c r="I196" s="87" t="n"/>
      <c r="J196" s="91" t="inlineStr">
        <is>
          <t>CITY WATER UTILITY</t>
        </is>
      </c>
      <c r="K196" s="91" t="inlineStr">
        <is>
          <t>Sample Bank</t>
        </is>
      </c>
      <c r="L196" s="91" t="inlineStr">
        <is>
          <t>Checking</t>
        </is>
      </c>
      <c r="M196" s="91" t="inlineStr">
        <is>
          <t>Checking_Activity.csv</t>
        </is>
      </c>
      <c r="N196" s="91" t="inlineStr">
        <is>
          <t>2026-10-15 20:14:07</t>
        </is>
      </c>
      <c r="O196" s="91" t="n"/>
      <c r="P196" s="91" t="inlineStr">
        <is>
          <t>EVERYDAY CHECKING|20260614|-7213|CITYWATERUTILITY#1</t>
        </is>
      </c>
      <c r="Q196" s="92">
        <f>IF(AND(G196=RptMonth,F196="Expense",N(E196)&lt;0),-E196+ROW()/10000000,"")</f>
        <v/>
      </c>
    </row>
    <row r="197">
      <c r="A197" s="86" t="n">
        <v>46187</v>
      </c>
      <c r="B197" s="87" t="inlineStr">
        <is>
          <t>Rewards Visa</t>
        </is>
      </c>
      <c r="C197" s="87" t="inlineStr">
        <is>
          <t>DOORDASH*THAI PALACE</t>
        </is>
      </c>
      <c r="D197" s="87" t="inlineStr">
        <is>
          <t>Dining Out</t>
        </is>
      </c>
      <c r="E197" s="88" t="n">
        <v>-38.65</v>
      </c>
      <c r="F197" s="89">
        <f>IF(E197="","",IF(OR(D197="",D197="Uncategorized"),IF(E197&lt;0,"Expense","Income"),IFERROR(INDEX(Categories!$B$6:$B$65,MATCH(D197,Categories!$A$6:$A$65,0)),IF(E197&lt;0,"Expense","Income"))))</f>
        <v/>
      </c>
      <c r="G197" s="90">
        <f>IF(A197="","",DATE(YEAR(A197),MONTH(A197),1))</f>
        <v/>
      </c>
      <c r="H197" s="87" t="n"/>
      <c r="I197" s="87" t="n"/>
      <c r="J197" s="91" t="inlineStr">
        <is>
          <t>DOORDASH*THAI PALACE</t>
        </is>
      </c>
      <c r="K197" s="91" t="inlineStr">
        <is>
          <t>Sample Card Co</t>
        </is>
      </c>
      <c r="L197" s="91" t="inlineStr">
        <is>
          <t>Credit Card</t>
        </is>
      </c>
      <c r="M197" s="91" t="inlineStr">
        <is>
          <t>Visa_Statement.csv</t>
        </is>
      </c>
      <c r="N197" s="91" t="inlineStr">
        <is>
          <t>2026-10-15 20:14:07</t>
        </is>
      </c>
      <c r="O197" s="91" t="n"/>
      <c r="P197" s="91" t="inlineStr">
        <is>
          <t>REWARDS VISA|20260614|-3865|DOORDASHTHAIPALACE#1</t>
        </is>
      </c>
      <c r="Q197" s="92">
        <f>IF(AND(G197=RptMonth,F197="Expense",N(E197)&lt;0),-E197+ROW()/10000000,"")</f>
        <v/>
      </c>
    </row>
    <row r="198">
      <c r="A198" s="86" t="n">
        <v>46186</v>
      </c>
      <c r="B198" s="87" t="inlineStr">
        <is>
          <t>Rewards Visa</t>
        </is>
      </c>
      <c r="C198" s="87" t="inlineStr">
        <is>
          <t>H MART #112</t>
        </is>
      </c>
      <c r="D198" s="87" t="inlineStr">
        <is>
          <t>Groceries</t>
        </is>
      </c>
      <c r="E198" s="88" t="n">
        <v>-136.49</v>
      </c>
      <c r="F198" s="89">
        <f>IF(E198="","",IF(OR(D198="",D198="Uncategorized"),IF(E198&lt;0,"Expense","Income"),IFERROR(INDEX(Categories!$B$6:$B$65,MATCH(D198,Categories!$A$6:$A$65,0)),IF(E198&lt;0,"Expense","Income"))))</f>
        <v/>
      </c>
      <c r="G198" s="90">
        <f>IF(A198="","",DATE(YEAR(A198),MONTH(A198),1))</f>
        <v/>
      </c>
      <c r="H198" s="87" t="n"/>
      <c r="I198" s="87" t="n"/>
      <c r="J198" s="91" t="inlineStr">
        <is>
          <t>H MART #112</t>
        </is>
      </c>
      <c r="K198" s="91" t="inlineStr">
        <is>
          <t>Sample Card Co</t>
        </is>
      </c>
      <c r="L198" s="91" t="inlineStr">
        <is>
          <t>Credit Card</t>
        </is>
      </c>
      <c r="M198" s="91" t="inlineStr">
        <is>
          <t>Visa_Statement.csv</t>
        </is>
      </c>
      <c r="N198" s="91" t="inlineStr">
        <is>
          <t>2026-10-15 20:14:07</t>
        </is>
      </c>
      <c r="O198" s="91" t="n"/>
      <c r="P198" s="91" t="inlineStr">
        <is>
          <t>REWARDS VISA|20260613|-13649|HMART112#1</t>
        </is>
      </c>
      <c r="Q198" s="92">
        <f>IF(AND(G198=RptMonth,F198="Expense",N(E198)&lt;0),-E198+ROW()/10000000,"")</f>
        <v/>
      </c>
    </row>
    <row r="199">
      <c r="A199" s="86" t="n">
        <v>46185</v>
      </c>
      <c r="B199" s="87" t="inlineStr">
        <is>
          <t>Everyday Checking</t>
        </is>
      </c>
      <c r="C199" s="87" t="inlineStr">
        <is>
          <t>ACME CORP PAYROLL DIR DEP</t>
        </is>
      </c>
      <c r="D199" s="87" t="inlineStr">
        <is>
          <t>Salary</t>
        </is>
      </c>
      <c r="E199" s="88" t="n">
        <v>3461.07</v>
      </c>
      <c r="F199" s="89">
        <f>IF(E199="","",IF(OR(D199="",D199="Uncategorized"),IF(E199&lt;0,"Expense","Income"),IFERROR(INDEX(Categories!$B$6:$B$65,MATCH(D199,Categories!$A$6:$A$65,0)),IF(E199&lt;0,"Expense","Income"))))</f>
        <v/>
      </c>
      <c r="G199" s="90">
        <f>IF(A199="","",DATE(YEAR(A199),MONTH(A199),1))</f>
        <v/>
      </c>
      <c r="H199" s="87" t="n"/>
      <c r="I199" s="87" t="n"/>
      <c r="J199" s="91" t="inlineStr">
        <is>
          <t>ACME CORP PAYROLL DIR DEP</t>
        </is>
      </c>
      <c r="K199" s="91" t="inlineStr">
        <is>
          <t>Sample Bank</t>
        </is>
      </c>
      <c r="L199" s="91" t="inlineStr">
        <is>
          <t>Checking</t>
        </is>
      </c>
      <c r="M199" s="91" t="inlineStr">
        <is>
          <t>Checking_Activity.csv</t>
        </is>
      </c>
      <c r="N199" s="91" t="inlineStr">
        <is>
          <t>2026-10-15 20:14:07</t>
        </is>
      </c>
      <c r="O199" s="91" t="n"/>
      <c r="P199" s="91" t="inlineStr">
        <is>
          <t>EVERYDAY CHECKING|20260612|346107|ACMECORPPAYROLLDIRDEP#1</t>
        </is>
      </c>
      <c r="Q199" s="92">
        <f>IF(AND(G199=RptMonth,F199="Expense",N(E199)&lt;0),-E199+ROW()/10000000,"")</f>
        <v/>
      </c>
    </row>
    <row r="200">
      <c r="A200" s="86" t="n">
        <v>46185</v>
      </c>
      <c r="B200" s="87" t="inlineStr">
        <is>
          <t>Everyday Checking</t>
        </is>
      </c>
      <c r="C200" s="87" t="inlineStr">
        <is>
          <t>VERIZON WIRELESS</t>
        </is>
      </c>
      <c r="D200" s="87" t="inlineStr">
        <is>
          <t>Phone &amp; Internet</t>
        </is>
      </c>
      <c r="E200" s="88" t="n">
        <v>-95</v>
      </c>
      <c r="F200" s="89">
        <f>IF(E200="","",IF(OR(D200="",D200="Uncategorized"),IF(E200&lt;0,"Expense","Income"),IFERROR(INDEX(Categories!$B$6:$B$65,MATCH(D200,Categories!$A$6:$A$65,0)),IF(E200&lt;0,"Expense","Income"))))</f>
        <v/>
      </c>
      <c r="G200" s="90">
        <f>IF(A200="","",DATE(YEAR(A200),MONTH(A200),1))</f>
        <v/>
      </c>
      <c r="H200" s="87" t="n"/>
      <c r="I200" s="87" t="n"/>
      <c r="J200" s="91" t="inlineStr">
        <is>
          <t>VERIZON WIRELESS</t>
        </is>
      </c>
      <c r="K200" s="91" t="inlineStr">
        <is>
          <t>Sample Bank</t>
        </is>
      </c>
      <c r="L200" s="91" t="inlineStr">
        <is>
          <t>Checking</t>
        </is>
      </c>
      <c r="M200" s="91" t="inlineStr">
        <is>
          <t>Checking_Activity.csv</t>
        </is>
      </c>
      <c r="N200" s="91" t="inlineStr">
        <is>
          <t>2026-10-15 20:14:07</t>
        </is>
      </c>
      <c r="O200" s="91" t="n"/>
      <c r="P200" s="91" t="inlineStr">
        <is>
          <t>EVERYDAY CHECKING|20260612|-9500|VERIZONWIRELESS#1</t>
        </is>
      </c>
      <c r="Q200" s="92">
        <f>IF(AND(G200=RptMonth,F200="Expense",N(E200)&lt;0),-E200+ROW()/10000000,"")</f>
        <v/>
      </c>
    </row>
    <row r="201">
      <c r="A201" s="86" t="n">
        <v>46185</v>
      </c>
      <c r="B201" s="87" t="inlineStr">
        <is>
          <t>Rewards Visa</t>
        </is>
      </c>
      <c r="C201" s="87" t="inlineStr">
        <is>
          <t>EXXONMOBIL 4471</t>
        </is>
      </c>
      <c r="D201" s="87" t="inlineStr">
        <is>
          <t>Gas &amp; Fuel</t>
        </is>
      </c>
      <c r="E201" s="88" t="n">
        <v>-39.67</v>
      </c>
      <c r="F201" s="89">
        <f>IF(E201="","",IF(OR(D201="",D201="Uncategorized"),IF(E201&lt;0,"Expense","Income"),IFERROR(INDEX(Categories!$B$6:$B$65,MATCH(D201,Categories!$A$6:$A$65,0)),IF(E201&lt;0,"Expense","Income"))))</f>
        <v/>
      </c>
      <c r="G201" s="90">
        <f>IF(A201="","",DATE(YEAR(A201),MONTH(A201),1))</f>
        <v/>
      </c>
      <c r="H201" s="87" t="n"/>
      <c r="I201" s="87" t="n"/>
      <c r="J201" s="91" t="inlineStr">
        <is>
          <t>EXXONMOBIL 4471</t>
        </is>
      </c>
      <c r="K201" s="91" t="inlineStr">
        <is>
          <t>Sample Card Co</t>
        </is>
      </c>
      <c r="L201" s="91" t="inlineStr">
        <is>
          <t>Credit Card</t>
        </is>
      </c>
      <c r="M201" s="91" t="inlineStr">
        <is>
          <t>Visa_Statement.csv</t>
        </is>
      </c>
      <c r="N201" s="91" t="inlineStr">
        <is>
          <t>2026-10-15 20:14:07</t>
        </is>
      </c>
      <c r="O201" s="91" t="n"/>
      <c r="P201" s="91" t="inlineStr">
        <is>
          <t>REWARDS VISA|20260612|-3967|EXXONMOBIL4471#1</t>
        </is>
      </c>
      <c r="Q201" s="92">
        <f>IF(AND(G201=RptMonth,F201="Expense",N(E201)&lt;0),-E201+ROW()/10000000,"")</f>
        <v/>
      </c>
    </row>
    <row r="202">
      <c r="A202" s="86" t="n">
        <v>46184</v>
      </c>
      <c r="B202" s="87" t="inlineStr">
        <is>
          <t>Rewards Visa</t>
        </is>
      </c>
      <c r="C202" s="87" t="inlineStr">
        <is>
          <t>APPLE.COM/BILL</t>
        </is>
      </c>
      <c r="D202" s="87" t="inlineStr">
        <is>
          <t>Subscriptions</t>
        </is>
      </c>
      <c r="E202" s="88" t="n">
        <v>-2.99</v>
      </c>
      <c r="F202" s="89">
        <f>IF(E202="","",IF(OR(D202="",D202="Uncategorized"),IF(E202&lt;0,"Expense","Income"),IFERROR(INDEX(Categories!$B$6:$B$65,MATCH(D202,Categories!$A$6:$A$65,0)),IF(E202&lt;0,"Expense","Income"))))</f>
        <v/>
      </c>
      <c r="G202" s="90">
        <f>IF(A202="","",DATE(YEAR(A202),MONTH(A202),1))</f>
        <v/>
      </c>
      <c r="H202" s="87" t="n"/>
      <c r="I202" s="87" t="n"/>
      <c r="J202" s="91" t="inlineStr">
        <is>
          <t>APPLE.COM/BILL</t>
        </is>
      </c>
      <c r="K202" s="91" t="inlineStr">
        <is>
          <t>Sample Card Co</t>
        </is>
      </c>
      <c r="L202" s="91" t="inlineStr">
        <is>
          <t>Credit Card</t>
        </is>
      </c>
      <c r="M202" s="91" t="inlineStr">
        <is>
          <t>Visa_Statement.csv</t>
        </is>
      </c>
      <c r="N202" s="91" t="inlineStr">
        <is>
          <t>2026-10-15 20:14:07</t>
        </is>
      </c>
      <c r="O202" s="91" t="n"/>
      <c r="P202" s="91" t="inlineStr">
        <is>
          <t>REWARDS VISA|20260611|-299|APPLECOMBILL#1</t>
        </is>
      </c>
      <c r="Q202" s="92">
        <f>IF(AND(G202=RptMonth,F202="Expense",N(E202)&lt;0),-E202+ROW()/10000000,"")</f>
        <v/>
      </c>
    </row>
    <row r="203">
      <c r="A203" s="86" t="n">
        <v>46183</v>
      </c>
      <c r="B203" s="87" t="inlineStr">
        <is>
          <t>Everyday Checking</t>
        </is>
      </c>
      <c r="C203" s="87" t="inlineStr">
        <is>
          <t>SAMPLE AUTO FINANCE PMT</t>
        </is>
      </c>
      <c r="D203" s="87" t="inlineStr">
        <is>
          <t>Auto Payment</t>
        </is>
      </c>
      <c r="E203" s="88" t="n">
        <v>-385</v>
      </c>
      <c r="F203" s="89">
        <f>IF(E203="","",IF(OR(D203="",D203="Uncategorized"),IF(E203&lt;0,"Expense","Income"),IFERROR(INDEX(Categories!$B$6:$B$65,MATCH(D203,Categories!$A$6:$A$65,0)),IF(E203&lt;0,"Expense","Income"))))</f>
        <v/>
      </c>
      <c r="G203" s="90">
        <f>IF(A203="","",DATE(YEAR(A203),MONTH(A203),1))</f>
        <v/>
      </c>
      <c r="H203" s="87" t="n"/>
      <c r="I203" s="87" t="n"/>
      <c r="J203" s="91" t="inlineStr">
        <is>
          <t>SAMPLE AUTO FINANCE PMT</t>
        </is>
      </c>
      <c r="K203" s="91" t="inlineStr">
        <is>
          <t>Sample Bank</t>
        </is>
      </c>
      <c r="L203" s="91" t="inlineStr">
        <is>
          <t>Checking</t>
        </is>
      </c>
      <c r="M203" s="91" t="inlineStr">
        <is>
          <t>Checking_Activity.csv</t>
        </is>
      </c>
      <c r="N203" s="91" t="inlineStr">
        <is>
          <t>2026-10-15 20:14:07</t>
        </is>
      </c>
      <c r="O203" s="91" t="n"/>
      <c r="P203" s="91" t="inlineStr">
        <is>
          <t>EVERYDAY CHECKING|20260610|-38500|SAMPLEAUTOFINANCEPMT#1</t>
        </is>
      </c>
      <c r="Q203" s="92">
        <f>IF(AND(G203=RptMonth,F203="Expense",N(E203)&lt;0),-E203+ROW()/10000000,"")</f>
        <v/>
      </c>
    </row>
    <row r="204">
      <c r="A204" s="86" t="n">
        <v>46183</v>
      </c>
      <c r="B204" s="87" t="inlineStr">
        <is>
          <t>Rewards Visa</t>
        </is>
      </c>
      <c r="C204" s="87" t="inlineStr">
        <is>
          <t>OLD NAVY ONLINE</t>
        </is>
      </c>
      <c r="D204" s="87" t="inlineStr">
        <is>
          <t>Shopping</t>
        </is>
      </c>
      <c r="E204" s="88" t="n">
        <v>-65.31</v>
      </c>
      <c r="F204" s="89">
        <f>IF(E204="","",IF(OR(D204="",D204="Uncategorized"),IF(E204&lt;0,"Expense","Income"),IFERROR(INDEX(Categories!$B$6:$B$65,MATCH(D204,Categories!$A$6:$A$65,0)),IF(E204&lt;0,"Expense","Income"))))</f>
        <v/>
      </c>
      <c r="G204" s="90">
        <f>IF(A204="","",DATE(YEAR(A204),MONTH(A204),1))</f>
        <v/>
      </c>
      <c r="H204" s="87" t="n"/>
      <c r="I204" s="87" t="n"/>
      <c r="J204" s="91" t="inlineStr">
        <is>
          <t>OLD NAVY ONLINE</t>
        </is>
      </c>
      <c r="K204" s="91" t="inlineStr">
        <is>
          <t>Sample Card Co</t>
        </is>
      </c>
      <c r="L204" s="91" t="inlineStr">
        <is>
          <t>Credit Card</t>
        </is>
      </c>
      <c r="M204" s="91" t="inlineStr">
        <is>
          <t>Visa_Statement.csv</t>
        </is>
      </c>
      <c r="N204" s="91" t="inlineStr">
        <is>
          <t>2026-10-15 20:14:07</t>
        </is>
      </c>
      <c r="O204" s="91" t="n"/>
      <c r="P204" s="91" t="inlineStr">
        <is>
          <t>REWARDS VISA|20260610|-6531|OLDNAVYONLINE#1</t>
        </is>
      </c>
      <c r="Q204" s="92">
        <f>IF(AND(G204=RptMonth,F204="Expense",N(E204)&lt;0),-E204+ROW()/10000000,"")</f>
        <v/>
      </c>
    </row>
    <row r="205">
      <c r="A205" s="86" t="n">
        <v>46183</v>
      </c>
      <c r="B205" s="87" t="inlineStr">
        <is>
          <t>Rewards Visa</t>
        </is>
      </c>
      <c r="C205" s="87" t="inlineStr">
        <is>
          <t>STARBUCKS STORE 08123</t>
        </is>
      </c>
      <c r="D205" s="87" t="inlineStr">
        <is>
          <t>Dining Out</t>
        </is>
      </c>
      <c r="E205" s="88" t="n">
        <v>-22.21</v>
      </c>
      <c r="F205" s="89">
        <f>IF(E205="","",IF(OR(D205="",D205="Uncategorized"),IF(E205&lt;0,"Expense","Income"),IFERROR(INDEX(Categories!$B$6:$B$65,MATCH(D205,Categories!$A$6:$A$65,0)),IF(E205&lt;0,"Expense","Income"))))</f>
        <v/>
      </c>
      <c r="G205" s="90">
        <f>IF(A205="","",DATE(YEAR(A205),MONTH(A205),1))</f>
        <v/>
      </c>
      <c r="H205" s="87" t="n"/>
      <c r="I205" s="87" t="n"/>
      <c r="J205" s="91" t="inlineStr">
        <is>
          <t>STARBUCKS STORE 08123</t>
        </is>
      </c>
      <c r="K205" s="91" t="inlineStr">
        <is>
          <t>Sample Card Co</t>
        </is>
      </c>
      <c r="L205" s="91" t="inlineStr">
        <is>
          <t>Credit Card</t>
        </is>
      </c>
      <c r="M205" s="91" t="inlineStr">
        <is>
          <t>Visa_Statement.csv</t>
        </is>
      </c>
      <c r="N205" s="91" t="inlineStr">
        <is>
          <t>2026-10-15 20:14:07</t>
        </is>
      </c>
      <c r="O205" s="91" t="n"/>
      <c r="P205" s="91" t="inlineStr">
        <is>
          <t>REWARDS VISA|20260610|-2221|STARBUCKSSTORE08123#1</t>
        </is>
      </c>
      <c r="Q205" s="92">
        <f>IF(AND(G205=RptMonth,F205="Expense",N(E205)&lt;0),-E205+ROW()/10000000,"")</f>
        <v/>
      </c>
    </row>
    <row r="206">
      <c r="A206" s="86" t="n">
        <v>46182</v>
      </c>
      <c r="B206" s="87" t="inlineStr">
        <is>
          <t>Everyday Checking</t>
        </is>
      </c>
      <c r="C206" s="87" t="inlineStr">
        <is>
          <t>NJ NATURAL GAS PAYMENT</t>
        </is>
      </c>
      <c r="D206" s="87" t="inlineStr">
        <is>
          <t>Utilities</t>
        </is>
      </c>
      <c r="E206" s="88" t="n">
        <v>-46.43</v>
      </c>
      <c r="F206" s="89">
        <f>IF(E206="","",IF(OR(D206="",D206="Uncategorized"),IF(E206&lt;0,"Expense","Income"),IFERROR(INDEX(Categories!$B$6:$B$65,MATCH(D206,Categories!$A$6:$A$65,0)),IF(E206&lt;0,"Expense","Income"))))</f>
        <v/>
      </c>
      <c r="G206" s="90">
        <f>IF(A206="","",DATE(YEAR(A206),MONTH(A206),1))</f>
        <v/>
      </c>
      <c r="H206" s="87" t="n"/>
      <c r="I206" s="87" t="n"/>
      <c r="J206" s="91" t="inlineStr">
        <is>
          <t>NJ NATURAL GAS PAYMENT</t>
        </is>
      </c>
      <c r="K206" s="91" t="inlineStr">
        <is>
          <t>Sample Bank</t>
        </is>
      </c>
      <c r="L206" s="91" t="inlineStr">
        <is>
          <t>Checking</t>
        </is>
      </c>
      <c r="M206" s="91" t="inlineStr">
        <is>
          <t>Checking_Activity.csv</t>
        </is>
      </c>
      <c r="N206" s="91" t="inlineStr">
        <is>
          <t>2026-10-15 20:14:07</t>
        </is>
      </c>
      <c r="O206" s="91" t="n"/>
      <c r="P206" s="91" t="inlineStr">
        <is>
          <t>EVERYDAY CHECKING|20260609|-4643|NJNATURALGASPAYMENT#1</t>
        </is>
      </c>
      <c r="Q206" s="92">
        <f>IF(AND(G206=RptMonth,F206="Expense",N(E206)&lt;0),-E206+ROW()/10000000,"")</f>
        <v/>
      </c>
    </row>
    <row r="207">
      <c r="A207" s="86" t="n">
        <v>46182</v>
      </c>
      <c r="B207" s="87" t="inlineStr">
        <is>
          <t>Rewards Visa</t>
        </is>
      </c>
      <c r="C207" s="87" t="inlineStr">
        <is>
          <t>SUNOCO 0391</t>
        </is>
      </c>
      <c r="D207" s="87" t="inlineStr">
        <is>
          <t>Gas &amp; Fuel</t>
        </is>
      </c>
      <c r="E207" s="88" t="n">
        <v>-54.32</v>
      </c>
      <c r="F207" s="89">
        <f>IF(E207="","",IF(OR(D207="",D207="Uncategorized"),IF(E207&lt;0,"Expense","Income"),IFERROR(INDEX(Categories!$B$6:$B$65,MATCH(D207,Categories!$A$6:$A$65,0)),IF(E207&lt;0,"Expense","Income"))))</f>
        <v/>
      </c>
      <c r="G207" s="90">
        <f>IF(A207="","",DATE(YEAR(A207),MONTH(A207),1))</f>
        <v/>
      </c>
      <c r="H207" s="87" t="n"/>
      <c r="I207" s="87" t="n"/>
      <c r="J207" s="91" t="inlineStr">
        <is>
          <t>SUNOCO 0391</t>
        </is>
      </c>
      <c r="K207" s="91" t="inlineStr">
        <is>
          <t>Sample Card Co</t>
        </is>
      </c>
      <c r="L207" s="91" t="inlineStr">
        <is>
          <t>Credit Card</t>
        </is>
      </c>
      <c r="M207" s="91" t="inlineStr">
        <is>
          <t>Visa_Statement.csv</t>
        </is>
      </c>
      <c r="N207" s="91" t="inlineStr">
        <is>
          <t>2026-10-15 20:14:07</t>
        </is>
      </c>
      <c r="O207" s="91" t="n"/>
      <c r="P207" s="91" t="inlineStr">
        <is>
          <t>REWARDS VISA|20260609|-5432|SUNOCO0391#1</t>
        </is>
      </c>
      <c r="Q207" s="92">
        <f>IF(AND(G207=RptMonth,F207="Expense",N(E207)&lt;0),-E207+ROW()/10000000,"")</f>
        <v/>
      </c>
    </row>
    <row r="208">
      <c r="A208" s="86" t="n">
        <v>46181</v>
      </c>
      <c r="B208" s="87" t="inlineStr">
        <is>
          <t>Everyday Checking</t>
        </is>
      </c>
      <c r="C208" s="87" t="inlineStr">
        <is>
          <t>ATM WITHDRAWAL 1234 MAIN ST</t>
        </is>
      </c>
      <c r="D208" s="87" t="inlineStr">
        <is>
          <t>Cash &amp; ATM</t>
        </is>
      </c>
      <c r="E208" s="88" t="n">
        <v>-60</v>
      </c>
      <c r="F208" s="89">
        <f>IF(E208="","",IF(OR(D208="",D208="Uncategorized"),IF(E208&lt;0,"Expense","Income"),IFERROR(INDEX(Categories!$B$6:$B$65,MATCH(D208,Categories!$A$6:$A$65,0)),IF(E208&lt;0,"Expense","Income"))))</f>
        <v/>
      </c>
      <c r="G208" s="90">
        <f>IF(A208="","",DATE(YEAR(A208),MONTH(A208),1))</f>
        <v/>
      </c>
      <c r="H208" s="87" t="n"/>
      <c r="I208" s="87" t="n"/>
      <c r="J208" s="91" t="inlineStr">
        <is>
          <t>ATM WITHDRAWAL 1234 MAIN ST</t>
        </is>
      </c>
      <c r="K208" s="91" t="inlineStr">
        <is>
          <t>Sample Bank</t>
        </is>
      </c>
      <c r="L208" s="91" t="inlineStr">
        <is>
          <t>Checking</t>
        </is>
      </c>
      <c r="M208" s="91" t="inlineStr">
        <is>
          <t>Checking_Activity.csv</t>
        </is>
      </c>
      <c r="N208" s="91" t="inlineStr">
        <is>
          <t>2026-10-15 20:14:07</t>
        </is>
      </c>
      <c r="O208" s="91" t="n"/>
      <c r="P208" s="91" t="inlineStr">
        <is>
          <t>EVERYDAY CHECKING|20260608|-6000|ATMWITHDRAWAL1234MAINST#1</t>
        </is>
      </c>
      <c r="Q208" s="92">
        <f>IF(AND(G208=RptMonth,F208="Expense",N(E208)&lt;0),-E208+ROW()/10000000,"")</f>
        <v/>
      </c>
    </row>
    <row r="209">
      <c r="A209" s="86" t="n">
        <v>46181</v>
      </c>
      <c r="B209" s="87" t="inlineStr">
        <is>
          <t>Everyday Checking</t>
        </is>
      </c>
      <c r="C209" s="87" t="inlineStr">
        <is>
          <t>PSEG ELECTRIC BILL</t>
        </is>
      </c>
      <c r="D209" s="87" t="inlineStr">
        <is>
          <t>Utilities</t>
        </is>
      </c>
      <c r="E209" s="88" t="n">
        <v>-173.91</v>
      </c>
      <c r="F209" s="89">
        <f>IF(E209="","",IF(OR(D209="",D209="Uncategorized"),IF(E209&lt;0,"Expense","Income"),IFERROR(INDEX(Categories!$B$6:$B$65,MATCH(D209,Categories!$A$6:$A$65,0)),IF(E209&lt;0,"Expense","Income"))))</f>
        <v/>
      </c>
      <c r="G209" s="90">
        <f>IF(A209="","",DATE(YEAR(A209),MONTH(A209),1))</f>
        <v/>
      </c>
      <c r="H209" s="87" t="n"/>
      <c r="I209" s="87" t="n"/>
      <c r="J209" s="91" t="inlineStr">
        <is>
          <t>PSEG ELECTRIC BILL</t>
        </is>
      </c>
      <c r="K209" s="91" t="inlineStr">
        <is>
          <t>Sample Bank</t>
        </is>
      </c>
      <c r="L209" s="91" t="inlineStr">
        <is>
          <t>Checking</t>
        </is>
      </c>
      <c r="M209" s="91" t="inlineStr">
        <is>
          <t>Checking_Activity.csv</t>
        </is>
      </c>
      <c r="N209" s="91" t="inlineStr">
        <is>
          <t>2026-10-15 20:14:07</t>
        </is>
      </c>
      <c r="O209" s="91" t="n"/>
      <c r="P209" s="91" t="inlineStr">
        <is>
          <t>EVERYDAY CHECKING|20260608|-17391|PSEGELECTRICBILL#1</t>
        </is>
      </c>
      <c r="Q209" s="92">
        <f>IF(AND(G209=RptMonth,F209="Expense",N(E209)&lt;0),-E209+ROW()/10000000,"")</f>
        <v/>
      </c>
    </row>
    <row r="210">
      <c r="A210" s="86" t="n">
        <v>46180</v>
      </c>
      <c r="B210" s="87" t="inlineStr">
        <is>
          <t>Rewards Visa</t>
        </is>
      </c>
      <c r="C210" s="87" t="inlineStr">
        <is>
          <t>SPOTIFY USA</t>
        </is>
      </c>
      <c r="D210" s="87" t="inlineStr">
        <is>
          <t>Subscriptions</t>
        </is>
      </c>
      <c r="E210" s="88" t="n">
        <v>-11.99</v>
      </c>
      <c r="F210" s="89">
        <f>IF(E210="","",IF(OR(D210="",D210="Uncategorized"),IF(E210&lt;0,"Expense","Income"),IFERROR(INDEX(Categories!$B$6:$B$65,MATCH(D210,Categories!$A$6:$A$65,0)),IF(E210&lt;0,"Expense","Income"))))</f>
        <v/>
      </c>
      <c r="G210" s="90">
        <f>IF(A210="","",DATE(YEAR(A210),MONTH(A210),1))</f>
        <v/>
      </c>
      <c r="H210" s="87" t="n"/>
      <c r="I210" s="87" t="n"/>
      <c r="J210" s="91" t="inlineStr">
        <is>
          <t>SPOTIFY USA</t>
        </is>
      </c>
      <c r="K210" s="91" t="inlineStr">
        <is>
          <t>Sample Card Co</t>
        </is>
      </c>
      <c r="L210" s="91" t="inlineStr">
        <is>
          <t>Credit Card</t>
        </is>
      </c>
      <c r="M210" s="91" t="inlineStr">
        <is>
          <t>Visa_Statement.csv</t>
        </is>
      </c>
      <c r="N210" s="91" t="inlineStr">
        <is>
          <t>2026-10-15 20:14:07</t>
        </is>
      </c>
      <c r="O210" s="91" t="n"/>
      <c r="P210" s="91" t="inlineStr">
        <is>
          <t>REWARDS VISA|20260607|-1199|SPOTIFYUSA#1</t>
        </is>
      </c>
      <c r="Q210" s="92">
        <f>IF(AND(G210=RptMonth,F210="Expense",N(E210)&lt;0),-E210+ROW()/10000000,"")</f>
        <v/>
      </c>
    </row>
    <row r="211">
      <c r="A211" s="86" t="n">
        <v>46179</v>
      </c>
      <c r="B211" s="87" t="inlineStr">
        <is>
          <t>Rewards Visa</t>
        </is>
      </c>
      <c r="C211" s="87" t="inlineStr">
        <is>
          <t>H MART #112</t>
        </is>
      </c>
      <c r="D211" s="87" t="inlineStr">
        <is>
          <t>Groceries</t>
        </is>
      </c>
      <c r="E211" s="88" t="n">
        <v>-137.53</v>
      </c>
      <c r="F211" s="89">
        <f>IF(E211="","",IF(OR(D211="",D211="Uncategorized"),IF(E211&lt;0,"Expense","Income"),IFERROR(INDEX(Categories!$B$6:$B$65,MATCH(D211,Categories!$A$6:$A$65,0)),IF(E211&lt;0,"Expense","Income"))))</f>
        <v/>
      </c>
      <c r="G211" s="90">
        <f>IF(A211="","",DATE(YEAR(A211),MONTH(A211),1))</f>
        <v/>
      </c>
      <c r="H211" s="87" t="n"/>
      <c r="I211" s="87" t="n"/>
      <c r="J211" s="91" t="inlineStr">
        <is>
          <t>H MART #112</t>
        </is>
      </c>
      <c r="K211" s="91" t="inlineStr">
        <is>
          <t>Sample Card Co</t>
        </is>
      </c>
      <c r="L211" s="91" t="inlineStr">
        <is>
          <t>Credit Card</t>
        </is>
      </c>
      <c r="M211" s="91" t="inlineStr">
        <is>
          <t>Visa_Statement.csv</t>
        </is>
      </c>
      <c r="N211" s="91" t="inlineStr">
        <is>
          <t>2026-10-15 20:14:07</t>
        </is>
      </c>
      <c r="O211" s="91" t="n"/>
      <c r="P211" s="91" t="inlineStr">
        <is>
          <t>REWARDS VISA|20260606|-13753|HMART112#1</t>
        </is>
      </c>
      <c r="Q211" s="92">
        <f>IF(AND(G211=RptMonth,F211="Expense",N(E211)&lt;0),-E211+ROW()/10000000,"")</f>
        <v/>
      </c>
    </row>
    <row r="212">
      <c r="A212" s="86" t="n">
        <v>46178</v>
      </c>
      <c r="B212" s="87" t="inlineStr">
        <is>
          <t>Everyday Checking</t>
        </is>
      </c>
      <c r="C212" s="87" t="inlineStr">
        <is>
          <t>ONLINE TRANSFER TO HIGH-YIELD SAVINGS</t>
        </is>
      </c>
      <c r="D212" s="87" t="inlineStr">
        <is>
          <t>Transfer</t>
        </is>
      </c>
      <c r="E212" s="88" t="n">
        <v>-500</v>
      </c>
      <c r="F212" s="89">
        <f>IF(E212="","",IF(OR(D212="",D212="Uncategorized"),IF(E212&lt;0,"Expense","Income"),IFERROR(INDEX(Categories!$B$6:$B$65,MATCH(D212,Categories!$A$6:$A$65,0)),IF(E212&lt;0,"Expense","Income"))))</f>
        <v/>
      </c>
      <c r="G212" s="90">
        <f>IF(A212="","",DATE(YEAR(A212),MONTH(A212),1))</f>
        <v/>
      </c>
      <c r="H212" s="87" t="n"/>
      <c r="I212" s="87" t="n"/>
      <c r="J212" s="91" t="inlineStr">
        <is>
          <t>ONLINE TRANSFER TO HIGH-YIELD SAVINGS</t>
        </is>
      </c>
      <c r="K212" s="91" t="inlineStr">
        <is>
          <t>Sample Bank</t>
        </is>
      </c>
      <c r="L212" s="91" t="inlineStr">
        <is>
          <t>Checking</t>
        </is>
      </c>
      <c r="M212" s="91" t="inlineStr">
        <is>
          <t>Checking_Activity.csv</t>
        </is>
      </c>
      <c r="N212" s="91" t="inlineStr">
        <is>
          <t>2026-10-15 20:14:07</t>
        </is>
      </c>
      <c r="O212" s="91" t="n"/>
      <c r="P212" s="91" t="inlineStr">
        <is>
          <t>EVERYDAY CHECKING|20260605|-50000|ONLINETRANSFERTOHIGHYIELDSAVINGS#1</t>
        </is>
      </c>
      <c r="Q212" s="92">
        <f>IF(AND(G212=RptMonth,F212="Expense",N(E212)&lt;0),-E212+ROW()/10000000,"")</f>
        <v/>
      </c>
    </row>
    <row r="213">
      <c r="A213" s="86" t="n">
        <v>46178</v>
      </c>
      <c r="B213" s="87" t="inlineStr">
        <is>
          <t>High-Yield Savings</t>
        </is>
      </c>
      <c r="C213" s="87" t="inlineStr">
        <is>
          <t>ONLINE TRANSFER FROM EVERYDAY CHECKING</t>
        </is>
      </c>
      <c r="D213" s="87" t="inlineStr">
        <is>
          <t>Transfer</t>
        </is>
      </c>
      <c r="E213" s="88" t="n">
        <v>500</v>
      </c>
      <c r="F213" s="89">
        <f>IF(E213="","",IF(OR(D213="",D213="Uncategorized"),IF(E213&lt;0,"Expense","Income"),IFERROR(INDEX(Categories!$B$6:$B$65,MATCH(D213,Categories!$A$6:$A$65,0)),IF(E213&lt;0,"Expense","Income"))))</f>
        <v/>
      </c>
      <c r="G213" s="90">
        <f>IF(A213="","",DATE(YEAR(A213),MONTH(A213),1))</f>
        <v/>
      </c>
      <c r="H213" s="87" t="n"/>
      <c r="I213" s="87" t="n"/>
      <c r="J213" s="91" t="inlineStr">
        <is>
          <t>ONLINE TRANSFER FROM EVERYDAY CHECKING</t>
        </is>
      </c>
      <c r="K213" s="91" t="inlineStr">
        <is>
          <t>Sample Bank</t>
        </is>
      </c>
      <c r="L213" s="91" t="inlineStr">
        <is>
          <t>Savings</t>
        </is>
      </c>
      <c r="M213" s="91" t="inlineStr">
        <is>
          <t>Savings.qfx</t>
        </is>
      </c>
      <c r="N213" s="91" t="inlineStr">
        <is>
          <t>2026-10-15 20:14:07</t>
        </is>
      </c>
      <c r="O213" s="91" t="inlineStr">
        <is>
          <t>773002026060501</t>
        </is>
      </c>
      <c r="P213" s="91" t="inlineStr">
        <is>
          <t>HIGH-YIELD SAVINGS|ID|773002026060501#1</t>
        </is>
      </c>
      <c r="Q213" s="92">
        <f>IF(AND(G213=RptMonth,F213="Expense",N(E213)&lt;0),-E213+ROW()/10000000,"")</f>
        <v/>
      </c>
    </row>
    <row r="214">
      <c r="A214" s="86" t="n">
        <v>46177</v>
      </c>
      <c r="B214" s="87" t="inlineStr">
        <is>
          <t>Rewards Visa</t>
        </is>
      </c>
      <c r="C214" s="87" t="inlineStr">
        <is>
          <t>OLD NAVY ONLINE</t>
        </is>
      </c>
      <c r="D214" s="87" t="inlineStr">
        <is>
          <t>Shopping</t>
        </is>
      </c>
      <c r="E214" s="88" t="n">
        <v>-100.13</v>
      </c>
      <c r="F214" s="89">
        <f>IF(E214="","",IF(OR(D214="",D214="Uncategorized"),IF(E214&lt;0,"Expense","Income"),IFERROR(INDEX(Categories!$B$6:$B$65,MATCH(D214,Categories!$A$6:$A$65,0)),IF(E214&lt;0,"Expense","Income"))))</f>
        <v/>
      </c>
      <c r="G214" s="90">
        <f>IF(A214="","",DATE(YEAR(A214),MONTH(A214),1))</f>
        <v/>
      </c>
      <c r="H214" s="87" t="n"/>
      <c r="I214" s="87" t="n"/>
      <c r="J214" s="91" t="inlineStr">
        <is>
          <t>OLD NAVY ONLINE</t>
        </is>
      </c>
      <c r="K214" s="91" t="inlineStr">
        <is>
          <t>Sample Card Co</t>
        </is>
      </c>
      <c r="L214" s="91" t="inlineStr">
        <is>
          <t>Credit Card</t>
        </is>
      </c>
      <c r="M214" s="91" t="inlineStr">
        <is>
          <t>Visa_Statement.csv</t>
        </is>
      </c>
      <c r="N214" s="91" t="inlineStr">
        <is>
          <t>2026-10-15 20:14:07</t>
        </is>
      </c>
      <c r="O214" s="91" t="n"/>
      <c r="P214" s="91" t="inlineStr">
        <is>
          <t>REWARDS VISA|20260604|-10013|OLDNAVYONLINE#1</t>
        </is>
      </c>
      <c r="Q214" s="92">
        <f>IF(AND(G214=RptMonth,F214="Expense",N(E214)&lt;0),-E214+ROW()/10000000,"")</f>
        <v/>
      </c>
    </row>
    <row r="215">
      <c r="A215" s="86" t="n">
        <v>46176</v>
      </c>
      <c r="B215" s="87" t="inlineStr">
        <is>
          <t>Everyday Checking</t>
        </is>
      </c>
      <c r="C215" s="87" t="inlineStr">
        <is>
          <t>GEICO AUTO INSURANCE</t>
        </is>
      </c>
      <c r="D215" s="87" t="inlineStr">
        <is>
          <t>Insurance</t>
        </is>
      </c>
      <c r="E215" s="88" t="n">
        <v>-142.5</v>
      </c>
      <c r="F215" s="89">
        <f>IF(E215="","",IF(OR(D215="",D215="Uncategorized"),IF(E215&lt;0,"Expense","Income"),IFERROR(INDEX(Categories!$B$6:$B$65,MATCH(D215,Categories!$A$6:$A$65,0)),IF(E215&lt;0,"Expense","Income"))))</f>
        <v/>
      </c>
      <c r="G215" s="90">
        <f>IF(A215="","",DATE(YEAR(A215),MONTH(A215),1))</f>
        <v/>
      </c>
      <c r="H215" s="87" t="n"/>
      <c r="I215" s="87" t="n"/>
      <c r="J215" s="91" t="inlineStr">
        <is>
          <t>GEICO AUTO INSURANCE</t>
        </is>
      </c>
      <c r="K215" s="91" t="inlineStr">
        <is>
          <t>Sample Bank</t>
        </is>
      </c>
      <c r="L215" s="91" t="inlineStr">
        <is>
          <t>Checking</t>
        </is>
      </c>
      <c r="M215" s="91" t="inlineStr">
        <is>
          <t>Checking_Activity.csv</t>
        </is>
      </c>
      <c r="N215" s="91" t="inlineStr">
        <is>
          <t>2026-10-15 20:14:07</t>
        </is>
      </c>
      <c r="O215" s="91" t="n"/>
      <c r="P215" s="91" t="inlineStr">
        <is>
          <t>EVERYDAY CHECKING|20260603|-14250|GEICOAUTOINSURANCE#1</t>
        </is>
      </c>
      <c r="Q215" s="92">
        <f>IF(AND(G215=RptMonth,F215="Expense",N(E215)&lt;0),-E215+ROW()/10000000,"")</f>
        <v/>
      </c>
    </row>
    <row r="216">
      <c r="A216" s="86" t="n">
        <v>46176</v>
      </c>
      <c r="B216" s="87" t="inlineStr">
        <is>
          <t>Rewards Visa</t>
        </is>
      </c>
      <c r="C216" s="87" t="inlineStr">
        <is>
          <t>TRADER JOE'S #548</t>
        </is>
      </c>
      <c r="D216" s="87" t="inlineStr">
        <is>
          <t>Groceries</t>
        </is>
      </c>
      <c r="E216" s="88" t="n">
        <v>-49.87</v>
      </c>
      <c r="F216" s="89">
        <f>IF(E216="","",IF(OR(D216="",D216="Uncategorized"),IF(E216&lt;0,"Expense","Income"),IFERROR(INDEX(Categories!$B$6:$B$65,MATCH(D216,Categories!$A$6:$A$65,0)),IF(E216&lt;0,"Expense","Income"))))</f>
        <v/>
      </c>
      <c r="G216" s="90">
        <f>IF(A216="","",DATE(YEAR(A216),MONTH(A216),1))</f>
        <v/>
      </c>
      <c r="H216" s="87" t="n"/>
      <c r="I216" s="87" t="n"/>
      <c r="J216" s="91" t="inlineStr">
        <is>
          <t>TRADER JOE'S #548</t>
        </is>
      </c>
      <c r="K216" s="91" t="inlineStr">
        <is>
          <t>Sample Card Co</t>
        </is>
      </c>
      <c r="L216" s="91" t="inlineStr">
        <is>
          <t>Credit Card</t>
        </is>
      </c>
      <c r="M216" s="91" t="inlineStr">
        <is>
          <t>Visa_Statement.csv</t>
        </is>
      </c>
      <c r="N216" s="91" t="inlineStr">
        <is>
          <t>2026-10-15 20:14:07</t>
        </is>
      </c>
      <c r="O216" s="91" t="n"/>
      <c r="P216" s="91" t="inlineStr">
        <is>
          <t>REWARDS VISA|20260603|-4987|TRADERJOES548#1</t>
        </is>
      </c>
      <c r="Q216" s="92">
        <f>IF(AND(G216=RptMonth,F216="Expense",N(E216)&lt;0),-E216+ROW()/10000000,"")</f>
        <v/>
      </c>
    </row>
    <row r="217">
      <c r="A217" s="86" t="n">
        <v>46175</v>
      </c>
      <c r="B217" s="87" t="inlineStr">
        <is>
          <t>Rewards Visa</t>
        </is>
      </c>
      <c r="C217" s="87" t="inlineStr">
        <is>
          <t>CHIPOTLE 2291</t>
        </is>
      </c>
      <c r="D217" s="87" t="inlineStr">
        <is>
          <t>Dining Out</t>
        </is>
      </c>
      <c r="E217" s="88" t="n">
        <v>-18.59</v>
      </c>
      <c r="F217" s="89">
        <f>IF(E217="","",IF(OR(D217="",D217="Uncategorized"),IF(E217&lt;0,"Expense","Income"),IFERROR(INDEX(Categories!$B$6:$B$65,MATCH(D217,Categories!$A$6:$A$65,0)),IF(E217&lt;0,"Expense","Income"))))</f>
        <v/>
      </c>
      <c r="G217" s="90">
        <f>IF(A217="","",DATE(YEAR(A217),MONTH(A217),1))</f>
        <v/>
      </c>
      <c r="H217" s="87" t="n"/>
      <c r="I217" s="87" t="n"/>
      <c r="J217" s="91" t="inlineStr">
        <is>
          <t>CHIPOTLE 2291</t>
        </is>
      </c>
      <c r="K217" s="91" t="inlineStr">
        <is>
          <t>Sample Card Co</t>
        </is>
      </c>
      <c r="L217" s="91" t="inlineStr">
        <is>
          <t>Credit Card</t>
        </is>
      </c>
      <c r="M217" s="91" t="inlineStr">
        <is>
          <t>Visa_Statement.csv</t>
        </is>
      </c>
      <c r="N217" s="91" t="inlineStr">
        <is>
          <t>2026-10-15 20:14:07</t>
        </is>
      </c>
      <c r="O217" s="91" t="n"/>
      <c r="P217" s="91" t="inlineStr">
        <is>
          <t>REWARDS VISA|20260602|-1859|CHIPOTLE2291#1</t>
        </is>
      </c>
      <c r="Q217" s="92">
        <f>IF(AND(G217=RptMonth,F217="Expense",N(E217)&lt;0),-E217+ROW()/10000000,"")</f>
        <v/>
      </c>
    </row>
    <row r="218">
      <c r="A218" s="86" t="n">
        <v>46175</v>
      </c>
      <c r="B218" s="87" t="inlineStr">
        <is>
          <t>Rewards Visa</t>
        </is>
      </c>
      <c r="C218" s="87" t="inlineStr">
        <is>
          <t>NETFLIX.COM</t>
        </is>
      </c>
      <c r="D218" s="87" t="inlineStr">
        <is>
          <t>Subscriptions</t>
        </is>
      </c>
      <c r="E218" s="88" t="n">
        <v>-15.49</v>
      </c>
      <c r="F218" s="89">
        <f>IF(E218="","",IF(OR(D218="",D218="Uncategorized"),IF(E218&lt;0,"Expense","Income"),IFERROR(INDEX(Categories!$B$6:$B$65,MATCH(D218,Categories!$A$6:$A$65,0)),IF(E218&lt;0,"Expense","Income"))))</f>
        <v/>
      </c>
      <c r="G218" s="90">
        <f>IF(A218="","",DATE(YEAR(A218),MONTH(A218),1))</f>
        <v/>
      </c>
      <c r="H218" s="87" t="n"/>
      <c r="I218" s="87" t="n"/>
      <c r="J218" s="91" t="inlineStr">
        <is>
          <t>NETFLIX.COM</t>
        </is>
      </c>
      <c r="K218" s="91" t="inlineStr">
        <is>
          <t>Sample Card Co</t>
        </is>
      </c>
      <c r="L218" s="91" t="inlineStr">
        <is>
          <t>Credit Card</t>
        </is>
      </c>
      <c r="M218" s="91" t="inlineStr">
        <is>
          <t>Visa_Statement.csv</t>
        </is>
      </c>
      <c r="N218" s="91" t="inlineStr">
        <is>
          <t>2026-10-15 20:14:07</t>
        </is>
      </c>
      <c r="O218" s="91" t="n"/>
      <c r="P218" s="91" t="inlineStr">
        <is>
          <t>REWARDS VISA|20260602|-1549|NETFLIXCOM#1</t>
        </is>
      </c>
      <c r="Q218" s="92">
        <f>IF(AND(G218=RptMonth,F218="Expense",N(E218)&lt;0),-E218+ROW()/10000000,"")</f>
        <v/>
      </c>
    </row>
    <row r="219">
      <c r="A219" s="86" t="n">
        <v>46175</v>
      </c>
      <c r="B219" s="87" t="inlineStr">
        <is>
          <t>Rewards Visa</t>
        </is>
      </c>
      <c r="C219" s="87" t="inlineStr">
        <is>
          <t>OLD NAVY ONLINE</t>
        </is>
      </c>
      <c r="D219" s="87" t="inlineStr">
        <is>
          <t>Shopping</t>
        </is>
      </c>
      <c r="E219" s="88" t="n">
        <v>-98.88</v>
      </c>
      <c r="F219" s="89">
        <f>IF(E219="","",IF(OR(D219="",D219="Uncategorized"),IF(E219&lt;0,"Expense","Income"),IFERROR(INDEX(Categories!$B$6:$B$65,MATCH(D219,Categories!$A$6:$A$65,0)),IF(E219&lt;0,"Expense","Income"))))</f>
        <v/>
      </c>
      <c r="G219" s="90">
        <f>IF(A219="","",DATE(YEAR(A219),MONTH(A219),1))</f>
        <v/>
      </c>
      <c r="H219" s="87" t="n"/>
      <c r="I219" s="87" t="n"/>
      <c r="J219" s="91" t="inlineStr">
        <is>
          <t>OLD NAVY ONLINE</t>
        </is>
      </c>
      <c r="K219" s="91" t="inlineStr">
        <is>
          <t>Sample Card Co</t>
        </is>
      </c>
      <c r="L219" s="91" t="inlineStr">
        <is>
          <t>Credit Card</t>
        </is>
      </c>
      <c r="M219" s="91" t="inlineStr">
        <is>
          <t>Visa_Statement.csv</t>
        </is>
      </c>
      <c r="N219" s="91" t="inlineStr">
        <is>
          <t>2026-10-15 20:14:07</t>
        </is>
      </c>
      <c r="O219" s="91" t="n"/>
      <c r="P219" s="91" t="inlineStr">
        <is>
          <t>REWARDS VISA|20260602|-9888|OLDNAVYONLINE#1</t>
        </is>
      </c>
      <c r="Q219" s="92">
        <f>IF(AND(G219=RptMonth,F219="Expense",N(E219)&lt;0),-E219+ROW()/10000000,"")</f>
        <v/>
      </c>
    </row>
    <row r="220">
      <c r="A220" s="86" t="n">
        <v>46175</v>
      </c>
      <c r="B220" s="87" t="inlineStr">
        <is>
          <t>Rewards Visa</t>
        </is>
      </c>
      <c r="C220" s="87" t="inlineStr">
        <is>
          <t>SUNOCO 0391</t>
        </is>
      </c>
      <c r="D220" s="87" t="inlineStr">
        <is>
          <t>Gas &amp; Fuel</t>
        </is>
      </c>
      <c r="E220" s="88" t="n">
        <v>-60.32</v>
      </c>
      <c r="F220" s="89">
        <f>IF(E220="","",IF(OR(D220="",D220="Uncategorized"),IF(E220&lt;0,"Expense","Income"),IFERROR(INDEX(Categories!$B$6:$B$65,MATCH(D220,Categories!$A$6:$A$65,0)),IF(E220&lt;0,"Expense","Income"))))</f>
        <v/>
      </c>
      <c r="G220" s="90">
        <f>IF(A220="","",DATE(YEAR(A220),MONTH(A220),1))</f>
        <v/>
      </c>
      <c r="H220" s="87" t="n"/>
      <c r="I220" s="87" t="n"/>
      <c r="J220" s="91" t="inlineStr">
        <is>
          <t>SUNOCO 0391</t>
        </is>
      </c>
      <c r="K220" s="91" t="inlineStr">
        <is>
          <t>Sample Card Co</t>
        </is>
      </c>
      <c r="L220" s="91" t="inlineStr">
        <is>
          <t>Credit Card</t>
        </is>
      </c>
      <c r="M220" s="91" t="inlineStr">
        <is>
          <t>Visa_Statement.csv</t>
        </is>
      </c>
      <c r="N220" s="91" t="inlineStr">
        <is>
          <t>2026-10-15 20:14:07</t>
        </is>
      </c>
      <c r="O220" s="91" t="n"/>
      <c r="P220" s="91" t="inlineStr">
        <is>
          <t>REWARDS VISA|20260602|-6032|SUNOCO0391#1</t>
        </is>
      </c>
      <c r="Q220" s="92">
        <f>IF(AND(G220=RptMonth,F220="Expense",N(E220)&lt;0),-E220+ROW()/10000000,"")</f>
        <v/>
      </c>
    </row>
    <row r="221">
      <c r="A221" s="86" t="n">
        <v>46174</v>
      </c>
      <c r="B221" s="87" t="inlineStr">
        <is>
          <t>Everyday Checking</t>
        </is>
      </c>
      <c r="C221" s="87" t="inlineStr">
        <is>
          <t>SAMPLE MORTGAGE CO PAYMENT</t>
        </is>
      </c>
      <c r="D221" s="87" t="inlineStr">
        <is>
          <t>Mortgage / Rent</t>
        </is>
      </c>
      <c r="E221" s="88" t="n">
        <v>-2450</v>
      </c>
      <c r="F221" s="89">
        <f>IF(E221="","",IF(OR(D221="",D221="Uncategorized"),IF(E221&lt;0,"Expense","Income"),IFERROR(INDEX(Categories!$B$6:$B$65,MATCH(D221,Categories!$A$6:$A$65,0)),IF(E221&lt;0,"Expense","Income"))))</f>
        <v/>
      </c>
      <c r="G221" s="90">
        <f>IF(A221="","",DATE(YEAR(A221),MONTH(A221),1))</f>
        <v/>
      </c>
      <c r="H221" s="87" t="inlineStr">
        <is>
          <t>Includes escrow for taxes and insurance</t>
        </is>
      </c>
      <c r="I221" s="87" t="n"/>
      <c r="J221" s="91" t="inlineStr">
        <is>
          <t>SAMPLE MORTGAGE CO PAYMENT</t>
        </is>
      </c>
      <c r="K221" s="91" t="inlineStr">
        <is>
          <t>Sample Bank</t>
        </is>
      </c>
      <c r="L221" s="91" t="inlineStr">
        <is>
          <t>Checking</t>
        </is>
      </c>
      <c r="M221" s="91" t="inlineStr">
        <is>
          <t>Checking_Activity.csv</t>
        </is>
      </c>
      <c r="N221" s="91" t="inlineStr">
        <is>
          <t>2026-10-15 20:14:07</t>
        </is>
      </c>
      <c r="O221" s="91" t="n"/>
      <c r="P221" s="91" t="inlineStr">
        <is>
          <t>EVERYDAY CHECKING|20260601|-245000|SAMPLEMORTGAGECOPAYMENT#1</t>
        </is>
      </c>
      <c r="Q221" s="92">
        <f>IF(AND(G221=RptMonth,F221="Expense",N(E221)&lt;0),-E221+ROW()/10000000,"")</f>
        <v/>
      </c>
    </row>
    <row r="222">
      <c r="A222" s="86" t="n">
        <v>46174</v>
      </c>
      <c r="B222" s="87" t="inlineStr">
        <is>
          <t>Home Mortgage</t>
        </is>
      </c>
      <c r="C222" s="87" t="inlineStr">
        <is>
          <t>Payment</t>
        </is>
      </c>
      <c r="D222" s="87" t="inlineStr">
        <is>
          <t>Transfer</t>
        </is>
      </c>
      <c r="E222" s="88" t="n">
        <v>309.47</v>
      </c>
      <c r="F222" s="89">
        <f>IF(E222="","",IF(OR(D222="",D222="Uncategorized"),IF(E222&lt;0,"Expense","Income"),IFERROR(INDEX(Categories!$B$6:$B$65,MATCH(D222,Categories!$A$6:$A$65,0)),IF(E222&lt;0,"Expense","Income"))))</f>
        <v/>
      </c>
      <c r="G222" s="90">
        <f>IF(A222="","",DATE(YEAR(A222),MONTH(A222),1))</f>
        <v/>
      </c>
      <c r="H222" s="87" t="n"/>
      <c r="I222" s="87" t="n"/>
      <c r="J222" s="91" t="inlineStr">
        <is>
          <t>Payment</t>
        </is>
      </c>
      <c r="K222" s="91" t="inlineStr">
        <is>
          <t>Sample Mortgage Co</t>
        </is>
      </c>
      <c r="L222" s="91" t="inlineStr">
        <is>
          <t>Mortgage</t>
        </is>
      </c>
      <c r="M222" s="91" t="inlineStr">
        <is>
          <t>Mortgage_History.xlsx</t>
        </is>
      </c>
      <c r="N222" s="91" t="inlineStr">
        <is>
          <t>2026-10-15 20:14:07</t>
        </is>
      </c>
      <c r="O222" s="91" t="n"/>
      <c r="P222" s="91" t="inlineStr">
        <is>
          <t>HOME MORTGAGE|20260601|30947|PAYMENT#1</t>
        </is>
      </c>
      <c r="Q222" s="92">
        <f>IF(AND(G222=RptMonth,F222="Expense",N(E222)&lt;0),-E222+ROW()/10000000,"")</f>
        <v/>
      </c>
    </row>
    <row r="223">
      <c r="A223" s="86" t="n">
        <v>46172</v>
      </c>
      <c r="B223" s="87" t="inlineStr">
        <is>
          <t>Rewards Visa</t>
        </is>
      </c>
      <c r="C223" s="87" t="inlineStr">
        <is>
          <t>STARBUCKS STORE 08123</t>
        </is>
      </c>
      <c r="D223" s="87" t="inlineStr">
        <is>
          <t>Dining Out</t>
        </is>
      </c>
      <c r="E223" s="88" t="n">
        <v>-63.15</v>
      </c>
      <c r="F223" s="89">
        <f>IF(E223="","",IF(OR(D223="",D223="Uncategorized"),IF(E223&lt;0,"Expense","Income"),IFERROR(INDEX(Categories!$B$6:$B$65,MATCH(D223,Categories!$A$6:$A$65,0)),IF(E223&lt;0,"Expense","Income"))))</f>
        <v/>
      </c>
      <c r="G223" s="90">
        <f>IF(A223="","",DATE(YEAR(A223),MONTH(A223),1))</f>
        <v/>
      </c>
      <c r="H223" s="87" t="n"/>
      <c r="I223" s="87" t="n"/>
      <c r="J223" s="91" t="inlineStr">
        <is>
          <t>STARBUCKS STORE 08123</t>
        </is>
      </c>
      <c r="K223" s="91" t="inlineStr">
        <is>
          <t>Sample Card Co</t>
        </is>
      </c>
      <c r="L223" s="91" t="inlineStr">
        <is>
          <t>Credit Card</t>
        </is>
      </c>
      <c r="M223" s="91" t="inlineStr">
        <is>
          <t>Visa_Statement.csv</t>
        </is>
      </c>
      <c r="N223" s="91" t="inlineStr">
        <is>
          <t>2026-10-15 20:14:07</t>
        </is>
      </c>
      <c r="O223" s="91" t="n"/>
      <c r="P223" s="91" t="inlineStr">
        <is>
          <t>REWARDS VISA|20260530|-6315|STARBUCKSSTORE08123#1</t>
        </is>
      </c>
      <c r="Q223" s="92">
        <f>IF(AND(G223=RptMonth,F223="Expense",N(E223)&lt;0),-E223+ROW()/10000000,"")</f>
        <v/>
      </c>
    </row>
    <row r="224">
      <c r="A224" s="86" t="n">
        <v>46172</v>
      </c>
      <c r="B224" s="87" t="inlineStr">
        <is>
          <t>Rewards Visa</t>
        </is>
      </c>
      <c r="C224" s="87" t="inlineStr">
        <is>
          <t>TRADER JOE'S #548</t>
        </is>
      </c>
      <c r="D224" s="87" t="inlineStr">
        <is>
          <t>Groceries</t>
        </is>
      </c>
      <c r="E224" s="88" t="n">
        <v>-154.02</v>
      </c>
      <c r="F224" s="89">
        <f>IF(E224="","",IF(OR(D224="",D224="Uncategorized"),IF(E224&lt;0,"Expense","Income"),IFERROR(INDEX(Categories!$B$6:$B$65,MATCH(D224,Categories!$A$6:$A$65,0)),IF(E224&lt;0,"Expense","Income"))))</f>
        <v/>
      </c>
      <c r="G224" s="90">
        <f>IF(A224="","",DATE(YEAR(A224),MONTH(A224),1))</f>
        <v/>
      </c>
      <c r="H224" s="87" t="n"/>
      <c r="I224" s="87" t="n"/>
      <c r="J224" s="91" t="inlineStr">
        <is>
          <t>TRADER JOE'S #548</t>
        </is>
      </c>
      <c r="K224" s="91" t="inlineStr">
        <is>
          <t>Sample Card Co</t>
        </is>
      </c>
      <c r="L224" s="91" t="inlineStr">
        <is>
          <t>Credit Card</t>
        </is>
      </c>
      <c r="M224" s="91" t="inlineStr">
        <is>
          <t>Visa_Statement.csv</t>
        </is>
      </c>
      <c r="N224" s="91" t="inlineStr">
        <is>
          <t>2026-10-15 20:14:07</t>
        </is>
      </c>
      <c r="O224" s="91" t="n"/>
      <c r="P224" s="91" t="inlineStr">
        <is>
          <t>REWARDS VISA|20260530|-15402|TRADERJOES548#1</t>
        </is>
      </c>
      <c r="Q224" s="92">
        <f>IF(AND(G224=RptMonth,F224="Expense",N(E224)&lt;0),-E224+ROW()/10000000,"")</f>
        <v/>
      </c>
    </row>
    <row r="225">
      <c r="A225" s="86" t="n">
        <v>46171</v>
      </c>
      <c r="B225" s="87" t="inlineStr">
        <is>
          <t>Everyday Checking</t>
        </is>
      </c>
      <c r="C225" s="87" t="inlineStr">
        <is>
          <t>ACME CORP PAYROLL DIR DEP</t>
        </is>
      </c>
      <c r="D225" s="87" t="inlineStr">
        <is>
          <t>Salary</t>
        </is>
      </c>
      <c r="E225" s="88" t="n">
        <v>3461.07</v>
      </c>
      <c r="F225" s="89">
        <f>IF(E225="","",IF(OR(D225="",D225="Uncategorized"),IF(E225&lt;0,"Expense","Income"),IFERROR(INDEX(Categories!$B$6:$B$65,MATCH(D225,Categories!$A$6:$A$65,0)),IF(E225&lt;0,"Expense","Income"))))</f>
        <v/>
      </c>
      <c r="G225" s="90">
        <f>IF(A225="","",DATE(YEAR(A225),MONTH(A225),1))</f>
        <v/>
      </c>
      <c r="H225" s="87" t="n"/>
      <c r="I225" s="87" t="n"/>
      <c r="J225" s="91" t="inlineStr">
        <is>
          <t>ACME CORP PAYROLL DIR DEP</t>
        </is>
      </c>
      <c r="K225" s="91" t="inlineStr">
        <is>
          <t>Sample Bank</t>
        </is>
      </c>
      <c r="L225" s="91" t="inlineStr">
        <is>
          <t>Checking</t>
        </is>
      </c>
      <c r="M225" s="91" t="inlineStr">
        <is>
          <t>Checking_Activity.csv</t>
        </is>
      </c>
      <c r="N225" s="91" t="inlineStr">
        <is>
          <t>2026-10-15 20:14:07</t>
        </is>
      </c>
      <c r="O225" s="91" t="n"/>
      <c r="P225" s="91" t="inlineStr">
        <is>
          <t>EVERYDAY CHECKING|20260529|346107|ACMECORPPAYROLLDIRDEP#1</t>
        </is>
      </c>
      <c r="Q225" s="92">
        <f>IF(AND(G225=RptMonth,F225="Expense",N(E225)&lt;0),-E225+ROW()/10000000,"")</f>
        <v/>
      </c>
    </row>
    <row r="226">
      <c r="A226" s="86" t="n">
        <v>46170</v>
      </c>
      <c r="B226" s="87" t="inlineStr">
        <is>
          <t>High-Yield Savings</t>
        </is>
      </c>
      <c r="C226" s="87" t="inlineStr">
        <is>
          <t>INTEREST PAYMENT</t>
        </is>
      </c>
      <c r="D226" s="87" t="inlineStr">
        <is>
          <t>Interest &amp; Dividends</t>
        </is>
      </c>
      <c r="E226" s="88" t="n">
        <v>42.28</v>
      </c>
      <c r="F226" s="89">
        <f>IF(E226="","",IF(OR(D226="",D226="Uncategorized"),IF(E226&lt;0,"Expense","Income"),IFERROR(INDEX(Categories!$B$6:$B$65,MATCH(D226,Categories!$A$6:$A$65,0)),IF(E226&lt;0,"Expense","Income"))))</f>
        <v/>
      </c>
      <c r="G226" s="90">
        <f>IF(A226="","",DATE(YEAR(A226),MONTH(A226),1))</f>
        <v/>
      </c>
      <c r="H226" s="87" t="n"/>
      <c r="I226" s="87" t="n"/>
      <c r="J226" s="91" t="inlineStr">
        <is>
          <t>INTEREST PAYMENT</t>
        </is>
      </c>
      <c r="K226" s="91" t="inlineStr">
        <is>
          <t>Sample Bank</t>
        </is>
      </c>
      <c r="L226" s="91" t="inlineStr">
        <is>
          <t>Savings</t>
        </is>
      </c>
      <c r="M226" s="91" t="inlineStr">
        <is>
          <t>Savings.qfx</t>
        </is>
      </c>
      <c r="N226" s="91" t="inlineStr">
        <is>
          <t>2026-10-15 20:14:07</t>
        </is>
      </c>
      <c r="O226" s="91" t="inlineStr">
        <is>
          <t>773002026052801</t>
        </is>
      </c>
      <c r="P226" s="91" t="inlineStr">
        <is>
          <t>HIGH-YIELD SAVINGS|ID|773002026052801#1</t>
        </is>
      </c>
      <c r="Q226" s="92">
        <f>IF(AND(G226=RptMonth,F226="Expense",N(E226)&lt;0),-E226+ROW()/10000000,"")</f>
        <v/>
      </c>
    </row>
    <row r="227">
      <c r="A227" s="86" t="n">
        <v>46170</v>
      </c>
      <c r="B227" s="87" t="inlineStr">
        <is>
          <t>Rewards Visa</t>
        </is>
      </c>
      <c r="C227" s="87" t="inlineStr">
        <is>
          <t>TARGET 00012345</t>
        </is>
      </c>
      <c r="D227" s="87" t="inlineStr">
        <is>
          <t>Shopping</t>
        </is>
      </c>
      <c r="E227" s="88" t="n">
        <v>-69.25</v>
      </c>
      <c r="F227" s="89">
        <f>IF(E227="","",IF(OR(D227="",D227="Uncategorized"),IF(E227&lt;0,"Expense","Income"),IFERROR(INDEX(Categories!$B$6:$B$65,MATCH(D227,Categories!$A$6:$A$65,0)),IF(E227&lt;0,"Expense","Income"))))</f>
        <v/>
      </c>
      <c r="G227" s="90">
        <f>IF(A227="","",DATE(YEAR(A227),MONTH(A227),1))</f>
        <v/>
      </c>
      <c r="H227" s="87" t="n"/>
      <c r="I227" s="87" t="n"/>
      <c r="J227" s="91" t="inlineStr">
        <is>
          <t>TARGET 00012345</t>
        </is>
      </c>
      <c r="K227" s="91" t="inlineStr">
        <is>
          <t>Sample Card Co</t>
        </is>
      </c>
      <c r="L227" s="91" t="inlineStr">
        <is>
          <t>Credit Card</t>
        </is>
      </c>
      <c r="M227" s="91" t="inlineStr">
        <is>
          <t>Visa_Statement.csv</t>
        </is>
      </c>
      <c r="N227" s="91" t="inlineStr">
        <is>
          <t>2026-10-15 20:14:07</t>
        </is>
      </c>
      <c r="O227" s="91" t="n"/>
      <c r="P227" s="91" t="inlineStr">
        <is>
          <t>REWARDS VISA|20260528|-6925|TARGET00012345#1</t>
        </is>
      </c>
      <c r="Q227" s="92">
        <f>IF(AND(G227=RptMonth,F227="Expense",N(E227)&lt;0),-E227+ROW()/10000000,"")</f>
        <v/>
      </c>
    </row>
    <row r="228">
      <c r="A228" s="86" t="n">
        <v>46169</v>
      </c>
      <c r="B228" s="87" t="inlineStr">
        <is>
          <t>Rewards Visa</t>
        </is>
      </c>
      <c r="C228" s="87" t="inlineStr">
        <is>
          <t>WHOLE FOODS MARKET #10312</t>
        </is>
      </c>
      <c r="D228" s="87" t="inlineStr">
        <is>
          <t>Groceries</t>
        </is>
      </c>
      <c r="E228" s="88" t="n">
        <v>-68.44</v>
      </c>
      <c r="F228" s="89">
        <f>IF(E228="","",IF(OR(D228="",D228="Uncategorized"),IF(E228&lt;0,"Expense","Income"),IFERROR(INDEX(Categories!$B$6:$B$65,MATCH(D228,Categories!$A$6:$A$65,0)),IF(E228&lt;0,"Expense","Income"))))</f>
        <v/>
      </c>
      <c r="G228" s="90">
        <f>IF(A228="","",DATE(YEAR(A228),MONTH(A228),1))</f>
        <v/>
      </c>
      <c r="H228" s="87" t="n"/>
      <c r="I228" s="87" t="n"/>
      <c r="J228" s="91" t="inlineStr">
        <is>
          <t>WHOLE FOODS MARKET #10312</t>
        </is>
      </c>
      <c r="K228" s="91" t="inlineStr">
        <is>
          <t>Sample Card Co</t>
        </is>
      </c>
      <c r="L228" s="91" t="inlineStr">
        <is>
          <t>Credit Card</t>
        </is>
      </c>
      <c r="M228" s="91" t="inlineStr">
        <is>
          <t>Visa_Statement.csv</t>
        </is>
      </c>
      <c r="N228" s="91" t="inlineStr">
        <is>
          <t>2026-10-15 20:14:07</t>
        </is>
      </c>
      <c r="O228" s="91" t="n"/>
      <c r="P228" s="91" t="inlineStr">
        <is>
          <t>REWARDS VISA|20260527|-6844|WHOLEFOODSMARKET10312#1</t>
        </is>
      </c>
      <c r="Q228" s="92">
        <f>IF(AND(G228=RptMonth,F228="Expense",N(E228)&lt;0),-E228+ROW()/10000000,"")</f>
        <v/>
      </c>
    </row>
    <row r="229">
      <c r="A229" s="86" t="n">
        <v>46167</v>
      </c>
      <c r="B229" s="87" t="inlineStr">
        <is>
          <t>Rewards Visa</t>
        </is>
      </c>
      <c r="C229" s="87" t="inlineStr">
        <is>
          <t>OLD NAVY ONLINE</t>
        </is>
      </c>
      <c r="D229" s="87" t="inlineStr">
        <is>
          <t>Shopping</t>
        </is>
      </c>
      <c r="E229" s="88" t="n">
        <v>-115.37</v>
      </c>
      <c r="F229" s="89">
        <f>IF(E229="","",IF(OR(D229="",D229="Uncategorized"),IF(E229&lt;0,"Expense","Income"),IFERROR(INDEX(Categories!$B$6:$B$65,MATCH(D229,Categories!$A$6:$A$65,0)),IF(E229&lt;0,"Expense","Income"))))</f>
        <v/>
      </c>
      <c r="G229" s="90">
        <f>IF(A229="","",DATE(YEAR(A229),MONTH(A229),1))</f>
        <v/>
      </c>
      <c r="H229" s="87" t="n"/>
      <c r="I229" s="87" t="n"/>
      <c r="J229" s="91" t="inlineStr">
        <is>
          <t>OLD NAVY ONLINE</t>
        </is>
      </c>
      <c r="K229" s="91" t="inlineStr">
        <is>
          <t>Sample Card Co</t>
        </is>
      </c>
      <c r="L229" s="91" t="inlineStr">
        <is>
          <t>Credit Card</t>
        </is>
      </c>
      <c r="M229" s="91" t="inlineStr">
        <is>
          <t>Visa_Statement.csv</t>
        </is>
      </c>
      <c r="N229" s="91" t="inlineStr">
        <is>
          <t>2026-10-15 20:14:07</t>
        </is>
      </c>
      <c r="O229" s="91" t="n"/>
      <c r="P229" s="91" t="inlineStr">
        <is>
          <t>REWARDS VISA|20260525|-11537|OLDNAVYONLINE#1</t>
        </is>
      </c>
      <c r="Q229" s="92">
        <f>IF(AND(G229=RptMonth,F229="Expense",N(E229)&lt;0),-E229+ROW()/10000000,"")</f>
        <v/>
      </c>
    </row>
    <row r="230">
      <c r="A230" s="86" t="n">
        <v>46165</v>
      </c>
      <c r="B230" s="87" t="inlineStr">
        <is>
          <t>Rewards Visa</t>
        </is>
      </c>
      <c r="C230" s="87" t="inlineStr">
        <is>
          <t>WHOLE FOODS MARKET #10312</t>
        </is>
      </c>
      <c r="D230" s="87" t="inlineStr">
        <is>
          <t>Groceries</t>
        </is>
      </c>
      <c r="E230" s="88" t="n">
        <v>-140.79</v>
      </c>
      <c r="F230" s="89">
        <f>IF(E230="","",IF(OR(D230="",D230="Uncategorized"),IF(E230&lt;0,"Expense","Income"),IFERROR(INDEX(Categories!$B$6:$B$65,MATCH(D230,Categories!$A$6:$A$65,0)),IF(E230&lt;0,"Expense","Income"))))</f>
        <v/>
      </c>
      <c r="G230" s="90">
        <f>IF(A230="","",DATE(YEAR(A230),MONTH(A230),1))</f>
        <v/>
      </c>
      <c r="H230" s="87" t="n"/>
      <c r="I230" s="87" t="n"/>
      <c r="J230" s="91" t="inlineStr">
        <is>
          <t>WHOLE FOODS MARKET #10312</t>
        </is>
      </c>
      <c r="K230" s="91" t="inlineStr">
        <is>
          <t>Sample Card Co</t>
        </is>
      </c>
      <c r="L230" s="91" t="inlineStr">
        <is>
          <t>Credit Card</t>
        </is>
      </c>
      <c r="M230" s="91" t="inlineStr">
        <is>
          <t>Visa_Statement.csv</t>
        </is>
      </c>
      <c r="N230" s="91" t="inlineStr">
        <is>
          <t>2026-10-15 20:14:07</t>
        </is>
      </c>
      <c r="O230" s="91" t="n"/>
      <c r="P230" s="91" t="inlineStr">
        <is>
          <t>REWARDS VISA|20260523|-14079|WHOLEFOODSMARKET10312#1</t>
        </is>
      </c>
      <c r="Q230" s="92">
        <f>IF(AND(G230=RptMonth,F230="Expense",N(E230)&lt;0),-E230+ROW()/10000000,"")</f>
        <v/>
      </c>
    </row>
    <row r="231">
      <c r="A231" s="86" t="n">
        <v>46164</v>
      </c>
      <c r="B231" s="87" t="inlineStr">
        <is>
          <t>Rewards Visa</t>
        </is>
      </c>
      <c r="C231" s="87" t="inlineStr">
        <is>
          <t>PETSMART #1290</t>
        </is>
      </c>
      <c r="D231" s="87" t="inlineStr">
        <is>
          <t>Pets</t>
        </is>
      </c>
      <c r="E231" s="88" t="n">
        <v>-64.09999999999999</v>
      </c>
      <c r="F231" s="89">
        <f>IF(E231="","",IF(OR(D231="",D231="Uncategorized"),IF(E231&lt;0,"Expense","Income"),IFERROR(INDEX(Categories!$B$6:$B$65,MATCH(D231,Categories!$A$6:$A$65,0)),IF(E231&lt;0,"Expense","Income"))))</f>
        <v/>
      </c>
      <c r="G231" s="90">
        <f>IF(A231="","",DATE(YEAR(A231),MONTH(A231),1))</f>
        <v/>
      </c>
      <c r="H231" s="87" t="n"/>
      <c r="I231" s="87" t="n"/>
      <c r="J231" s="91" t="inlineStr">
        <is>
          <t>PETSMART #1290</t>
        </is>
      </c>
      <c r="K231" s="91" t="inlineStr">
        <is>
          <t>Sample Card Co</t>
        </is>
      </c>
      <c r="L231" s="91" t="inlineStr">
        <is>
          <t>Credit Card</t>
        </is>
      </c>
      <c r="M231" s="91" t="inlineStr">
        <is>
          <t>Visa_Statement.csv</t>
        </is>
      </c>
      <c r="N231" s="91" t="inlineStr">
        <is>
          <t>2026-10-15 20:14:07</t>
        </is>
      </c>
      <c r="O231" s="91" t="n"/>
      <c r="P231" s="91" t="inlineStr">
        <is>
          <t>REWARDS VISA|20260522|-6410|PETSMART1290#1</t>
        </is>
      </c>
      <c r="Q231" s="92">
        <f>IF(AND(G231=RptMonth,F231="Expense",N(E231)&lt;0),-E231+ROW()/10000000,"")</f>
        <v/>
      </c>
    </row>
    <row r="232">
      <c r="A232" s="86" t="n">
        <v>46164</v>
      </c>
      <c r="B232" s="87" t="inlineStr">
        <is>
          <t>Rewards Visa</t>
        </is>
      </c>
      <c r="C232" s="87" t="inlineStr">
        <is>
          <t>SHELL OIL 57444</t>
        </is>
      </c>
      <c r="D232" s="87" t="inlineStr">
        <is>
          <t>Gas &amp; Fuel</t>
        </is>
      </c>
      <c r="E232" s="88" t="n">
        <v>-55.75</v>
      </c>
      <c r="F232" s="89">
        <f>IF(E232="","",IF(OR(D232="",D232="Uncategorized"),IF(E232&lt;0,"Expense","Income"),IFERROR(INDEX(Categories!$B$6:$B$65,MATCH(D232,Categories!$A$6:$A$65,0)),IF(E232&lt;0,"Expense","Income"))))</f>
        <v/>
      </c>
      <c r="G232" s="90">
        <f>IF(A232="","",DATE(YEAR(A232),MONTH(A232),1))</f>
        <v/>
      </c>
      <c r="H232" s="87" t="n"/>
      <c r="I232" s="87" t="n"/>
      <c r="J232" s="91" t="inlineStr">
        <is>
          <t>SHELL OIL 57444</t>
        </is>
      </c>
      <c r="K232" s="91" t="inlineStr">
        <is>
          <t>Sample Card Co</t>
        </is>
      </c>
      <c r="L232" s="91" t="inlineStr">
        <is>
          <t>Credit Card</t>
        </is>
      </c>
      <c r="M232" s="91" t="inlineStr">
        <is>
          <t>Visa_Statement.csv</t>
        </is>
      </c>
      <c r="N232" s="91" t="inlineStr">
        <is>
          <t>2026-10-15 20:14:07</t>
        </is>
      </c>
      <c r="O232" s="91" t="n"/>
      <c r="P232" s="91" t="inlineStr">
        <is>
          <t>REWARDS VISA|20260522|-5575|SHELLOIL57444#1</t>
        </is>
      </c>
      <c r="Q232" s="92">
        <f>IF(AND(G232=RptMonth,F232="Expense",N(E232)&lt;0),-E232+ROW()/10000000,"")</f>
        <v/>
      </c>
    </row>
    <row r="233">
      <c r="A233" s="86" t="n">
        <v>46163</v>
      </c>
      <c r="B233" s="87" t="inlineStr">
        <is>
          <t>Rewards Visa</t>
        </is>
      </c>
      <c r="C233" s="87" t="inlineStr">
        <is>
          <t>GREAT CLIPS #4410</t>
        </is>
      </c>
      <c r="D233" s="87" t="inlineStr">
        <is>
          <t>Personal Care</t>
        </is>
      </c>
      <c r="E233" s="88" t="n">
        <v>-31.58</v>
      </c>
      <c r="F233" s="89">
        <f>IF(E233="","",IF(OR(D233="",D233="Uncategorized"),IF(E233&lt;0,"Expense","Income"),IFERROR(INDEX(Categories!$B$6:$B$65,MATCH(D233,Categories!$A$6:$A$65,0)),IF(E233&lt;0,"Expense","Income"))))</f>
        <v/>
      </c>
      <c r="G233" s="90">
        <f>IF(A233="","",DATE(YEAR(A233),MONTH(A233),1))</f>
        <v/>
      </c>
      <c r="H233" s="87" t="n"/>
      <c r="I233" s="87" t="n"/>
      <c r="J233" s="91" t="inlineStr">
        <is>
          <t>GREAT CLIPS #4410</t>
        </is>
      </c>
      <c r="K233" s="91" t="inlineStr">
        <is>
          <t>Sample Card Co</t>
        </is>
      </c>
      <c r="L233" s="91" t="inlineStr">
        <is>
          <t>Credit Card</t>
        </is>
      </c>
      <c r="M233" s="91" t="inlineStr">
        <is>
          <t>Visa_Statement.csv</t>
        </is>
      </c>
      <c r="N233" s="91" t="inlineStr">
        <is>
          <t>2026-10-15 20:14:07</t>
        </is>
      </c>
      <c r="O233" s="91" t="n"/>
      <c r="P233" s="91" t="inlineStr">
        <is>
          <t>REWARDS VISA|20260521|-3158|GREATCLIPS4410#1</t>
        </is>
      </c>
      <c r="Q233" s="92">
        <f>IF(AND(G233=RptMonth,F233="Expense",N(E233)&lt;0),-E233+ROW()/10000000,"")</f>
        <v/>
      </c>
    </row>
    <row r="234">
      <c r="A234" s="86" t="n">
        <v>46162</v>
      </c>
      <c r="B234" s="87" t="inlineStr">
        <is>
          <t>Everyday Checking</t>
        </is>
      </c>
      <c r="C234" s="87" t="inlineStr">
        <is>
          <t>CREDIT CARD PAYMENT REWARDS VISA</t>
        </is>
      </c>
      <c r="D234" s="87" t="inlineStr">
        <is>
          <t>Credit Card Payment</t>
        </is>
      </c>
      <c r="E234" s="88" t="n">
        <v>-1755.74</v>
      </c>
      <c r="F234" s="89">
        <f>IF(E234="","",IF(OR(D234="",D234="Uncategorized"),IF(E234&lt;0,"Expense","Income"),IFERROR(INDEX(Categories!$B$6:$B$65,MATCH(D234,Categories!$A$6:$A$65,0)),IF(E234&lt;0,"Expense","Income"))))</f>
        <v/>
      </c>
      <c r="G234" s="90">
        <f>IF(A234="","",DATE(YEAR(A234),MONTH(A234),1))</f>
        <v/>
      </c>
      <c r="H234" s="87" t="n"/>
      <c r="I234" s="87" t="n"/>
      <c r="J234" s="91" t="inlineStr">
        <is>
          <t>CREDIT CARD PAYMENT REWARDS VISA</t>
        </is>
      </c>
      <c r="K234" s="91" t="inlineStr">
        <is>
          <t>Sample Bank</t>
        </is>
      </c>
      <c r="L234" s="91" t="inlineStr">
        <is>
          <t>Checking</t>
        </is>
      </c>
      <c r="M234" s="91" t="inlineStr">
        <is>
          <t>Checking_Activity.csv</t>
        </is>
      </c>
      <c r="N234" s="91" t="inlineStr">
        <is>
          <t>2026-10-15 20:14:07</t>
        </is>
      </c>
      <c r="O234" s="91" t="n"/>
      <c r="P234" s="91" t="inlineStr">
        <is>
          <t>EVERYDAY CHECKING|20260520|-175574|CREDITCARDPAYMENTREWARDSVISA#1</t>
        </is>
      </c>
      <c r="Q234" s="92">
        <f>IF(AND(G234=RptMonth,F234="Expense",N(E234)&lt;0),-E234+ROW()/10000000,"")</f>
        <v/>
      </c>
    </row>
    <row r="235">
      <c r="A235" s="86" t="n">
        <v>46162</v>
      </c>
      <c r="B235" s="87" t="inlineStr">
        <is>
          <t>Rewards Visa</t>
        </is>
      </c>
      <c r="C235" s="87" t="inlineStr">
        <is>
          <t>H MART #112</t>
        </is>
      </c>
      <c r="D235" s="87" t="inlineStr">
        <is>
          <t>Groceries</t>
        </is>
      </c>
      <c r="E235" s="88" t="n">
        <v>-42.58</v>
      </c>
      <c r="F235" s="89">
        <f>IF(E235="","",IF(OR(D235="",D235="Uncategorized"),IF(E235&lt;0,"Expense","Income"),IFERROR(INDEX(Categories!$B$6:$B$65,MATCH(D235,Categories!$A$6:$A$65,0)),IF(E235&lt;0,"Expense","Income"))))</f>
        <v/>
      </c>
      <c r="G235" s="90">
        <f>IF(A235="","",DATE(YEAR(A235),MONTH(A235),1))</f>
        <v/>
      </c>
      <c r="H235" s="87" t="n"/>
      <c r="I235" s="87" t="n"/>
      <c r="J235" s="91" t="inlineStr">
        <is>
          <t>H MART #112</t>
        </is>
      </c>
      <c r="K235" s="91" t="inlineStr">
        <is>
          <t>Sample Card Co</t>
        </is>
      </c>
      <c r="L235" s="91" t="inlineStr">
        <is>
          <t>Credit Card</t>
        </is>
      </c>
      <c r="M235" s="91" t="inlineStr">
        <is>
          <t>Visa_Statement.csv</t>
        </is>
      </c>
      <c r="N235" s="91" t="inlineStr">
        <is>
          <t>2026-10-15 20:14:07</t>
        </is>
      </c>
      <c r="O235" s="91" t="n"/>
      <c r="P235" s="91" t="inlineStr">
        <is>
          <t>REWARDS VISA|20260520|-4258|HMART112#1</t>
        </is>
      </c>
      <c r="Q235" s="92">
        <f>IF(AND(G235=RptMonth,F235="Expense",N(E235)&lt;0),-E235+ROW()/10000000,"")</f>
        <v/>
      </c>
    </row>
    <row r="236">
      <c r="A236" s="86" t="n">
        <v>46162</v>
      </c>
      <c r="B236" s="87" t="inlineStr">
        <is>
          <t>Rewards Visa</t>
        </is>
      </c>
      <c r="C236" s="87" t="inlineStr">
        <is>
          <t>PAYMENT THANK YOU</t>
        </is>
      </c>
      <c r="D236" s="87" t="inlineStr">
        <is>
          <t>Credit Card Payment</t>
        </is>
      </c>
      <c r="E236" s="88" t="n">
        <v>1755.74</v>
      </c>
      <c r="F236" s="89">
        <f>IF(E236="","",IF(OR(D236="",D236="Uncategorized"),IF(E236&lt;0,"Expense","Income"),IFERROR(INDEX(Categories!$B$6:$B$65,MATCH(D236,Categories!$A$6:$A$65,0)),IF(E236&lt;0,"Expense","Income"))))</f>
        <v/>
      </c>
      <c r="G236" s="90">
        <f>IF(A236="","",DATE(YEAR(A236),MONTH(A236),1))</f>
        <v/>
      </c>
      <c r="H236" s="87" t="n"/>
      <c r="I236" s="87" t="n"/>
      <c r="J236" s="91" t="inlineStr">
        <is>
          <t>PAYMENT THANK YOU</t>
        </is>
      </c>
      <c r="K236" s="91" t="inlineStr">
        <is>
          <t>Sample Card Co</t>
        </is>
      </c>
      <c r="L236" s="91" t="inlineStr">
        <is>
          <t>Credit Card</t>
        </is>
      </c>
      <c r="M236" s="91" t="inlineStr">
        <is>
          <t>Visa_Statement.csv</t>
        </is>
      </c>
      <c r="N236" s="91" t="inlineStr">
        <is>
          <t>2026-10-15 20:14:07</t>
        </is>
      </c>
      <c r="O236" s="91" t="n"/>
      <c r="P236" s="91" t="inlineStr">
        <is>
          <t>REWARDS VISA|20260520|175574|PAYMENTTHANKYOU#1</t>
        </is>
      </c>
      <c r="Q236" s="92">
        <f>IF(AND(G236=RptMonth,F236="Expense",N(E236)&lt;0),-E236+ROW()/10000000,"")</f>
        <v/>
      </c>
    </row>
    <row r="237">
      <c r="A237" s="86" t="n">
        <v>46161</v>
      </c>
      <c r="B237" s="87" t="inlineStr">
        <is>
          <t>Rewards Visa</t>
        </is>
      </c>
      <c r="C237" s="87" t="inlineStr">
        <is>
          <t>SHELL OIL 57444</t>
        </is>
      </c>
      <c r="D237" s="87" t="inlineStr">
        <is>
          <t>Gas &amp; Fuel</t>
        </is>
      </c>
      <c r="E237" s="88" t="n">
        <v>-48.07</v>
      </c>
      <c r="F237" s="89">
        <f>IF(E237="","",IF(OR(D237="",D237="Uncategorized"),IF(E237&lt;0,"Expense","Income"),IFERROR(INDEX(Categories!$B$6:$B$65,MATCH(D237,Categories!$A$6:$A$65,0)),IF(E237&lt;0,"Expense","Income"))))</f>
        <v/>
      </c>
      <c r="G237" s="90">
        <f>IF(A237="","",DATE(YEAR(A237),MONTH(A237),1))</f>
        <v/>
      </c>
      <c r="H237" s="87" t="n"/>
      <c r="I237" s="87" t="n"/>
      <c r="J237" s="91" t="inlineStr">
        <is>
          <t>SHELL OIL 57444</t>
        </is>
      </c>
      <c r="K237" s="91" t="inlineStr">
        <is>
          <t>Sample Card Co</t>
        </is>
      </c>
      <c r="L237" s="91" t="inlineStr">
        <is>
          <t>Credit Card</t>
        </is>
      </c>
      <c r="M237" s="91" t="inlineStr">
        <is>
          <t>Visa_Statement.csv</t>
        </is>
      </c>
      <c r="N237" s="91" t="inlineStr">
        <is>
          <t>2026-10-15 20:14:07</t>
        </is>
      </c>
      <c r="O237" s="91" t="n"/>
      <c r="P237" s="91" t="inlineStr">
        <is>
          <t>REWARDS VISA|20260519|-4807|SHELLOIL57444#1</t>
        </is>
      </c>
      <c r="Q237" s="92">
        <f>IF(AND(G237=RptMonth,F237="Expense",N(E237)&lt;0),-E237+ROW()/10000000,"")</f>
        <v/>
      </c>
    </row>
    <row r="238">
      <c r="A238" s="86" t="n">
        <v>46160</v>
      </c>
      <c r="B238" s="87" t="inlineStr">
        <is>
          <t>Everyday Checking</t>
        </is>
      </c>
      <c r="C238" s="87" t="inlineStr">
        <is>
          <t>SAMPLE LOAN SERVICER STUDENT LOAN</t>
        </is>
      </c>
      <c r="D238" s="87" t="inlineStr">
        <is>
          <t>Loan Payments</t>
        </is>
      </c>
      <c r="E238" s="88" t="n">
        <v>-260</v>
      </c>
      <c r="F238" s="89">
        <f>IF(E238="","",IF(OR(D238="",D238="Uncategorized"),IF(E238&lt;0,"Expense","Income"),IFERROR(INDEX(Categories!$B$6:$B$65,MATCH(D238,Categories!$A$6:$A$65,0)),IF(E238&lt;0,"Expense","Income"))))</f>
        <v/>
      </c>
      <c r="G238" s="90">
        <f>IF(A238="","",DATE(YEAR(A238),MONTH(A238),1))</f>
        <v/>
      </c>
      <c r="H238" s="87" t="n"/>
      <c r="I238" s="87" t="n"/>
      <c r="J238" s="91" t="inlineStr">
        <is>
          <t>SAMPLE LOAN SERVICER STUDENT LOAN</t>
        </is>
      </c>
      <c r="K238" s="91" t="inlineStr">
        <is>
          <t>Sample Bank</t>
        </is>
      </c>
      <c r="L238" s="91" t="inlineStr">
        <is>
          <t>Checking</t>
        </is>
      </c>
      <c r="M238" s="91" t="inlineStr">
        <is>
          <t>Checking_Activity.csv</t>
        </is>
      </c>
      <c r="N238" s="91" t="inlineStr">
        <is>
          <t>2026-10-15 20:14:07</t>
        </is>
      </c>
      <c r="O238" s="91" t="n"/>
      <c r="P238" s="91" t="inlineStr">
        <is>
          <t>EVERYDAY CHECKING|20260518|-26000|SAMPLELOANSERVICERSTUDENTLOAN#1</t>
        </is>
      </c>
      <c r="Q238" s="92">
        <f>IF(AND(G238=RptMonth,F238="Expense",N(E238)&lt;0),-E238+ROW()/10000000,"")</f>
        <v/>
      </c>
    </row>
    <row r="239">
      <c r="A239" s="86" t="n">
        <v>46160</v>
      </c>
      <c r="B239" s="87" t="inlineStr">
        <is>
          <t>Rewards Visa</t>
        </is>
      </c>
      <c r="C239" s="87" t="inlineStr">
        <is>
          <t>BLUE MOON DINER</t>
        </is>
      </c>
      <c r="D239" s="87" t="inlineStr">
        <is>
          <t>Dining Out</t>
        </is>
      </c>
      <c r="E239" s="88" t="n">
        <v>-52.92</v>
      </c>
      <c r="F239" s="89">
        <f>IF(E239="","",IF(OR(D239="",D239="Uncategorized"),IF(E239&lt;0,"Expense","Income"),IFERROR(INDEX(Categories!$B$6:$B$65,MATCH(D239,Categories!$A$6:$A$65,0)),IF(E239&lt;0,"Expense","Income"))))</f>
        <v/>
      </c>
      <c r="G239" s="90">
        <f>IF(A239="","",DATE(YEAR(A239),MONTH(A239),1))</f>
        <v/>
      </c>
      <c r="H239" s="87" t="n"/>
      <c r="I239" s="87" t="n"/>
      <c r="J239" s="91" t="inlineStr">
        <is>
          <t>BLUE MOON DINER</t>
        </is>
      </c>
      <c r="K239" s="91" t="inlineStr">
        <is>
          <t>Sample Card Co</t>
        </is>
      </c>
      <c r="L239" s="91" t="inlineStr">
        <is>
          <t>Credit Card</t>
        </is>
      </c>
      <c r="M239" s="91" t="inlineStr">
        <is>
          <t>Visa_Statement.csv</t>
        </is>
      </c>
      <c r="N239" s="91" t="inlineStr">
        <is>
          <t>2026-10-15 20:14:07</t>
        </is>
      </c>
      <c r="O239" s="91" t="n"/>
      <c r="P239" s="91" t="inlineStr">
        <is>
          <t>REWARDS VISA|20260518|-5292|BLUEMOONDINER#1</t>
        </is>
      </c>
      <c r="Q239" s="92">
        <f>IF(AND(G239=RptMonth,F239="Expense",N(E239)&lt;0),-E239+ROW()/10000000,"")</f>
        <v/>
      </c>
    </row>
    <row r="240">
      <c r="A240" s="86" t="n">
        <v>46159</v>
      </c>
      <c r="B240" s="87" t="inlineStr">
        <is>
          <t>Rewards Visa</t>
        </is>
      </c>
      <c r="C240" s="87" t="inlineStr">
        <is>
          <t>BLUE MOON DINER</t>
        </is>
      </c>
      <c r="D240" s="87" t="inlineStr">
        <is>
          <t>Dining Out</t>
        </is>
      </c>
      <c r="E240" s="88" t="n">
        <v>-32.37</v>
      </c>
      <c r="F240" s="89">
        <f>IF(E240="","",IF(OR(D240="",D240="Uncategorized"),IF(E240&lt;0,"Expense","Income"),IFERROR(INDEX(Categories!$B$6:$B$65,MATCH(D240,Categories!$A$6:$A$65,0)),IF(E240&lt;0,"Expense","Income"))))</f>
        <v/>
      </c>
      <c r="G240" s="90">
        <f>IF(A240="","",DATE(YEAR(A240),MONTH(A240),1))</f>
        <v/>
      </c>
      <c r="H240" s="87" t="n"/>
      <c r="I240" s="87" t="n"/>
      <c r="J240" s="91" t="inlineStr">
        <is>
          <t>BLUE MOON DINER</t>
        </is>
      </c>
      <c r="K240" s="91" t="inlineStr">
        <is>
          <t>Sample Card Co</t>
        </is>
      </c>
      <c r="L240" s="91" t="inlineStr">
        <is>
          <t>Credit Card</t>
        </is>
      </c>
      <c r="M240" s="91" t="inlineStr">
        <is>
          <t>Visa_Statement.csv</t>
        </is>
      </c>
      <c r="N240" s="91" t="inlineStr">
        <is>
          <t>2026-10-15 20:14:07</t>
        </is>
      </c>
      <c r="O240" s="91" t="n"/>
      <c r="P240" s="91" t="inlineStr">
        <is>
          <t>REWARDS VISA|20260517|-3237|BLUEMOONDINER#1</t>
        </is>
      </c>
      <c r="Q240" s="92">
        <f>IF(AND(G240=RptMonth,F240="Expense",N(E240)&lt;0),-E240+ROW()/10000000,"")</f>
        <v/>
      </c>
    </row>
    <row r="241">
      <c r="A241" s="86" t="n">
        <v>46158</v>
      </c>
      <c r="B241" s="87" t="inlineStr">
        <is>
          <t>Rewards Visa</t>
        </is>
      </c>
      <c r="C241" s="87" t="inlineStr">
        <is>
          <t>H MART #112</t>
        </is>
      </c>
      <c r="D241" s="87" t="inlineStr">
        <is>
          <t>Groceries</t>
        </is>
      </c>
      <c r="E241" s="88" t="n">
        <v>-135.39</v>
      </c>
      <c r="F241" s="89">
        <f>IF(E241="","",IF(OR(D241="",D241="Uncategorized"),IF(E241&lt;0,"Expense","Income"),IFERROR(INDEX(Categories!$B$6:$B$65,MATCH(D241,Categories!$A$6:$A$65,0)),IF(E241&lt;0,"Expense","Income"))))</f>
        <v/>
      </c>
      <c r="G241" s="90">
        <f>IF(A241="","",DATE(YEAR(A241),MONTH(A241),1))</f>
        <v/>
      </c>
      <c r="H241" s="87" t="n"/>
      <c r="I241" s="87" t="n"/>
      <c r="J241" s="91" t="inlineStr">
        <is>
          <t>H MART #112</t>
        </is>
      </c>
      <c r="K241" s="91" t="inlineStr">
        <is>
          <t>Sample Card Co</t>
        </is>
      </c>
      <c r="L241" s="91" t="inlineStr">
        <is>
          <t>Credit Card</t>
        </is>
      </c>
      <c r="M241" s="91" t="inlineStr">
        <is>
          <t>Visa_Statement.csv</t>
        </is>
      </c>
      <c r="N241" s="91" t="inlineStr">
        <is>
          <t>2026-10-15 20:14:07</t>
        </is>
      </c>
      <c r="O241" s="91" t="n"/>
      <c r="P241" s="91" t="inlineStr">
        <is>
          <t>REWARDS VISA|20260516|-13539|HMART112#1</t>
        </is>
      </c>
      <c r="Q241" s="92">
        <f>IF(AND(G241=RptMonth,F241="Expense",N(E241)&lt;0),-E241+ROW()/10000000,"")</f>
        <v/>
      </c>
    </row>
    <row r="242">
      <c r="A242" s="86" t="n">
        <v>46158</v>
      </c>
      <c r="B242" s="87" t="inlineStr">
        <is>
          <t>Rewards Visa</t>
        </is>
      </c>
      <c r="C242" s="87" t="inlineStr">
        <is>
          <t>PLANET FITNESS</t>
        </is>
      </c>
      <c r="D242" s="87" t="inlineStr">
        <is>
          <t>Health &amp; Fitness</t>
        </is>
      </c>
      <c r="E242" s="88" t="n">
        <v>-24.99</v>
      </c>
      <c r="F242" s="89">
        <f>IF(E242="","",IF(OR(D242="",D242="Uncategorized"),IF(E242&lt;0,"Expense","Income"),IFERROR(INDEX(Categories!$B$6:$B$65,MATCH(D242,Categories!$A$6:$A$65,0)),IF(E242&lt;0,"Expense","Income"))))</f>
        <v/>
      </c>
      <c r="G242" s="90">
        <f>IF(A242="","",DATE(YEAR(A242),MONTH(A242),1))</f>
        <v/>
      </c>
      <c r="H242" s="87" t="n"/>
      <c r="I242" s="87" t="n"/>
      <c r="J242" s="91" t="inlineStr">
        <is>
          <t>PLANET FITNESS</t>
        </is>
      </c>
      <c r="K242" s="91" t="inlineStr">
        <is>
          <t>Sample Card Co</t>
        </is>
      </c>
      <c r="L242" s="91" t="inlineStr">
        <is>
          <t>Credit Card</t>
        </is>
      </c>
      <c r="M242" s="91" t="inlineStr">
        <is>
          <t>Visa_Statement.csv</t>
        </is>
      </c>
      <c r="N242" s="91" t="inlineStr">
        <is>
          <t>2026-10-15 20:14:07</t>
        </is>
      </c>
      <c r="O242" s="91" t="n"/>
      <c r="P242" s="91" t="inlineStr">
        <is>
          <t>REWARDS VISA|20260516|-2499|PLANETFITNESS#1</t>
        </is>
      </c>
      <c r="Q242" s="92">
        <f>IF(AND(G242=RptMonth,F242="Expense",N(E242)&lt;0),-E242+ROW()/10000000,"")</f>
        <v/>
      </c>
    </row>
    <row r="243">
      <c r="A243" s="86" t="n">
        <v>46157</v>
      </c>
      <c r="B243" s="87" t="inlineStr">
        <is>
          <t>Everyday Checking</t>
        </is>
      </c>
      <c r="C243" s="87" t="inlineStr">
        <is>
          <t>ACME CORP PAYROLL DIR DEP</t>
        </is>
      </c>
      <c r="D243" s="87" t="inlineStr">
        <is>
          <t>Salary</t>
        </is>
      </c>
      <c r="E243" s="88" t="n">
        <v>3461.07</v>
      </c>
      <c r="F243" s="89">
        <f>IF(E243="","",IF(OR(D243="",D243="Uncategorized"),IF(E243&lt;0,"Expense","Income"),IFERROR(INDEX(Categories!$B$6:$B$65,MATCH(D243,Categories!$A$6:$A$65,0)),IF(E243&lt;0,"Expense","Income"))))</f>
        <v/>
      </c>
      <c r="G243" s="90">
        <f>IF(A243="","",DATE(YEAR(A243),MONTH(A243),1))</f>
        <v/>
      </c>
      <c r="H243" s="87" t="n"/>
      <c r="I243" s="87" t="n"/>
      <c r="J243" s="91" t="inlineStr">
        <is>
          <t>ACME CORP PAYROLL DIR DEP</t>
        </is>
      </c>
      <c r="K243" s="91" t="inlineStr">
        <is>
          <t>Sample Bank</t>
        </is>
      </c>
      <c r="L243" s="91" t="inlineStr">
        <is>
          <t>Checking</t>
        </is>
      </c>
      <c r="M243" s="91" t="inlineStr">
        <is>
          <t>Checking_Activity.csv</t>
        </is>
      </c>
      <c r="N243" s="91" t="inlineStr">
        <is>
          <t>2026-10-15 20:14:07</t>
        </is>
      </c>
      <c r="O243" s="91" t="n"/>
      <c r="P243" s="91" t="inlineStr">
        <is>
          <t>EVERYDAY CHECKING|20260515|346107|ACMECORPPAYROLLDIRDEP#1</t>
        </is>
      </c>
      <c r="Q243" s="92">
        <f>IF(AND(G243=RptMonth,F243="Expense",N(E243)&lt;0),-E243+ROW()/10000000,"")</f>
        <v/>
      </c>
    </row>
    <row r="244">
      <c r="A244" s="86" t="n">
        <v>46157</v>
      </c>
      <c r="B244" s="87" t="inlineStr">
        <is>
          <t>Everyday Checking</t>
        </is>
      </c>
      <c r="C244" s="87" t="inlineStr">
        <is>
          <t>XFINITY INTERNET</t>
        </is>
      </c>
      <c r="D244" s="87" t="inlineStr">
        <is>
          <t>Phone &amp; Internet</t>
        </is>
      </c>
      <c r="E244" s="88" t="n">
        <v>-79.98999999999999</v>
      </c>
      <c r="F244" s="89">
        <f>IF(E244="","",IF(OR(D244="",D244="Uncategorized"),IF(E244&lt;0,"Expense","Income"),IFERROR(INDEX(Categories!$B$6:$B$65,MATCH(D244,Categories!$A$6:$A$65,0)),IF(E244&lt;0,"Expense","Income"))))</f>
        <v/>
      </c>
      <c r="G244" s="90">
        <f>IF(A244="","",DATE(YEAR(A244),MONTH(A244),1))</f>
        <v/>
      </c>
      <c r="H244" s="87" t="n"/>
      <c r="I244" s="87" t="n"/>
      <c r="J244" s="91" t="inlineStr">
        <is>
          <t>XFINITY INTERNET</t>
        </is>
      </c>
      <c r="K244" s="91" t="inlineStr">
        <is>
          <t>Sample Bank</t>
        </is>
      </c>
      <c r="L244" s="91" t="inlineStr">
        <is>
          <t>Checking</t>
        </is>
      </c>
      <c r="M244" s="91" t="inlineStr">
        <is>
          <t>Checking_Activity.csv</t>
        </is>
      </c>
      <c r="N244" s="91" t="inlineStr">
        <is>
          <t>2026-10-15 20:14:07</t>
        </is>
      </c>
      <c r="O244" s="91" t="n"/>
      <c r="P244" s="91" t="inlineStr">
        <is>
          <t>EVERYDAY CHECKING|20260515|-7999|XFINITYINTERNET#1</t>
        </is>
      </c>
      <c r="Q244" s="92">
        <f>IF(AND(G244=RptMonth,F244="Expense",N(E244)&lt;0),-E244+ROW()/10000000,"")</f>
        <v/>
      </c>
    </row>
    <row r="245">
      <c r="A245" s="86" t="n">
        <v>46157</v>
      </c>
      <c r="B245" s="87" t="inlineStr">
        <is>
          <t>Rewards Visa</t>
        </is>
      </c>
      <c r="C245" s="87" t="inlineStr">
        <is>
          <t>SUNOCO 0391</t>
        </is>
      </c>
      <c r="D245" s="87" t="inlineStr">
        <is>
          <t>Gas &amp; Fuel</t>
        </is>
      </c>
      <c r="E245" s="88" t="n">
        <v>-59.64</v>
      </c>
      <c r="F245" s="89">
        <f>IF(E245="","",IF(OR(D245="",D245="Uncategorized"),IF(E245&lt;0,"Expense","Income"),IFERROR(INDEX(Categories!$B$6:$B$65,MATCH(D245,Categories!$A$6:$A$65,0)),IF(E245&lt;0,"Expense","Income"))))</f>
        <v/>
      </c>
      <c r="G245" s="90">
        <f>IF(A245="","",DATE(YEAR(A245),MONTH(A245),1))</f>
        <v/>
      </c>
      <c r="H245" s="87" t="n"/>
      <c r="I245" s="87" t="n"/>
      <c r="J245" s="91" t="inlineStr">
        <is>
          <t>SUNOCO 0391</t>
        </is>
      </c>
      <c r="K245" s="91" t="inlineStr">
        <is>
          <t>Sample Card Co</t>
        </is>
      </c>
      <c r="L245" s="91" t="inlineStr">
        <is>
          <t>Credit Card</t>
        </is>
      </c>
      <c r="M245" s="91" t="inlineStr">
        <is>
          <t>Visa_Statement.csv</t>
        </is>
      </c>
      <c r="N245" s="91" t="inlineStr">
        <is>
          <t>2026-10-15 20:14:07</t>
        </is>
      </c>
      <c r="O245" s="91" t="n"/>
      <c r="P245" s="91" t="inlineStr">
        <is>
          <t>REWARDS VISA|20260515|-5964|SUNOCO0391#1</t>
        </is>
      </c>
      <c r="Q245" s="92">
        <f>IF(AND(G245=RptMonth,F245="Expense",N(E245)&lt;0),-E245+ROW()/10000000,"")</f>
        <v/>
      </c>
    </row>
    <row r="246">
      <c r="A246" s="86" t="n">
        <v>46154</v>
      </c>
      <c r="B246" s="87" t="inlineStr">
        <is>
          <t>Everyday Checking</t>
        </is>
      </c>
      <c r="C246" s="87" t="inlineStr">
        <is>
          <t>VERIZON WIRELESS</t>
        </is>
      </c>
      <c r="D246" s="87" t="inlineStr">
        <is>
          <t>Phone &amp; Internet</t>
        </is>
      </c>
      <c r="E246" s="88" t="n">
        <v>-95</v>
      </c>
      <c r="F246" s="89">
        <f>IF(E246="","",IF(OR(D246="",D246="Uncategorized"),IF(E246&lt;0,"Expense","Income"),IFERROR(INDEX(Categories!$B$6:$B$65,MATCH(D246,Categories!$A$6:$A$65,0)),IF(E246&lt;0,"Expense","Income"))))</f>
        <v/>
      </c>
      <c r="G246" s="90">
        <f>IF(A246="","",DATE(YEAR(A246),MONTH(A246),1))</f>
        <v/>
      </c>
      <c r="H246" s="87" t="n"/>
      <c r="I246" s="87" t="n"/>
      <c r="J246" s="91" t="inlineStr">
        <is>
          <t>VERIZON WIRELESS</t>
        </is>
      </c>
      <c r="K246" s="91" t="inlineStr">
        <is>
          <t>Sample Bank</t>
        </is>
      </c>
      <c r="L246" s="91" t="inlineStr">
        <is>
          <t>Checking</t>
        </is>
      </c>
      <c r="M246" s="91" t="inlineStr">
        <is>
          <t>Checking_Activity.csv</t>
        </is>
      </c>
      <c r="N246" s="91" t="inlineStr">
        <is>
          <t>2026-10-15 20:14:07</t>
        </is>
      </c>
      <c r="O246" s="91" t="n"/>
      <c r="P246" s="91" t="inlineStr">
        <is>
          <t>EVERYDAY CHECKING|20260512|-9500|VERIZONWIRELESS#1</t>
        </is>
      </c>
      <c r="Q246" s="92">
        <f>IF(AND(G246=RptMonth,F246="Expense",N(E246)&lt;0),-E246+ROW()/10000000,"")</f>
        <v/>
      </c>
    </row>
    <row r="247">
      <c r="A247" s="86" t="n">
        <v>46153</v>
      </c>
      <c r="B247" s="87" t="inlineStr">
        <is>
          <t>Rewards Visa</t>
        </is>
      </c>
      <c r="C247" s="87" t="inlineStr">
        <is>
          <t>AMAZON.COM*2K4LP0</t>
        </is>
      </c>
      <c r="D247" s="87" t="inlineStr">
        <is>
          <t>Shopping</t>
        </is>
      </c>
      <c r="E247" s="88" t="n">
        <v>-43.89</v>
      </c>
      <c r="F247" s="89">
        <f>IF(E247="","",IF(OR(D247="",D247="Uncategorized"),IF(E247&lt;0,"Expense","Income"),IFERROR(INDEX(Categories!$B$6:$B$65,MATCH(D247,Categories!$A$6:$A$65,0)),IF(E247&lt;0,"Expense","Income"))))</f>
        <v/>
      </c>
      <c r="G247" s="90">
        <f>IF(A247="","",DATE(YEAR(A247),MONTH(A247),1))</f>
        <v/>
      </c>
      <c r="H247" s="87" t="n"/>
      <c r="I247" s="87" t="n"/>
      <c r="J247" s="91" t="inlineStr">
        <is>
          <t>AMAZON.COM*2K4LP0</t>
        </is>
      </c>
      <c r="K247" s="91" t="inlineStr">
        <is>
          <t>Sample Card Co</t>
        </is>
      </c>
      <c r="L247" s="91" t="inlineStr">
        <is>
          <t>Credit Card</t>
        </is>
      </c>
      <c r="M247" s="91" t="inlineStr">
        <is>
          <t>Visa_Statement.csv</t>
        </is>
      </c>
      <c r="N247" s="91" t="inlineStr">
        <is>
          <t>2026-10-15 20:14:07</t>
        </is>
      </c>
      <c r="O247" s="91" t="n"/>
      <c r="P247" s="91" t="inlineStr">
        <is>
          <t>REWARDS VISA|20260511|-4389|AMAZONCOM2K4LP0#1</t>
        </is>
      </c>
      <c r="Q247" s="92">
        <f>IF(AND(G247=RptMonth,F247="Expense",N(E247)&lt;0),-E247+ROW()/10000000,"")</f>
        <v/>
      </c>
    </row>
    <row r="248">
      <c r="A248" s="86" t="n">
        <v>46153</v>
      </c>
      <c r="B248" s="87" t="inlineStr">
        <is>
          <t>Rewards Visa</t>
        </is>
      </c>
      <c r="C248" s="87" t="inlineStr">
        <is>
          <t>APPLE.COM/BILL</t>
        </is>
      </c>
      <c r="D248" s="87" t="inlineStr">
        <is>
          <t>Subscriptions</t>
        </is>
      </c>
      <c r="E248" s="88" t="n">
        <v>-2.99</v>
      </c>
      <c r="F248" s="89">
        <f>IF(E248="","",IF(OR(D248="",D248="Uncategorized"),IF(E248&lt;0,"Expense","Income"),IFERROR(INDEX(Categories!$B$6:$B$65,MATCH(D248,Categories!$A$6:$A$65,0)),IF(E248&lt;0,"Expense","Income"))))</f>
        <v/>
      </c>
      <c r="G248" s="90">
        <f>IF(A248="","",DATE(YEAR(A248),MONTH(A248),1))</f>
        <v/>
      </c>
      <c r="H248" s="87" t="n"/>
      <c r="I248" s="87" t="n"/>
      <c r="J248" s="91" t="inlineStr">
        <is>
          <t>APPLE.COM/BILL</t>
        </is>
      </c>
      <c r="K248" s="91" t="inlineStr">
        <is>
          <t>Sample Card Co</t>
        </is>
      </c>
      <c r="L248" s="91" t="inlineStr">
        <is>
          <t>Credit Card</t>
        </is>
      </c>
      <c r="M248" s="91" t="inlineStr">
        <is>
          <t>Visa_Statement.csv</t>
        </is>
      </c>
      <c r="N248" s="91" t="inlineStr">
        <is>
          <t>2026-10-15 20:14:07</t>
        </is>
      </c>
      <c r="O248" s="91" t="n"/>
      <c r="P248" s="91" t="inlineStr">
        <is>
          <t>REWARDS VISA|20260511|-299|APPLECOMBILL#1</t>
        </is>
      </c>
      <c r="Q248" s="92">
        <f>IF(AND(G248=RptMonth,F248="Expense",N(E248)&lt;0),-E248+ROW()/10000000,"")</f>
        <v/>
      </c>
    </row>
    <row r="249">
      <c r="A249" s="86" t="n">
        <v>46152</v>
      </c>
      <c r="B249" s="87" t="inlineStr">
        <is>
          <t>Everyday Checking</t>
        </is>
      </c>
      <c r="C249" s="87" t="inlineStr">
        <is>
          <t>SAMPLE AUTO FINANCE PMT</t>
        </is>
      </c>
      <c r="D249" s="87" t="inlineStr">
        <is>
          <t>Auto Payment</t>
        </is>
      </c>
      <c r="E249" s="88" t="n">
        <v>-385</v>
      </c>
      <c r="F249" s="89">
        <f>IF(E249="","",IF(OR(D249="",D249="Uncategorized"),IF(E249&lt;0,"Expense","Income"),IFERROR(INDEX(Categories!$B$6:$B$65,MATCH(D249,Categories!$A$6:$A$65,0)),IF(E249&lt;0,"Expense","Income"))))</f>
        <v/>
      </c>
      <c r="G249" s="90">
        <f>IF(A249="","",DATE(YEAR(A249),MONTH(A249),1))</f>
        <v/>
      </c>
      <c r="H249" s="87" t="n"/>
      <c r="I249" s="87" t="n"/>
      <c r="J249" s="91" t="inlineStr">
        <is>
          <t>SAMPLE AUTO FINANCE PMT</t>
        </is>
      </c>
      <c r="K249" s="91" t="inlineStr">
        <is>
          <t>Sample Bank</t>
        </is>
      </c>
      <c r="L249" s="91" t="inlineStr">
        <is>
          <t>Checking</t>
        </is>
      </c>
      <c r="M249" s="91" t="inlineStr">
        <is>
          <t>Checking_Activity.csv</t>
        </is>
      </c>
      <c r="N249" s="91" t="inlineStr">
        <is>
          <t>2026-10-15 20:14:07</t>
        </is>
      </c>
      <c r="O249" s="91" t="n"/>
      <c r="P249" s="91" t="inlineStr">
        <is>
          <t>EVERYDAY CHECKING|20260510|-38500|SAMPLEAUTOFINANCEPMT#1</t>
        </is>
      </c>
      <c r="Q249" s="92">
        <f>IF(AND(G249=RptMonth,F249="Expense",N(E249)&lt;0),-E249+ROW()/10000000,"")</f>
        <v/>
      </c>
    </row>
    <row r="250">
      <c r="A250" s="86" t="n">
        <v>46151</v>
      </c>
      <c r="B250" s="87" t="inlineStr">
        <is>
          <t>Everyday Checking</t>
        </is>
      </c>
      <c r="C250" s="87" t="inlineStr">
        <is>
          <t>ATM WITHDRAWAL 1234 MAIN ST</t>
        </is>
      </c>
      <c r="D250" s="87" t="inlineStr">
        <is>
          <t>Cash &amp; ATM</t>
        </is>
      </c>
      <c r="E250" s="88" t="n">
        <v>-60</v>
      </c>
      <c r="F250" s="89">
        <f>IF(E250="","",IF(OR(D250="",D250="Uncategorized"),IF(E250&lt;0,"Expense","Income"),IFERROR(INDEX(Categories!$B$6:$B$65,MATCH(D250,Categories!$A$6:$A$65,0)),IF(E250&lt;0,"Expense","Income"))))</f>
        <v/>
      </c>
      <c r="G250" s="90">
        <f>IF(A250="","",DATE(YEAR(A250),MONTH(A250),1))</f>
        <v/>
      </c>
      <c r="H250" s="87" t="n"/>
      <c r="I250" s="87" t="n"/>
      <c r="J250" s="91" t="inlineStr">
        <is>
          <t>ATM WITHDRAWAL 1234 MAIN ST</t>
        </is>
      </c>
      <c r="K250" s="91" t="inlineStr">
        <is>
          <t>Sample Bank</t>
        </is>
      </c>
      <c r="L250" s="91" t="inlineStr">
        <is>
          <t>Checking</t>
        </is>
      </c>
      <c r="M250" s="91" t="inlineStr">
        <is>
          <t>Checking_Activity.csv</t>
        </is>
      </c>
      <c r="N250" s="91" t="inlineStr">
        <is>
          <t>2026-10-15 20:14:07</t>
        </is>
      </c>
      <c r="O250" s="91" t="n"/>
      <c r="P250" s="91" t="inlineStr">
        <is>
          <t>EVERYDAY CHECKING|20260509|-6000|ATMWITHDRAWAL1234MAINST#1</t>
        </is>
      </c>
      <c r="Q250" s="92">
        <f>IF(AND(G250=RptMonth,F250="Expense",N(E250)&lt;0),-E250+ROW()/10000000,"")</f>
        <v/>
      </c>
    </row>
    <row r="251">
      <c r="A251" s="86" t="n">
        <v>46151</v>
      </c>
      <c r="B251" s="87" t="inlineStr">
        <is>
          <t>Everyday Checking</t>
        </is>
      </c>
      <c r="C251" s="87" t="inlineStr">
        <is>
          <t>NJ NATURAL GAS PAYMENT</t>
        </is>
      </c>
      <c r="D251" s="87" t="inlineStr">
        <is>
          <t>Utilities</t>
        </is>
      </c>
      <c r="E251" s="88" t="n">
        <v>-35.66</v>
      </c>
      <c r="F251" s="89">
        <f>IF(E251="","",IF(OR(D251="",D251="Uncategorized"),IF(E251&lt;0,"Expense","Income"),IFERROR(INDEX(Categories!$B$6:$B$65,MATCH(D251,Categories!$A$6:$A$65,0)),IF(E251&lt;0,"Expense","Income"))))</f>
        <v/>
      </c>
      <c r="G251" s="90">
        <f>IF(A251="","",DATE(YEAR(A251),MONTH(A251),1))</f>
        <v/>
      </c>
      <c r="H251" s="87" t="n"/>
      <c r="I251" s="87" t="n"/>
      <c r="J251" s="91" t="inlineStr">
        <is>
          <t>NJ NATURAL GAS PAYMENT</t>
        </is>
      </c>
      <c r="K251" s="91" t="inlineStr">
        <is>
          <t>Sample Bank</t>
        </is>
      </c>
      <c r="L251" s="91" t="inlineStr">
        <is>
          <t>Checking</t>
        </is>
      </c>
      <c r="M251" s="91" t="inlineStr">
        <is>
          <t>Checking_Activity.csv</t>
        </is>
      </c>
      <c r="N251" s="91" t="inlineStr">
        <is>
          <t>2026-10-15 20:14:07</t>
        </is>
      </c>
      <c r="O251" s="91" t="n"/>
      <c r="P251" s="91" t="inlineStr">
        <is>
          <t>EVERYDAY CHECKING|20260509|-3566|NJNATURALGASPAYMENT#1</t>
        </is>
      </c>
      <c r="Q251" s="92">
        <f>IF(AND(G251=RptMonth,F251="Expense",N(E251)&lt;0),-E251+ROW()/10000000,"")</f>
        <v/>
      </c>
    </row>
    <row r="252">
      <c r="A252" s="86" t="n">
        <v>46151</v>
      </c>
      <c r="B252" s="87" t="inlineStr">
        <is>
          <t>Rewards Visa</t>
        </is>
      </c>
      <c r="C252" s="87" t="inlineStr">
        <is>
          <t>SHOPRITE #0234</t>
        </is>
      </c>
      <c r="D252" s="87" t="inlineStr">
        <is>
          <t>Groceries</t>
        </is>
      </c>
      <c r="E252" s="88" t="n">
        <v>-146.17</v>
      </c>
      <c r="F252" s="89">
        <f>IF(E252="","",IF(OR(D252="",D252="Uncategorized"),IF(E252&lt;0,"Expense","Income"),IFERROR(INDEX(Categories!$B$6:$B$65,MATCH(D252,Categories!$A$6:$A$65,0)),IF(E252&lt;0,"Expense","Income"))))</f>
        <v/>
      </c>
      <c r="G252" s="90">
        <f>IF(A252="","",DATE(YEAR(A252),MONTH(A252),1))</f>
        <v/>
      </c>
      <c r="H252" s="87" t="n"/>
      <c r="I252" s="87" t="n"/>
      <c r="J252" s="91" t="inlineStr">
        <is>
          <t>SHOPRITE #0234</t>
        </is>
      </c>
      <c r="K252" s="91" t="inlineStr">
        <is>
          <t>Sample Card Co</t>
        </is>
      </c>
      <c r="L252" s="91" t="inlineStr">
        <is>
          <t>Credit Card</t>
        </is>
      </c>
      <c r="M252" s="91" t="inlineStr">
        <is>
          <t>Visa_Statement.csv</t>
        </is>
      </c>
      <c r="N252" s="91" t="inlineStr">
        <is>
          <t>2026-10-15 20:14:07</t>
        </is>
      </c>
      <c r="O252" s="91" t="n"/>
      <c r="P252" s="91" t="inlineStr">
        <is>
          <t>REWARDS VISA|20260509|-14617|SHOPRITE0234#1</t>
        </is>
      </c>
      <c r="Q252" s="92">
        <f>IF(AND(G252=RptMonth,F252="Expense",N(E252)&lt;0),-E252+ROW()/10000000,"")</f>
        <v/>
      </c>
    </row>
    <row r="253">
      <c r="A253" s="86" t="n">
        <v>46150</v>
      </c>
      <c r="B253" s="87" t="inlineStr">
        <is>
          <t>Everyday Checking</t>
        </is>
      </c>
      <c r="C253" s="87" t="inlineStr">
        <is>
          <t>PSEG ELECTRIC BILL</t>
        </is>
      </c>
      <c r="D253" s="87" t="inlineStr">
        <is>
          <t>Utilities</t>
        </is>
      </c>
      <c r="E253" s="88" t="n">
        <v>-125.17</v>
      </c>
      <c r="F253" s="89">
        <f>IF(E253="","",IF(OR(D253="",D253="Uncategorized"),IF(E253&lt;0,"Expense","Income"),IFERROR(INDEX(Categories!$B$6:$B$65,MATCH(D253,Categories!$A$6:$A$65,0)),IF(E253&lt;0,"Expense","Income"))))</f>
        <v/>
      </c>
      <c r="G253" s="90">
        <f>IF(A253="","",DATE(YEAR(A253),MONTH(A253),1))</f>
        <v/>
      </c>
      <c r="H253" s="87" t="n"/>
      <c r="I253" s="87" t="n"/>
      <c r="J253" s="91" t="inlineStr">
        <is>
          <t>PSEG ELECTRIC BILL</t>
        </is>
      </c>
      <c r="K253" s="91" t="inlineStr">
        <is>
          <t>Sample Bank</t>
        </is>
      </c>
      <c r="L253" s="91" t="inlineStr">
        <is>
          <t>Checking</t>
        </is>
      </c>
      <c r="M253" s="91" t="inlineStr">
        <is>
          <t>Checking_Activity.csv</t>
        </is>
      </c>
      <c r="N253" s="91" t="inlineStr">
        <is>
          <t>2026-10-15 20:14:07</t>
        </is>
      </c>
      <c r="O253" s="91" t="n"/>
      <c r="P253" s="91" t="inlineStr">
        <is>
          <t>EVERYDAY CHECKING|20260508|-12517|PSEGELECTRICBILL#1</t>
        </is>
      </c>
      <c r="Q253" s="92">
        <f>IF(AND(G253=RptMonth,F253="Expense",N(E253)&lt;0),-E253+ROW()/10000000,"")</f>
        <v/>
      </c>
    </row>
    <row r="254">
      <c r="A254" s="86" t="n">
        <v>46150</v>
      </c>
      <c r="B254" s="87" t="inlineStr">
        <is>
          <t>Rewards Visa</t>
        </is>
      </c>
      <c r="C254" s="87" t="inlineStr">
        <is>
          <t>SHELL OIL 57444</t>
        </is>
      </c>
      <c r="D254" s="87" t="inlineStr">
        <is>
          <t>Gas &amp; Fuel</t>
        </is>
      </c>
      <c r="E254" s="88" t="n">
        <v>-45.33</v>
      </c>
      <c r="F254" s="89">
        <f>IF(E254="","",IF(OR(D254="",D254="Uncategorized"),IF(E254&lt;0,"Expense","Income"),IFERROR(INDEX(Categories!$B$6:$B$65,MATCH(D254,Categories!$A$6:$A$65,0)),IF(E254&lt;0,"Expense","Income"))))</f>
        <v/>
      </c>
      <c r="G254" s="90">
        <f>IF(A254="","",DATE(YEAR(A254),MONTH(A254),1))</f>
        <v/>
      </c>
      <c r="H254" s="87" t="n"/>
      <c r="I254" s="87" t="n"/>
      <c r="J254" s="91" t="inlineStr">
        <is>
          <t>SHELL OIL 57444</t>
        </is>
      </c>
      <c r="K254" s="91" t="inlineStr">
        <is>
          <t>Sample Card Co</t>
        </is>
      </c>
      <c r="L254" s="91" t="inlineStr">
        <is>
          <t>Credit Card</t>
        </is>
      </c>
      <c r="M254" s="91" t="inlineStr">
        <is>
          <t>Visa_Statement.csv</t>
        </is>
      </c>
      <c r="N254" s="91" t="inlineStr">
        <is>
          <t>2026-10-15 20:14:07</t>
        </is>
      </c>
      <c r="O254" s="91" t="n"/>
      <c r="P254" s="91" t="inlineStr">
        <is>
          <t>REWARDS VISA|20260508|-4533|SHELLOIL57444#1</t>
        </is>
      </c>
      <c r="Q254" s="92">
        <f>IF(AND(G254=RptMonth,F254="Expense",N(E254)&lt;0),-E254+ROW()/10000000,"")</f>
        <v/>
      </c>
    </row>
    <row r="255">
      <c r="A255" s="86" t="n">
        <v>46149</v>
      </c>
      <c r="B255" s="87" t="inlineStr">
        <is>
          <t>Rewards Visa</t>
        </is>
      </c>
      <c r="C255" s="87" t="inlineStr">
        <is>
          <t>SPOTIFY USA</t>
        </is>
      </c>
      <c r="D255" s="87" t="inlineStr">
        <is>
          <t>Subscriptions</t>
        </is>
      </c>
      <c r="E255" s="88" t="n">
        <v>-11.99</v>
      </c>
      <c r="F255" s="89">
        <f>IF(E255="","",IF(OR(D255="",D255="Uncategorized"),IF(E255&lt;0,"Expense","Income"),IFERROR(INDEX(Categories!$B$6:$B$65,MATCH(D255,Categories!$A$6:$A$65,0)),IF(E255&lt;0,"Expense","Income"))))</f>
        <v/>
      </c>
      <c r="G255" s="90">
        <f>IF(A255="","",DATE(YEAR(A255),MONTH(A255),1))</f>
        <v/>
      </c>
      <c r="H255" s="87" t="n"/>
      <c r="I255" s="87" t="n"/>
      <c r="J255" s="91" t="inlineStr">
        <is>
          <t>SPOTIFY USA</t>
        </is>
      </c>
      <c r="K255" s="91" t="inlineStr">
        <is>
          <t>Sample Card Co</t>
        </is>
      </c>
      <c r="L255" s="91" t="inlineStr">
        <is>
          <t>Credit Card</t>
        </is>
      </c>
      <c r="M255" s="91" t="inlineStr">
        <is>
          <t>Visa_Statement.csv</t>
        </is>
      </c>
      <c r="N255" s="91" t="inlineStr">
        <is>
          <t>2026-10-15 20:14:07</t>
        </is>
      </c>
      <c r="O255" s="91" t="n"/>
      <c r="P255" s="91" t="inlineStr">
        <is>
          <t>REWARDS VISA|20260507|-1199|SPOTIFYUSA#1</t>
        </is>
      </c>
      <c r="Q255" s="92">
        <f>IF(AND(G255=RptMonth,F255="Expense",N(E255)&lt;0),-E255+ROW()/10000000,"")</f>
        <v/>
      </c>
    </row>
    <row r="256">
      <c r="A256" s="86" t="n">
        <v>46148</v>
      </c>
      <c r="B256" s="87" t="inlineStr">
        <is>
          <t>Rewards Visa</t>
        </is>
      </c>
      <c r="C256" s="87" t="inlineStr">
        <is>
          <t>SUSHI KOO</t>
        </is>
      </c>
      <c r="D256" s="87" t="inlineStr">
        <is>
          <t>Dining Out</t>
        </is>
      </c>
      <c r="E256" s="88" t="n">
        <v>-41.36</v>
      </c>
      <c r="F256" s="89">
        <f>IF(E256="","",IF(OR(D256="",D256="Uncategorized"),IF(E256&lt;0,"Expense","Income"),IFERROR(INDEX(Categories!$B$6:$B$65,MATCH(D256,Categories!$A$6:$A$65,0)),IF(E256&lt;0,"Expense","Income"))))</f>
        <v/>
      </c>
      <c r="G256" s="90">
        <f>IF(A256="","",DATE(YEAR(A256),MONTH(A256),1))</f>
        <v/>
      </c>
      <c r="H256" s="87" t="n"/>
      <c r="I256" s="87" t="n"/>
      <c r="J256" s="91" t="inlineStr">
        <is>
          <t>SUSHI KOO</t>
        </is>
      </c>
      <c r="K256" s="91" t="inlineStr">
        <is>
          <t>Sample Card Co</t>
        </is>
      </c>
      <c r="L256" s="91" t="inlineStr">
        <is>
          <t>Credit Card</t>
        </is>
      </c>
      <c r="M256" s="91" t="inlineStr">
        <is>
          <t>Visa_Statement.csv</t>
        </is>
      </c>
      <c r="N256" s="91" t="inlineStr">
        <is>
          <t>2026-10-15 20:14:07</t>
        </is>
      </c>
      <c r="O256" s="91" t="n"/>
      <c r="P256" s="91" t="inlineStr">
        <is>
          <t>REWARDS VISA|20260506|-4136|SUSHIKOO#1</t>
        </is>
      </c>
      <c r="Q256" s="92">
        <f>IF(AND(G256=RptMonth,F256="Expense",N(E256)&lt;0),-E256+ROW()/10000000,"")</f>
        <v/>
      </c>
    </row>
    <row r="257">
      <c r="A257" s="86" t="n">
        <v>46148</v>
      </c>
      <c r="B257" s="87" t="inlineStr">
        <is>
          <t>Rewards Visa</t>
        </is>
      </c>
      <c r="C257" s="87" t="inlineStr">
        <is>
          <t>WHOLE FOODS MARKET #10312</t>
        </is>
      </c>
      <c r="D257" s="87" t="inlineStr">
        <is>
          <t>Groceries</t>
        </is>
      </c>
      <c r="E257" s="88" t="n">
        <v>-52.25</v>
      </c>
      <c r="F257" s="89">
        <f>IF(E257="","",IF(OR(D257="",D257="Uncategorized"),IF(E257&lt;0,"Expense","Income"),IFERROR(INDEX(Categories!$B$6:$B$65,MATCH(D257,Categories!$A$6:$A$65,0)),IF(E257&lt;0,"Expense","Income"))))</f>
        <v/>
      </c>
      <c r="G257" s="90">
        <f>IF(A257="","",DATE(YEAR(A257),MONTH(A257),1))</f>
        <v/>
      </c>
      <c r="H257" s="87" t="n"/>
      <c r="I257" s="87" t="n"/>
      <c r="J257" s="91" t="inlineStr">
        <is>
          <t>WHOLE FOODS MARKET #10312</t>
        </is>
      </c>
      <c r="K257" s="91" t="inlineStr">
        <is>
          <t>Sample Card Co</t>
        </is>
      </c>
      <c r="L257" s="91" t="inlineStr">
        <is>
          <t>Credit Card</t>
        </is>
      </c>
      <c r="M257" s="91" t="inlineStr">
        <is>
          <t>Visa_Statement.csv</t>
        </is>
      </c>
      <c r="N257" s="91" t="inlineStr">
        <is>
          <t>2026-10-15 20:14:07</t>
        </is>
      </c>
      <c r="O257" s="91" t="n"/>
      <c r="P257" s="91" t="inlineStr">
        <is>
          <t>REWARDS VISA|20260506|-5225|WHOLEFOODSMARKET10312#1</t>
        </is>
      </c>
      <c r="Q257" s="92">
        <f>IF(AND(G257=RptMonth,F257="Expense",N(E257)&lt;0),-E257+ROW()/10000000,"")</f>
        <v/>
      </c>
    </row>
    <row r="258">
      <c r="A258" s="86" t="n">
        <v>46147</v>
      </c>
      <c r="B258" s="87" t="inlineStr">
        <is>
          <t>Everyday Checking</t>
        </is>
      </c>
      <c r="C258" s="87" t="inlineStr">
        <is>
          <t>ONLINE TRANSFER TO HIGH-YIELD SAVINGS</t>
        </is>
      </c>
      <c r="D258" s="87" t="inlineStr">
        <is>
          <t>Transfer</t>
        </is>
      </c>
      <c r="E258" s="88" t="n">
        <v>-500</v>
      </c>
      <c r="F258" s="89">
        <f>IF(E258="","",IF(OR(D258="",D258="Uncategorized"),IF(E258&lt;0,"Expense","Income"),IFERROR(INDEX(Categories!$B$6:$B$65,MATCH(D258,Categories!$A$6:$A$65,0)),IF(E258&lt;0,"Expense","Income"))))</f>
        <v/>
      </c>
      <c r="G258" s="90">
        <f>IF(A258="","",DATE(YEAR(A258),MONTH(A258),1))</f>
        <v/>
      </c>
      <c r="H258" s="87" t="n"/>
      <c r="I258" s="87" t="n"/>
      <c r="J258" s="91" t="inlineStr">
        <is>
          <t>ONLINE TRANSFER TO HIGH-YIELD SAVINGS</t>
        </is>
      </c>
      <c r="K258" s="91" t="inlineStr">
        <is>
          <t>Sample Bank</t>
        </is>
      </c>
      <c r="L258" s="91" t="inlineStr">
        <is>
          <t>Checking</t>
        </is>
      </c>
      <c r="M258" s="91" t="inlineStr">
        <is>
          <t>Checking_Activity.csv</t>
        </is>
      </c>
      <c r="N258" s="91" t="inlineStr">
        <is>
          <t>2026-10-15 20:14:07</t>
        </is>
      </c>
      <c r="O258" s="91" t="n"/>
      <c r="P258" s="91" t="inlineStr">
        <is>
          <t>EVERYDAY CHECKING|20260505|-50000|ONLINETRANSFERTOHIGHYIELDSAVINGS#1</t>
        </is>
      </c>
      <c r="Q258" s="92">
        <f>IF(AND(G258=RptMonth,F258="Expense",N(E258)&lt;0),-E258+ROW()/10000000,"")</f>
        <v/>
      </c>
    </row>
    <row r="259">
      <c r="A259" s="86" t="n">
        <v>46147</v>
      </c>
      <c r="B259" s="87" t="inlineStr">
        <is>
          <t>High-Yield Savings</t>
        </is>
      </c>
      <c r="C259" s="87" t="inlineStr">
        <is>
          <t>ONLINE TRANSFER FROM EVERYDAY CHECKING</t>
        </is>
      </c>
      <c r="D259" s="87" t="inlineStr">
        <is>
          <t>Transfer</t>
        </is>
      </c>
      <c r="E259" s="88" t="n">
        <v>500</v>
      </c>
      <c r="F259" s="89">
        <f>IF(E259="","",IF(OR(D259="",D259="Uncategorized"),IF(E259&lt;0,"Expense","Income"),IFERROR(INDEX(Categories!$B$6:$B$65,MATCH(D259,Categories!$A$6:$A$65,0)),IF(E259&lt;0,"Expense","Income"))))</f>
        <v/>
      </c>
      <c r="G259" s="90">
        <f>IF(A259="","",DATE(YEAR(A259),MONTH(A259),1))</f>
        <v/>
      </c>
      <c r="H259" s="87" t="n"/>
      <c r="I259" s="87" t="n"/>
      <c r="J259" s="91" t="inlineStr">
        <is>
          <t>ONLINE TRANSFER FROM EVERYDAY CHECKING</t>
        </is>
      </c>
      <c r="K259" s="91" t="inlineStr">
        <is>
          <t>Sample Bank</t>
        </is>
      </c>
      <c r="L259" s="91" t="inlineStr">
        <is>
          <t>Savings</t>
        </is>
      </c>
      <c r="M259" s="91" t="inlineStr">
        <is>
          <t>Savings.qfx</t>
        </is>
      </c>
      <c r="N259" s="91" t="inlineStr">
        <is>
          <t>2026-10-15 20:14:07</t>
        </is>
      </c>
      <c r="O259" s="91" t="inlineStr">
        <is>
          <t>773002026050501</t>
        </is>
      </c>
      <c r="P259" s="91" t="inlineStr">
        <is>
          <t>HIGH-YIELD SAVINGS|ID|773002026050501#1</t>
        </is>
      </c>
      <c r="Q259" s="92">
        <f>IF(AND(G259=RptMonth,F259="Expense",N(E259)&lt;0),-E259+ROW()/10000000,"")</f>
        <v/>
      </c>
    </row>
    <row r="260">
      <c r="A260" s="86" t="n">
        <v>46147</v>
      </c>
      <c r="B260" s="87" t="inlineStr">
        <is>
          <t>Rewards Visa</t>
        </is>
      </c>
      <c r="C260" s="87" t="inlineStr">
        <is>
          <t>EXXONMOBIL 4471</t>
        </is>
      </c>
      <c r="D260" s="87" t="inlineStr">
        <is>
          <t>Gas &amp; Fuel</t>
        </is>
      </c>
      <c r="E260" s="88" t="n">
        <v>-41.33</v>
      </c>
      <c r="F260" s="89">
        <f>IF(E260="","",IF(OR(D260="",D260="Uncategorized"),IF(E260&lt;0,"Expense","Income"),IFERROR(INDEX(Categories!$B$6:$B$65,MATCH(D260,Categories!$A$6:$A$65,0)),IF(E260&lt;0,"Expense","Income"))))</f>
        <v/>
      </c>
      <c r="G260" s="90">
        <f>IF(A260="","",DATE(YEAR(A260),MONTH(A260),1))</f>
        <v/>
      </c>
      <c r="H260" s="87" t="n"/>
      <c r="I260" s="87" t="n"/>
      <c r="J260" s="91" t="inlineStr">
        <is>
          <t>EXXONMOBIL 4471</t>
        </is>
      </c>
      <c r="K260" s="91" t="inlineStr">
        <is>
          <t>Sample Card Co</t>
        </is>
      </c>
      <c r="L260" s="91" t="inlineStr">
        <is>
          <t>Credit Card</t>
        </is>
      </c>
      <c r="M260" s="91" t="inlineStr">
        <is>
          <t>Visa_Statement.csv</t>
        </is>
      </c>
      <c r="N260" s="91" t="inlineStr">
        <is>
          <t>2026-10-15 20:14:07</t>
        </is>
      </c>
      <c r="O260" s="91" t="n"/>
      <c r="P260" s="91" t="inlineStr">
        <is>
          <t>REWARDS VISA|20260505|-4133|EXXONMOBIL4471#1</t>
        </is>
      </c>
      <c r="Q260" s="92">
        <f>IF(AND(G260=RptMonth,F260="Expense",N(E260)&lt;0),-E260+ROW()/10000000,"")</f>
        <v/>
      </c>
    </row>
    <row r="261">
      <c r="A261" s="86" t="n">
        <v>46145</v>
      </c>
      <c r="B261" s="87" t="inlineStr">
        <is>
          <t>Everyday Checking</t>
        </is>
      </c>
      <c r="C261" s="87" t="inlineStr">
        <is>
          <t>GEICO AUTO INSURANCE</t>
        </is>
      </c>
      <c r="D261" s="87" t="inlineStr">
        <is>
          <t>Insurance</t>
        </is>
      </c>
      <c r="E261" s="88" t="n">
        <v>-142.5</v>
      </c>
      <c r="F261" s="89">
        <f>IF(E261="","",IF(OR(D261="",D261="Uncategorized"),IF(E261&lt;0,"Expense","Income"),IFERROR(INDEX(Categories!$B$6:$B$65,MATCH(D261,Categories!$A$6:$A$65,0)),IF(E261&lt;0,"Expense","Income"))))</f>
        <v/>
      </c>
      <c r="G261" s="90">
        <f>IF(A261="","",DATE(YEAR(A261),MONTH(A261),1))</f>
        <v/>
      </c>
      <c r="H261" s="87" t="n"/>
      <c r="I261" s="87" t="n"/>
      <c r="J261" s="91" t="inlineStr">
        <is>
          <t>GEICO AUTO INSURANCE</t>
        </is>
      </c>
      <c r="K261" s="91" t="inlineStr">
        <is>
          <t>Sample Bank</t>
        </is>
      </c>
      <c r="L261" s="91" t="inlineStr">
        <is>
          <t>Checking</t>
        </is>
      </c>
      <c r="M261" s="91" t="inlineStr">
        <is>
          <t>Checking_Activity.csv</t>
        </is>
      </c>
      <c r="N261" s="91" t="inlineStr">
        <is>
          <t>2026-10-15 20:14:07</t>
        </is>
      </c>
      <c r="O261" s="91" t="n"/>
      <c r="P261" s="91" t="inlineStr">
        <is>
          <t>EVERYDAY CHECKING|20260503|-14250|GEICOAUTOINSURANCE#1</t>
        </is>
      </c>
      <c r="Q261" s="92">
        <f>IF(AND(G261=RptMonth,F261="Expense",N(E261)&lt;0),-E261+ROW()/10000000,"")</f>
        <v/>
      </c>
    </row>
    <row r="262">
      <c r="A262" s="86" t="n">
        <v>46144</v>
      </c>
      <c r="B262" s="87" t="inlineStr">
        <is>
          <t>Rewards Visa</t>
        </is>
      </c>
      <c r="C262" s="87" t="inlineStr">
        <is>
          <t>NETFLIX.COM</t>
        </is>
      </c>
      <c r="D262" s="87" t="inlineStr">
        <is>
          <t>Subscriptions</t>
        </is>
      </c>
      <c r="E262" s="88" t="n">
        <v>-15.49</v>
      </c>
      <c r="F262" s="89">
        <f>IF(E262="","",IF(OR(D262="",D262="Uncategorized"),IF(E262&lt;0,"Expense","Income"),IFERROR(INDEX(Categories!$B$6:$B$65,MATCH(D262,Categories!$A$6:$A$65,0)),IF(E262&lt;0,"Expense","Income"))))</f>
        <v/>
      </c>
      <c r="G262" s="90">
        <f>IF(A262="","",DATE(YEAR(A262),MONTH(A262),1))</f>
        <v/>
      </c>
      <c r="H262" s="87" t="n"/>
      <c r="I262" s="87" t="n"/>
      <c r="J262" s="91" t="inlineStr">
        <is>
          <t>NETFLIX.COM</t>
        </is>
      </c>
      <c r="K262" s="91" t="inlineStr">
        <is>
          <t>Sample Card Co</t>
        </is>
      </c>
      <c r="L262" s="91" t="inlineStr">
        <is>
          <t>Credit Card</t>
        </is>
      </c>
      <c r="M262" s="91" t="inlineStr">
        <is>
          <t>Visa_Statement.csv</t>
        </is>
      </c>
      <c r="N262" s="91" t="inlineStr">
        <is>
          <t>2026-10-15 20:14:07</t>
        </is>
      </c>
      <c r="O262" s="91" t="n"/>
      <c r="P262" s="91" t="inlineStr">
        <is>
          <t>REWARDS VISA|20260502|-1549|NETFLIXCOM#1</t>
        </is>
      </c>
      <c r="Q262" s="92">
        <f>IF(AND(G262=RptMonth,F262="Expense",N(E262)&lt;0),-E262+ROW()/10000000,"")</f>
        <v/>
      </c>
    </row>
    <row r="263">
      <c r="A263" s="86" t="n">
        <v>46144</v>
      </c>
      <c r="B263" s="87" t="inlineStr">
        <is>
          <t>Rewards Visa</t>
        </is>
      </c>
      <c r="C263" s="87" t="inlineStr">
        <is>
          <t>SHOPRITE #0234</t>
        </is>
      </c>
      <c r="D263" s="87" t="inlineStr">
        <is>
          <t>Groceries</t>
        </is>
      </c>
      <c r="E263" s="88" t="n">
        <v>-137.27</v>
      </c>
      <c r="F263" s="89">
        <f>IF(E263="","",IF(OR(D263="",D263="Uncategorized"),IF(E263&lt;0,"Expense","Income"),IFERROR(INDEX(Categories!$B$6:$B$65,MATCH(D263,Categories!$A$6:$A$65,0)),IF(E263&lt;0,"Expense","Income"))))</f>
        <v/>
      </c>
      <c r="G263" s="90">
        <f>IF(A263="","",DATE(YEAR(A263),MONTH(A263),1))</f>
        <v/>
      </c>
      <c r="H263" s="87" t="n"/>
      <c r="I263" s="87" t="n"/>
      <c r="J263" s="91" t="inlineStr">
        <is>
          <t>SHOPRITE #0234</t>
        </is>
      </c>
      <c r="K263" s="91" t="inlineStr">
        <is>
          <t>Sample Card Co</t>
        </is>
      </c>
      <c r="L263" s="91" t="inlineStr">
        <is>
          <t>Credit Card</t>
        </is>
      </c>
      <c r="M263" s="91" t="inlineStr">
        <is>
          <t>Visa_Statement.csv</t>
        </is>
      </c>
      <c r="N263" s="91" t="inlineStr">
        <is>
          <t>2026-10-15 20:14:07</t>
        </is>
      </c>
      <c r="O263" s="91" t="n"/>
      <c r="P263" s="91" t="inlineStr">
        <is>
          <t>REWARDS VISA|20260502|-13727|SHOPRITE0234#1</t>
        </is>
      </c>
      <c r="Q263" s="92">
        <f>IF(AND(G263=RptMonth,F263="Expense",N(E263)&lt;0),-E263+ROW()/10000000,"")</f>
        <v/>
      </c>
    </row>
    <row r="264">
      <c r="A264" s="86" t="n">
        <v>46143</v>
      </c>
      <c r="B264" s="87" t="inlineStr">
        <is>
          <t>Everyday Checking</t>
        </is>
      </c>
      <c r="C264" s="87" t="inlineStr">
        <is>
          <t>ACME CORP PAYROLL DIR DEP</t>
        </is>
      </c>
      <c r="D264" s="87" t="inlineStr">
        <is>
          <t>Salary</t>
        </is>
      </c>
      <c r="E264" s="88" t="n">
        <v>3461.07</v>
      </c>
      <c r="F264" s="89">
        <f>IF(E264="","",IF(OR(D264="",D264="Uncategorized"),IF(E264&lt;0,"Expense","Income"),IFERROR(INDEX(Categories!$B$6:$B$65,MATCH(D264,Categories!$A$6:$A$65,0)),IF(E264&lt;0,"Expense","Income"))))</f>
        <v/>
      </c>
      <c r="G264" s="90">
        <f>IF(A264="","",DATE(YEAR(A264),MONTH(A264),1))</f>
        <v/>
      </c>
      <c r="H264" s="87" t="n"/>
      <c r="I264" s="87" t="n"/>
      <c r="J264" s="91" t="inlineStr">
        <is>
          <t>ACME CORP PAYROLL DIR DEP</t>
        </is>
      </c>
      <c r="K264" s="91" t="inlineStr">
        <is>
          <t>Sample Bank</t>
        </is>
      </c>
      <c r="L264" s="91" t="inlineStr">
        <is>
          <t>Checking</t>
        </is>
      </c>
      <c r="M264" s="91" t="inlineStr">
        <is>
          <t>Checking_Activity.csv</t>
        </is>
      </c>
      <c r="N264" s="91" t="inlineStr">
        <is>
          <t>2026-10-15 20:14:07</t>
        </is>
      </c>
      <c r="O264" s="91" t="n"/>
      <c r="P264" s="91" t="inlineStr">
        <is>
          <t>EVERYDAY CHECKING|20260501|346107|ACMECORPPAYROLLDIRDEP#1</t>
        </is>
      </c>
      <c r="Q264" s="92">
        <f>IF(AND(G264=RptMonth,F264="Expense",N(E264)&lt;0),-E264+ROW()/10000000,"")</f>
        <v/>
      </c>
    </row>
    <row r="265">
      <c r="A265" s="86" t="n">
        <v>46143</v>
      </c>
      <c r="B265" s="87" t="inlineStr">
        <is>
          <t>Everyday Checking</t>
        </is>
      </c>
      <c r="C265" s="87" t="inlineStr">
        <is>
          <t>SAMPLE MORTGAGE CO PAYMENT</t>
        </is>
      </c>
      <c r="D265" s="87" t="inlineStr">
        <is>
          <t>Mortgage / Rent</t>
        </is>
      </c>
      <c r="E265" s="88" t="n">
        <v>-2450</v>
      </c>
      <c r="F265" s="89">
        <f>IF(E265="","",IF(OR(D265="",D265="Uncategorized"),IF(E265&lt;0,"Expense","Income"),IFERROR(INDEX(Categories!$B$6:$B$65,MATCH(D265,Categories!$A$6:$A$65,0)),IF(E265&lt;0,"Expense","Income"))))</f>
        <v/>
      </c>
      <c r="G265" s="90">
        <f>IF(A265="","",DATE(YEAR(A265),MONTH(A265),1))</f>
        <v/>
      </c>
      <c r="H265" s="87" t="inlineStr">
        <is>
          <t>Includes escrow for taxes and insurance</t>
        </is>
      </c>
      <c r="I265" s="87" t="n"/>
      <c r="J265" s="91" t="inlineStr">
        <is>
          <t>SAMPLE MORTGAGE CO PAYMENT</t>
        </is>
      </c>
      <c r="K265" s="91" t="inlineStr">
        <is>
          <t>Sample Bank</t>
        </is>
      </c>
      <c r="L265" s="91" t="inlineStr">
        <is>
          <t>Checking</t>
        </is>
      </c>
      <c r="M265" s="91" t="inlineStr">
        <is>
          <t>Checking_Activity.csv</t>
        </is>
      </c>
      <c r="N265" s="91" t="inlineStr">
        <is>
          <t>2026-10-15 20:14:07</t>
        </is>
      </c>
      <c r="O265" s="91" t="n"/>
      <c r="P265" s="91" t="inlineStr">
        <is>
          <t>EVERYDAY CHECKING|20260501|-245000|SAMPLEMORTGAGECOPAYMENT#1</t>
        </is>
      </c>
      <c r="Q265" s="92">
        <f>IF(AND(G265=RptMonth,F265="Expense",N(E265)&lt;0),-E265+ROW()/10000000,"")</f>
        <v/>
      </c>
    </row>
    <row r="266">
      <c r="A266" s="86" t="n">
        <v>46143</v>
      </c>
      <c r="B266" s="87" t="inlineStr">
        <is>
          <t>Home Mortgage</t>
        </is>
      </c>
      <c r="C266" s="87" t="inlineStr">
        <is>
          <t>Payment</t>
        </is>
      </c>
      <c r="D266" s="87" t="inlineStr">
        <is>
          <t>Transfer</t>
        </is>
      </c>
      <c r="E266" s="88" t="n">
        <v>307.87</v>
      </c>
      <c r="F266" s="89">
        <f>IF(E266="","",IF(OR(D266="",D266="Uncategorized"),IF(E266&lt;0,"Expense","Income"),IFERROR(INDEX(Categories!$B$6:$B$65,MATCH(D266,Categories!$A$6:$A$65,0)),IF(E266&lt;0,"Expense","Income"))))</f>
        <v/>
      </c>
      <c r="G266" s="90">
        <f>IF(A266="","",DATE(YEAR(A266),MONTH(A266),1))</f>
        <v/>
      </c>
      <c r="H266" s="87" t="n"/>
      <c r="I266" s="87" t="n"/>
      <c r="J266" s="91" t="inlineStr">
        <is>
          <t>Payment</t>
        </is>
      </c>
      <c r="K266" s="91" t="inlineStr">
        <is>
          <t>Sample Mortgage Co</t>
        </is>
      </c>
      <c r="L266" s="91" t="inlineStr">
        <is>
          <t>Mortgage</t>
        </is>
      </c>
      <c r="M266" s="91" t="inlineStr">
        <is>
          <t>Mortgage_History.xlsx</t>
        </is>
      </c>
      <c r="N266" s="91" t="inlineStr">
        <is>
          <t>2026-10-15 20:14:07</t>
        </is>
      </c>
      <c r="O266" s="91" t="n"/>
      <c r="P266" s="91" t="inlineStr">
        <is>
          <t>HOME MORTGAGE|20260501|30787|PAYMENT#1</t>
        </is>
      </c>
      <c r="Q266" s="92">
        <f>IF(AND(G266=RptMonth,F266="Expense",N(E266)&lt;0),-E266+ROW()/10000000,"")</f>
        <v/>
      </c>
    </row>
    <row r="267">
      <c r="A267" s="86" t="n">
        <v>46143</v>
      </c>
      <c r="B267" s="87" t="inlineStr">
        <is>
          <t>Rewards Visa</t>
        </is>
      </c>
      <c r="C267" s="87" t="inlineStr">
        <is>
          <t>EXXONMOBIL 4471</t>
        </is>
      </c>
      <c r="D267" s="87" t="inlineStr">
        <is>
          <t>Gas &amp; Fuel</t>
        </is>
      </c>
      <c r="E267" s="88" t="n">
        <v>-56.53</v>
      </c>
      <c r="F267" s="89">
        <f>IF(E267="","",IF(OR(D267="",D267="Uncategorized"),IF(E267&lt;0,"Expense","Income"),IFERROR(INDEX(Categories!$B$6:$B$65,MATCH(D267,Categories!$A$6:$A$65,0)),IF(E267&lt;0,"Expense","Income"))))</f>
        <v/>
      </c>
      <c r="G267" s="90">
        <f>IF(A267="","",DATE(YEAR(A267),MONTH(A267),1))</f>
        <v/>
      </c>
      <c r="H267" s="87" t="n"/>
      <c r="I267" s="87" t="n"/>
      <c r="J267" s="91" t="inlineStr">
        <is>
          <t>EXXONMOBIL 4471</t>
        </is>
      </c>
      <c r="K267" s="91" t="inlineStr">
        <is>
          <t>Sample Card Co</t>
        </is>
      </c>
      <c r="L267" s="91" t="inlineStr">
        <is>
          <t>Credit Card</t>
        </is>
      </c>
      <c r="M267" s="91" t="inlineStr">
        <is>
          <t>Visa_Statement.csv</t>
        </is>
      </c>
      <c r="N267" s="91" t="inlineStr">
        <is>
          <t>2026-10-15 20:14:07</t>
        </is>
      </c>
      <c r="O267" s="91" t="n"/>
      <c r="P267" s="91" t="inlineStr">
        <is>
          <t>REWARDS VISA|20260501|-5653|EXXONMOBIL4471#1</t>
        </is>
      </c>
      <c r="Q267" s="92">
        <f>IF(AND(G267=RptMonth,F267="Expense",N(E267)&lt;0),-E267+ROW()/10000000,"")</f>
        <v/>
      </c>
    </row>
    <row r="268">
      <c r="A268" s="86" t="n">
        <v>46142</v>
      </c>
      <c r="B268" s="87" t="inlineStr">
        <is>
          <t>Rewards Visa</t>
        </is>
      </c>
      <c r="C268" s="87" t="inlineStr">
        <is>
          <t>AMAZON.COM*2K4LP0</t>
        </is>
      </c>
      <c r="D268" s="87" t="inlineStr">
        <is>
          <t>Shopping</t>
        </is>
      </c>
      <c r="E268" s="88" t="n">
        <v>-73.63</v>
      </c>
      <c r="F268" s="89">
        <f>IF(E268="","",IF(OR(D268="",D268="Uncategorized"),IF(E268&lt;0,"Expense","Income"),IFERROR(INDEX(Categories!$B$6:$B$65,MATCH(D268,Categories!$A$6:$A$65,0)),IF(E268&lt;0,"Expense","Income"))))</f>
        <v/>
      </c>
      <c r="G268" s="90">
        <f>IF(A268="","",DATE(YEAR(A268),MONTH(A268),1))</f>
        <v/>
      </c>
      <c r="H268" s="87" t="n"/>
      <c r="I268" s="87" t="n"/>
      <c r="J268" s="91" t="inlineStr">
        <is>
          <t>AMAZON.COM*2K4LP0</t>
        </is>
      </c>
      <c r="K268" s="91" t="inlineStr">
        <is>
          <t>Sample Card Co</t>
        </is>
      </c>
      <c r="L268" s="91" t="inlineStr">
        <is>
          <t>Credit Card</t>
        </is>
      </c>
      <c r="M268" s="91" t="inlineStr">
        <is>
          <t>Visa_Statement.csv</t>
        </is>
      </c>
      <c r="N268" s="91" t="inlineStr">
        <is>
          <t>2026-10-15 20:14:07</t>
        </is>
      </c>
      <c r="O268" s="91" t="n"/>
      <c r="P268" s="91" t="inlineStr">
        <is>
          <t>REWARDS VISA|20260430|-7363|AMAZONCOM2K4LP0#1</t>
        </is>
      </c>
      <c r="Q268" s="92">
        <f>IF(AND(G268=RptMonth,F268="Expense",N(E268)&lt;0),-E268+ROW()/10000000,"")</f>
        <v/>
      </c>
    </row>
    <row r="269">
      <c r="A269" s="86" t="n">
        <v>46142</v>
      </c>
      <c r="B269" s="87" t="inlineStr">
        <is>
          <t>Rewards Visa</t>
        </is>
      </c>
      <c r="C269" s="87" t="inlineStr">
        <is>
          <t>BLUE MOON DINER</t>
        </is>
      </c>
      <c r="D269" s="87" t="inlineStr">
        <is>
          <t>Dining Out</t>
        </is>
      </c>
      <c r="E269" s="88" t="n">
        <v>-23.49</v>
      </c>
      <c r="F269" s="89">
        <f>IF(E269="","",IF(OR(D269="",D269="Uncategorized"),IF(E269&lt;0,"Expense","Income"),IFERROR(INDEX(Categories!$B$6:$B$65,MATCH(D269,Categories!$A$6:$A$65,0)),IF(E269&lt;0,"Expense","Income"))))</f>
        <v/>
      </c>
      <c r="G269" s="90">
        <f>IF(A269="","",DATE(YEAR(A269),MONTH(A269),1))</f>
        <v/>
      </c>
      <c r="H269" s="87" t="n"/>
      <c r="I269" s="87" t="n"/>
      <c r="J269" s="91" t="inlineStr">
        <is>
          <t>BLUE MOON DINER</t>
        </is>
      </c>
      <c r="K269" s="91" t="inlineStr">
        <is>
          <t>Sample Card Co</t>
        </is>
      </c>
      <c r="L269" s="91" t="inlineStr">
        <is>
          <t>Credit Card</t>
        </is>
      </c>
      <c r="M269" s="91" t="inlineStr">
        <is>
          <t>Visa_Statement.csv</t>
        </is>
      </c>
      <c r="N269" s="91" t="inlineStr">
        <is>
          <t>2026-10-15 20:14:07</t>
        </is>
      </c>
      <c r="O269" s="91" t="n"/>
      <c r="P269" s="91" t="inlineStr">
        <is>
          <t>REWARDS VISA|20260430|-2349|BLUEMOONDINER#1</t>
        </is>
      </c>
      <c r="Q269" s="92">
        <f>IF(AND(G269=RptMonth,F269="Expense",N(E269)&lt;0),-E269+ROW()/10000000,"")</f>
        <v/>
      </c>
    </row>
    <row r="270">
      <c r="A270" s="86" t="n">
        <v>46142</v>
      </c>
      <c r="B270" s="87" t="inlineStr">
        <is>
          <t>Rewards Visa</t>
        </is>
      </c>
      <c r="C270" s="87" t="inlineStr">
        <is>
          <t>LYFT *RIDE</t>
        </is>
      </c>
      <c r="D270" s="87" t="inlineStr">
        <is>
          <t>Transportation</t>
        </is>
      </c>
      <c r="E270" s="88" t="n">
        <v>-33.2</v>
      </c>
      <c r="F270" s="89">
        <f>IF(E270="","",IF(OR(D270="",D270="Uncategorized"),IF(E270&lt;0,"Expense","Income"),IFERROR(INDEX(Categories!$B$6:$B$65,MATCH(D270,Categories!$A$6:$A$65,0)),IF(E270&lt;0,"Expense","Income"))))</f>
        <v/>
      </c>
      <c r="G270" s="90">
        <f>IF(A270="","",DATE(YEAR(A270),MONTH(A270),1))</f>
        <v/>
      </c>
      <c r="H270" s="87" t="n"/>
      <c r="I270" s="87" t="n"/>
      <c r="J270" s="91" t="inlineStr">
        <is>
          <t>LYFT *RIDE</t>
        </is>
      </c>
      <c r="K270" s="91" t="inlineStr">
        <is>
          <t>Sample Card Co</t>
        </is>
      </c>
      <c r="L270" s="91" t="inlineStr">
        <is>
          <t>Credit Card</t>
        </is>
      </c>
      <c r="M270" s="91" t="inlineStr">
        <is>
          <t>Visa_Statement.csv</t>
        </is>
      </c>
      <c r="N270" s="91" t="inlineStr">
        <is>
          <t>2026-10-15 20:14:07</t>
        </is>
      </c>
      <c r="O270" s="91" t="n"/>
      <c r="P270" s="91" t="inlineStr">
        <is>
          <t>REWARDS VISA|20260430|-3320|LYFTRIDE#1</t>
        </is>
      </c>
      <c r="Q270" s="92">
        <f>IF(AND(G270=RptMonth,F270="Expense",N(E270)&lt;0),-E270+ROW()/10000000,"")</f>
        <v/>
      </c>
    </row>
    <row r="271">
      <c r="A271" s="86" t="n">
        <v>46141</v>
      </c>
      <c r="B271" s="87" t="inlineStr">
        <is>
          <t>Rewards Visa</t>
        </is>
      </c>
      <c r="C271" s="87" t="inlineStr">
        <is>
          <t>TRADER JOE'S #548</t>
        </is>
      </c>
      <c r="D271" s="87" t="inlineStr">
        <is>
          <t>Groceries</t>
        </is>
      </c>
      <c r="E271" s="88" t="n">
        <v>-27.75</v>
      </c>
      <c r="F271" s="89">
        <f>IF(E271="","",IF(OR(D271="",D271="Uncategorized"),IF(E271&lt;0,"Expense","Income"),IFERROR(INDEX(Categories!$B$6:$B$65,MATCH(D271,Categories!$A$6:$A$65,0)),IF(E271&lt;0,"Expense","Income"))))</f>
        <v/>
      </c>
      <c r="G271" s="90">
        <f>IF(A271="","",DATE(YEAR(A271),MONTH(A271),1))</f>
        <v/>
      </c>
      <c r="H271" s="87" t="n"/>
      <c r="I271" s="87" t="n"/>
      <c r="J271" s="91" t="inlineStr">
        <is>
          <t>TRADER JOE'S #548</t>
        </is>
      </c>
      <c r="K271" s="91" t="inlineStr">
        <is>
          <t>Sample Card Co</t>
        </is>
      </c>
      <c r="L271" s="91" t="inlineStr">
        <is>
          <t>Credit Card</t>
        </is>
      </c>
      <c r="M271" s="91" t="inlineStr">
        <is>
          <t>Visa_Statement.csv</t>
        </is>
      </c>
      <c r="N271" s="91" t="inlineStr">
        <is>
          <t>2026-10-15 20:14:07</t>
        </is>
      </c>
      <c r="O271" s="91" t="n"/>
      <c r="P271" s="91" t="inlineStr">
        <is>
          <t>REWARDS VISA|20260429|-2775|TRADERJOES548#1</t>
        </is>
      </c>
      <c r="Q271" s="92">
        <f>IF(AND(G271=RptMonth,F271="Expense",N(E271)&lt;0),-E271+ROW()/10000000,"")</f>
        <v/>
      </c>
    </row>
    <row r="272">
      <c r="A272" s="86" t="n">
        <v>46140</v>
      </c>
      <c r="B272" s="87" t="inlineStr">
        <is>
          <t>High-Yield Savings</t>
        </is>
      </c>
      <c r="C272" s="87" t="inlineStr">
        <is>
          <t>INTEREST PAYMENT</t>
        </is>
      </c>
      <c r="D272" s="87" t="inlineStr">
        <is>
          <t>Interest &amp; Dividends</t>
        </is>
      </c>
      <c r="E272" s="88" t="n">
        <v>43.64</v>
      </c>
      <c r="F272" s="89">
        <f>IF(E272="","",IF(OR(D272="",D272="Uncategorized"),IF(E272&lt;0,"Expense","Income"),IFERROR(INDEX(Categories!$B$6:$B$65,MATCH(D272,Categories!$A$6:$A$65,0)),IF(E272&lt;0,"Expense","Income"))))</f>
        <v/>
      </c>
      <c r="G272" s="90">
        <f>IF(A272="","",DATE(YEAR(A272),MONTH(A272),1))</f>
        <v/>
      </c>
      <c r="H272" s="87" t="n"/>
      <c r="I272" s="87" t="n"/>
      <c r="J272" s="91" t="inlineStr">
        <is>
          <t>INTEREST PAYMENT</t>
        </is>
      </c>
      <c r="K272" s="91" t="inlineStr">
        <is>
          <t>Sample Bank</t>
        </is>
      </c>
      <c r="L272" s="91" t="inlineStr">
        <is>
          <t>Savings</t>
        </is>
      </c>
      <c r="M272" s="91" t="inlineStr">
        <is>
          <t>Savings.qfx</t>
        </is>
      </c>
      <c r="N272" s="91" t="inlineStr">
        <is>
          <t>2026-10-15 20:14:07</t>
        </is>
      </c>
      <c r="O272" s="91" t="inlineStr">
        <is>
          <t>773002026042801</t>
        </is>
      </c>
      <c r="P272" s="91" t="inlineStr">
        <is>
          <t>HIGH-YIELD SAVINGS|ID|773002026042801#1</t>
        </is>
      </c>
      <c r="Q272" s="92">
        <f>IF(AND(G272=RptMonth,F272="Expense",N(E272)&lt;0),-E272+ROW()/10000000,"")</f>
        <v/>
      </c>
    </row>
    <row r="273">
      <c r="A273" s="86" t="n">
        <v>46140</v>
      </c>
      <c r="B273" s="87" t="inlineStr">
        <is>
          <t>Rewards Visa</t>
        </is>
      </c>
      <c r="C273" s="87" t="inlineStr">
        <is>
          <t>SHELL OIL 57444</t>
        </is>
      </c>
      <c r="D273" s="87" t="inlineStr">
        <is>
          <t>Gas &amp; Fuel</t>
        </is>
      </c>
      <c r="E273" s="88" t="n">
        <v>-57.95</v>
      </c>
      <c r="F273" s="89">
        <f>IF(E273="","",IF(OR(D273="",D273="Uncategorized"),IF(E273&lt;0,"Expense","Income"),IFERROR(INDEX(Categories!$B$6:$B$65,MATCH(D273,Categories!$A$6:$A$65,0)),IF(E273&lt;0,"Expense","Income"))))</f>
        <v/>
      </c>
      <c r="G273" s="90">
        <f>IF(A273="","",DATE(YEAR(A273),MONTH(A273),1))</f>
        <v/>
      </c>
      <c r="H273" s="87" t="n"/>
      <c r="I273" s="87" t="n"/>
      <c r="J273" s="91" t="inlineStr">
        <is>
          <t>SHELL OIL 57444</t>
        </is>
      </c>
      <c r="K273" s="91" t="inlineStr">
        <is>
          <t>Sample Card Co</t>
        </is>
      </c>
      <c r="L273" s="91" t="inlineStr">
        <is>
          <t>Credit Card</t>
        </is>
      </c>
      <c r="M273" s="91" t="inlineStr">
        <is>
          <t>Visa_Statement.csv</t>
        </is>
      </c>
      <c r="N273" s="91" t="inlineStr">
        <is>
          <t>2026-10-15 20:14:07</t>
        </is>
      </c>
      <c r="O273" s="91" t="n"/>
      <c r="P273" s="91" t="inlineStr">
        <is>
          <t>REWARDS VISA|20260428|-5795|SHELLOIL57444#1</t>
        </is>
      </c>
      <c r="Q273" s="92">
        <f>IF(AND(G273=RptMonth,F273="Expense",N(E273)&lt;0),-E273+ROW()/10000000,"")</f>
        <v/>
      </c>
    </row>
    <row r="274">
      <c r="A274" s="86" t="n">
        <v>46138</v>
      </c>
      <c r="B274" s="87" t="inlineStr">
        <is>
          <t>Rewards Visa</t>
        </is>
      </c>
      <c r="C274" s="87" t="inlineStr">
        <is>
          <t>AMAZON.COM*2K4LP0</t>
        </is>
      </c>
      <c r="D274" s="87" t="inlineStr">
        <is>
          <t>Shopping</t>
        </is>
      </c>
      <c r="E274" s="88" t="n">
        <v>-77.87</v>
      </c>
      <c r="F274" s="89">
        <f>IF(E274="","",IF(OR(D274="",D274="Uncategorized"),IF(E274&lt;0,"Expense","Income"),IFERROR(INDEX(Categories!$B$6:$B$65,MATCH(D274,Categories!$A$6:$A$65,0)),IF(E274&lt;0,"Expense","Income"))))</f>
        <v/>
      </c>
      <c r="G274" s="90">
        <f>IF(A274="","",DATE(YEAR(A274),MONTH(A274),1))</f>
        <v/>
      </c>
      <c r="H274" s="87" t="n"/>
      <c r="I274" s="87" t="n"/>
      <c r="J274" s="91" t="inlineStr">
        <is>
          <t>AMAZON.COM*2K4LP0</t>
        </is>
      </c>
      <c r="K274" s="91" t="inlineStr">
        <is>
          <t>Sample Card Co</t>
        </is>
      </c>
      <c r="L274" s="91" t="inlineStr">
        <is>
          <t>Credit Card</t>
        </is>
      </c>
      <c r="M274" s="91" t="inlineStr">
        <is>
          <t>Visa_Statement.csv</t>
        </is>
      </c>
      <c r="N274" s="91" t="inlineStr">
        <is>
          <t>2026-10-15 20:14:07</t>
        </is>
      </c>
      <c r="O274" s="91" t="n"/>
      <c r="P274" s="91" t="inlineStr">
        <is>
          <t>REWARDS VISA|20260426|-7787|AMAZONCOM2K4LP0#1</t>
        </is>
      </c>
      <c r="Q274" s="92">
        <f>IF(AND(G274=RptMonth,F274="Expense",N(E274)&lt;0),-E274+ROW()/10000000,"")</f>
        <v/>
      </c>
    </row>
    <row r="275">
      <c r="A275" s="86" t="n">
        <v>46137</v>
      </c>
      <c r="B275" s="87" t="inlineStr">
        <is>
          <t>Rewards Visa</t>
        </is>
      </c>
      <c r="C275" s="87" t="inlineStr">
        <is>
          <t>SHOPRITE #0234</t>
        </is>
      </c>
      <c r="D275" s="87" t="inlineStr">
        <is>
          <t>Groceries</t>
        </is>
      </c>
      <c r="E275" s="88" t="n">
        <v>-160.48</v>
      </c>
      <c r="F275" s="89">
        <f>IF(E275="","",IF(OR(D275="",D275="Uncategorized"),IF(E275&lt;0,"Expense","Income"),IFERROR(INDEX(Categories!$B$6:$B$65,MATCH(D275,Categories!$A$6:$A$65,0)),IF(E275&lt;0,"Expense","Income"))))</f>
        <v/>
      </c>
      <c r="G275" s="90">
        <f>IF(A275="","",DATE(YEAR(A275),MONTH(A275),1))</f>
        <v/>
      </c>
      <c r="H275" s="87" t="n"/>
      <c r="I275" s="87" t="n"/>
      <c r="J275" s="91" t="inlineStr">
        <is>
          <t>SHOPRITE #0234</t>
        </is>
      </c>
      <c r="K275" s="91" t="inlineStr">
        <is>
          <t>Sample Card Co</t>
        </is>
      </c>
      <c r="L275" s="91" t="inlineStr">
        <is>
          <t>Credit Card</t>
        </is>
      </c>
      <c r="M275" s="91" t="inlineStr">
        <is>
          <t>Visa_Statement.csv</t>
        </is>
      </c>
      <c r="N275" s="91" t="inlineStr">
        <is>
          <t>2026-10-15 20:14:07</t>
        </is>
      </c>
      <c r="O275" s="91" t="n"/>
      <c r="P275" s="91" t="inlineStr">
        <is>
          <t>REWARDS VISA|20260425|-16048|SHOPRITE0234#1</t>
        </is>
      </c>
      <c r="Q275" s="92">
        <f>IF(AND(G275=RptMonth,F275="Expense",N(E275)&lt;0),-E275+ROW()/10000000,"")</f>
        <v/>
      </c>
    </row>
    <row r="276">
      <c r="A276" s="86" t="n">
        <v>46137</v>
      </c>
      <c r="B276" s="87" t="inlineStr">
        <is>
          <t>Rewards Visa</t>
        </is>
      </c>
      <c r="C276" s="87" t="inlineStr">
        <is>
          <t>STARBUCKS STORE 08123</t>
        </is>
      </c>
      <c r="D276" s="87" t="inlineStr">
        <is>
          <t>Dining Out</t>
        </is>
      </c>
      <c r="E276" s="88" t="n">
        <v>-8.02</v>
      </c>
      <c r="F276" s="89">
        <f>IF(E276="","",IF(OR(D276="",D276="Uncategorized"),IF(E276&lt;0,"Expense","Income"),IFERROR(INDEX(Categories!$B$6:$B$65,MATCH(D276,Categories!$A$6:$A$65,0)),IF(E276&lt;0,"Expense","Income"))))</f>
        <v/>
      </c>
      <c r="G276" s="90">
        <f>IF(A276="","",DATE(YEAR(A276),MONTH(A276),1))</f>
        <v/>
      </c>
      <c r="H276" s="87" t="n"/>
      <c r="I276" s="87" t="n"/>
      <c r="J276" s="91" t="inlineStr">
        <is>
          <t>STARBUCKS STORE 08123</t>
        </is>
      </c>
      <c r="K276" s="91" t="inlineStr">
        <is>
          <t>Sample Card Co</t>
        </is>
      </c>
      <c r="L276" s="91" t="inlineStr">
        <is>
          <t>Credit Card</t>
        </is>
      </c>
      <c r="M276" s="91" t="inlineStr">
        <is>
          <t>Visa_Statement.csv</t>
        </is>
      </c>
      <c r="N276" s="91" t="inlineStr">
        <is>
          <t>2026-10-15 20:14:07</t>
        </is>
      </c>
      <c r="O276" s="91" t="n"/>
      <c r="P276" s="91" t="inlineStr">
        <is>
          <t>REWARDS VISA|20260425|-802|STARBUCKSSTORE08123#1</t>
        </is>
      </c>
      <c r="Q276" s="92">
        <f>IF(AND(G276=RptMonth,F276="Expense",N(E276)&lt;0),-E276+ROW()/10000000,"")</f>
        <v/>
      </c>
    </row>
    <row r="277">
      <c r="A277" s="86" t="n">
        <v>46136</v>
      </c>
      <c r="B277" s="87" t="inlineStr">
        <is>
          <t>Rewards Visa</t>
        </is>
      </c>
      <c r="C277" s="87" t="inlineStr">
        <is>
          <t>CVS/PHARMACY #02210</t>
        </is>
      </c>
      <c r="D277" s="87" t="inlineStr">
        <is>
          <t>Shopping</t>
        </is>
      </c>
      <c r="E277" s="88" t="n">
        <v>-43.26</v>
      </c>
      <c r="F277" s="89">
        <f>IF(E277="","",IF(OR(D277="",D277="Uncategorized"),IF(E277&lt;0,"Expense","Income"),IFERROR(INDEX(Categories!$B$6:$B$65,MATCH(D277,Categories!$A$6:$A$65,0)),IF(E277&lt;0,"Expense","Income"))))</f>
        <v/>
      </c>
      <c r="G277" s="90">
        <f>IF(A277="","",DATE(YEAR(A277),MONTH(A277),1))</f>
        <v/>
      </c>
      <c r="H277" s="87" t="n"/>
      <c r="I277" s="87" t="n"/>
      <c r="J277" s="91" t="inlineStr">
        <is>
          <t>CVS/PHARMACY #02210</t>
        </is>
      </c>
      <c r="K277" s="91" t="inlineStr">
        <is>
          <t>Sample Card Co</t>
        </is>
      </c>
      <c r="L277" s="91" t="inlineStr">
        <is>
          <t>Credit Card</t>
        </is>
      </c>
      <c r="M277" s="91" t="inlineStr">
        <is>
          <t>Visa_Statement.csv</t>
        </is>
      </c>
      <c r="N277" s="91" t="inlineStr">
        <is>
          <t>2026-10-15 20:14:07</t>
        </is>
      </c>
      <c r="O277" s="91" t="n"/>
      <c r="P277" s="91" t="inlineStr">
        <is>
          <t>REWARDS VISA|20260424|-4326|CVSPHARMACY02210#1</t>
        </is>
      </c>
      <c r="Q277" s="92">
        <f>IF(AND(G277=RptMonth,F277="Expense",N(E277)&lt;0),-E277+ROW()/10000000,"")</f>
        <v/>
      </c>
    </row>
    <row r="278">
      <c r="A278" s="86" t="n">
        <v>46136</v>
      </c>
      <c r="B278" s="87" t="inlineStr">
        <is>
          <t>Rewards Visa</t>
        </is>
      </c>
      <c r="C278" s="87" t="inlineStr">
        <is>
          <t>SUNOCO 0391</t>
        </is>
      </c>
      <c r="D278" s="87" t="inlineStr">
        <is>
          <t>Gas &amp; Fuel</t>
        </is>
      </c>
      <c r="E278" s="88" t="n">
        <v>-41.75</v>
      </c>
      <c r="F278" s="89">
        <f>IF(E278="","",IF(OR(D278="",D278="Uncategorized"),IF(E278&lt;0,"Expense","Income"),IFERROR(INDEX(Categories!$B$6:$B$65,MATCH(D278,Categories!$A$6:$A$65,0)),IF(E278&lt;0,"Expense","Income"))))</f>
        <v/>
      </c>
      <c r="G278" s="90">
        <f>IF(A278="","",DATE(YEAR(A278),MONTH(A278),1))</f>
        <v/>
      </c>
      <c r="H278" s="87" t="n"/>
      <c r="I278" s="87" t="n"/>
      <c r="J278" s="91" t="inlineStr">
        <is>
          <t>SUNOCO 0391</t>
        </is>
      </c>
      <c r="K278" s="91" t="inlineStr">
        <is>
          <t>Sample Card Co</t>
        </is>
      </c>
      <c r="L278" s="91" t="inlineStr">
        <is>
          <t>Credit Card</t>
        </is>
      </c>
      <c r="M278" s="91" t="inlineStr">
        <is>
          <t>Visa_Statement.csv</t>
        </is>
      </c>
      <c r="N278" s="91" t="inlineStr">
        <is>
          <t>2026-10-15 20:14:07</t>
        </is>
      </c>
      <c r="O278" s="91" t="n"/>
      <c r="P278" s="91" t="inlineStr">
        <is>
          <t>REWARDS VISA|20260424|-4175|SUNOCO0391#1</t>
        </is>
      </c>
      <c r="Q278" s="92">
        <f>IF(AND(G278=RptMonth,F278="Expense",N(E278)&lt;0),-E278+ROW()/10000000,"")</f>
        <v/>
      </c>
    </row>
    <row r="279">
      <c r="A279" s="86" t="n">
        <v>46136</v>
      </c>
      <c r="B279" s="87" t="inlineStr">
        <is>
          <t>Rewards Visa</t>
        </is>
      </c>
      <c r="C279" s="87" t="inlineStr">
        <is>
          <t>SWEETGREEN PALISADES</t>
        </is>
      </c>
      <c r="D279" s="87" t="inlineStr">
        <is>
          <t>Dining Out</t>
        </is>
      </c>
      <c r="E279" s="88" t="n">
        <v>-56.87</v>
      </c>
      <c r="F279" s="89">
        <f>IF(E279="","",IF(OR(D279="",D279="Uncategorized"),IF(E279&lt;0,"Expense","Income"),IFERROR(INDEX(Categories!$B$6:$B$65,MATCH(D279,Categories!$A$6:$A$65,0)),IF(E279&lt;0,"Expense","Income"))))</f>
        <v/>
      </c>
      <c r="G279" s="90">
        <f>IF(A279="","",DATE(YEAR(A279),MONTH(A279),1))</f>
        <v/>
      </c>
      <c r="H279" s="87" t="n"/>
      <c r="I279" s="87" t="n"/>
      <c r="J279" s="91" t="inlineStr">
        <is>
          <t>SWEETGREEN PALISADES</t>
        </is>
      </c>
      <c r="K279" s="91" t="inlineStr">
        <is>
          <t>Sample Card Co</t>
        </is>
      </c>
      <c r="L279" s="91" t="inlineStr">
        <is>
          <t>Credit Card</t>
        </is>
      </c>
      <c r="M279" s="91" t="inlineStr">
        <is>
          <t>Visa_Statement.csv</t>
        </is>
      </c>
      <c r="N279" s="91" t="inlineStr">
        <is>
          <t>2026-10-15 20:14:07</t>
        </is>
      </c>
      <c r="O279" s="91" t="n"/>
      <c r="P279" s="91" t="inlineStr">
        <is>
          <t>REWARDS VISA|20260424|-5687|SWEETGREENPALISADES#1</t>
        </is>
      </c>
      <c r="Q279" s="92">
        <f>IF(AND(G279=RptMonth,F279="Expense",N(E279)&lt;0),-E279+ROW()/10000000,"")</f>
        <v/>
      </c>
    </row>
    <row r="280">
      <c r="A280" s="86" t="n">
        <v>46135</v>
      </c>
      <c r="B280" s="87" t="inlineStr">
        <is>
          <t>Rewards Visa</t>
        </is>
      </c>
      <c r="C280" s="87" t="inlineStr">
        <is>
          <t>BLUE MOON DINER</t>
        </is>
      </c>
      <c r="D280" s="87" t="inlineStr">
        <is>
          <t>Dining Out</t>
        </is>
      </c>
      <c r="E280" s="88" t="n">
        <v>-28.92</v>
      </c>
      <c r="F280" s="89">
        <f>IF(E280="","",IF(OR(D280="",D280="Uncategorized"),IF(E280&lt;0,"Expense","Income"),IFERROR(INDEX(Categories!$B$6:$B$65,MATCH(D280,Categories!$A$6:$A$65,0)),IF(E280&lt;0,"Expense","Income"))))</f>
        <v/>
      </c>
      <c r="G280" s="90">
        <f>IF(A280="","",DATE(YEAR(A280),MONTH(A280),1))</f>
        <v/>
      </c>
      <c r="H280" s="87" t="n"/>
      <c r="I280" s="87" t="n"/>
      <c r="J280" s="91" t="inlineStr">
        <is>
          <t>BLUE MOON DINER</t>
        </is>
      </c>
      <c r="K280" s="91" t="inlineStr">
        <is>
          <t>Sample Card Co</t>
        </is>
      </c>
      <c r="L280" s="91" t="inlineStr">
        <is>
          <t>Credit Card</t>
        </is>
      </c>
      <c r="M280" s="91" t="inlineStr">
        <is>
          <t>Visa_Statement.csv</t>
        </is>
      </c>
      <c r="N280" s="91" t="inlineStr">
        <is>
          <t>2026-10-15 20:14:07</t>
        </is>
      </c>
      <c r="O280" s="91" t="n"/>
      <c r="P280" s="91" t="inlineStr">
        <is>
          <t>REWARDS VISA|20260423|-2892|BLUEMOONDINER#1</t>
        </is>
      </c>
      <c r="Q280" s="92">
        <f>IF(AND(G280=RptMonth,F280="Expense",N(E280)&lt;0),-E280+ROW()/10000000,"")</f>
        <v/>
      </c>
    </row>
    <row r="281">
      <c r="A281" s="86" t="n">
        <v>46134</v>
      </c>
      <c r="B281" s="87" t="inlineStr">
        <is>
          <t>Rewards Visa</t>
        </is>
      </c>
      <c r="C281" s="87" t="inlineStr">
        <is>
          <t>AMAZON.COM*2K4LP0</t>
        </is>
      </c>
      <c r="D281" s="87" t="inlineStr">
        <is>
          <t>Shopping</t>
        </is>
      </c>
      <c r="E281" s="88" t="n">
        <v>-74.09</v>
      </c>
      <c r="F281" s="89">
        <f>IF(E281="","",IF(OR(D281="",D281="Uncategorized"),IF(E281&lt;0,"Expense","Income"),IFERROR(INDEX(Categories!$B$6:$B$65,MATCH(D281,Categories!$A$6:$A$65,0)),IF(E281&lt;0,"Expense","Income"))))</f>
        <v/>
      </c>
      <c r="G281" s="90">
        <f>IF(A281="","",DATE(YEAR(A281),MONTH(A281),1))</f>
        <v/>
      </c>
      <c r="H281" s="87" t="n"/>
      <c r="I281" s="87" t="n"/>
      <c r="J281" s="91" t="inlineStr">
        <is>
          <t>AMAZON.COM*2K4LP0</t>
        </is>
      </c>
      <c r="K281" s="91" t="inlineStr">
        <is>
          <t>Sample Card Co</t>
        </is>
      </c>
      <c r="L281" s="91" t="inlineStr">
        <is>
          <t>Credit Card</t>
        </is>
      </c>
      <c r="M281" s="91" t="inlineStr">
        <is>
          <t>Visa_Statement.csv</t>
        </is>
      </c>
      <c r="N281" s="91" t="inlineStr">
        <is>
          <t>2026-10-15 20:14:07</t>
        </is>
      </c>
      <c r="O281" s="91" t="n"/>
      <c r="P281" s="91" t="inlineStr">
        <is>
          <t>REWARDS VISA|20260422|-7409|AMAZONCOM2K4LP0#1</t>
        </is>
      </c>
      <c r="Q281" s="92">
        <f>IF(AND(G281=RptMonth,F281="Expense",N(E281)&lt;0),-E281+ROW()/10000000,"")</f>
        <v/>
      </c>
    </row>
    <row r="282">
      <c r="A282" s="86" t="n">
        <v>46134</v>
      </c>
      <c r="B282" s="87" t="inlineStr">
        <is>
          <t>Rewards Visa</t>
        </is>
      </c>
      <c r="C282" s="87" t="inlineStr">
        <is>
          <t>WHOLE FOODS MARKET #10312</t>
        </is>
      </c>
      <c r="D282" s="87" t="inlineStr">
        <is>
          <t>Groceries</t>
        </is>
      </c>
      <c r="E282" s="88" t="n">
        <v>-28.07</v>
      </c>
      <c r="F282" s="89">
        <f>IF(E282="","",IF(OR(D282="",D282="Uncategorized"),IF(E282&lt;0,"Expense","Income"),IFERROR(INDEX(Categories!$B$6:$B$65,MATCH(D282,Categories!$A$6:$A$65,0)),IF(E282&lt;0,"Expense","Income"))))</f>
        <v/>
      </c>
      <c r="G282" s="90">
        <f>IF(A282="","",DATE(YEAR(A282),MONTH(A282),1))</f>
        <v/>
      </c>
      <c r="H282" s="87" t="n"/>
      <c r="I282" s="87" t="n"/>
      <c r="J282" s="91" t="inlineStr">
        <is>
          <t>WHOLE FOODS MARKET #10312</t>
        </is>
      </c>
      <c r="K282" s="91" t="inlineStr">
        <is>
          <t>Sample Card Co</t>
        </is>
      </c>
      <c r="L282" s="91" t="inlineStr">
        <is>
          <t>Credit Card</t>
        </is>
      </c>
      <c r="M282" s="91" t="inlineStr">
        <is>
          <t>Visa_Statement.csv</t>
        </is>
      </c>
      <c r="N282" s="91" t="inlineStr">
        <is>
          <t>2026-10-15 20:14:07</t>
        </is>
      </c>
      <c r="O282" s="91" t="n"/>
      <c r="P282" s="91" t="inlineStr">
        <is>
          <t>REWARDS VISA|20260422|-2807|WHOLEFOODSMARKET10312#1</t>
        </is>
      </c>
      <c r="Q282" s="92">
        <f>IF(AND(G282=RptMonth,F282="Expense",N(E282)&lt;0),-E282+ROW()/10000000,"")</f>
        <v/>
      </c>
    </row>
    <row r="283">
      <c r="A283" s="86" t="n">
        <v>46133</v>
      </c>
      <c r="B283" s="87" t="inlineStr">
        <is>
          <t>Rewards Visa</t>
        </is>
      </c>
      <c r="C283" s="87" t="inlineStr">
        <is>
          <t>GREAT CLIPS #4410</t>
        </is>
      </c>
      <c r="D283" s="87" t="inlineStr">
        <is>
          <t>Personal Care</t>
        </is>
      </c>
      <c r="E283" s="88" t="n">
        <v>-28.67</v>
      </c>
      <c r="F283" s="89">
        <f>IF(E283="","",IF(OR(D283="",D283="Uncategorized"),IF(E283&lt;0,"Expense","Income"),IFERROR(INDEX(Categories!$B$6:$B$65,MATCH(D283,Categories!$A$6:$A$65,0)),IF(E283&lt;0,"Expense","Income"))))</f>
        <v/>
      </c>
      <c r="G283" s="90">
        <f>IF(A283="","",DATE(YEAR(A283),MONTH(A283),1))</f>
        <v/>
      </c>
      <c r="H283" s="87" t="n"/>
      <c r="I283" s="87" t="n"/>
      <c r="J283" s="91" t="inlineStr">
        <is>
          <t>GREAT CLIPS #4410</t>
        </is>
      </c>
      <c r="K283" s="91" t="inlineStr">
        <is>
          <t>Sample Card Co</t>
        </is>
      </c>
      <c r="L283" s="91" t="inlineStr">
        <is>
          <t>Credit Card</t>
        </is>
      </c>
      <c r="M283" s="91" t="inlineStr">
        <is>
          <t>Visa_Statement.csv</t>
        </is>
      </c>
      <c r="N283" s="91" t="inlineStr">
        <is>
          <t>2026-10-15 20:14:07</t>
        </is>
      </c>
      <c r="O283" s="91" t="n"/>
      <c r="P283" s="91" t="inlineStr">
        <is>
          <t>REWARDS VISA|20260421|-2867|GREATCLIPS4410#1</t>
        </is>
      </c>
      <c r="Q283" s="92">
        <f>IF(AND(G283=RptMonth,F283="Expense",N(E283)&lt;0),-E283+ROW()/10000000,"")</f>
        <v/>
      </c>
    </row>
    <row r="284">
      <c r="A284" s="86" t="n">
        <v>46133</v>
      </c>
      <c r="B284" s="87" t="inlineStr">
        <is>
          <t>Rewards Visa</t>
        </is>
      </c>
      <c r="C284" s="87" t="inlineStr">
        <is>
          <t>SHELL OIL 57444</t>
        </is>
      </c>
      <c r="D284" s="87" t="inlineStr">
        <is>
          <t>Gas &amp; Fuel</t>
        </is>
      </c>
      <c r="E284" s="88" t="n">
        <v>-43.74</v>
      </c>
      <c r="F284" s="89">
        <f>IF(E284="","",IF(OR(D284="",D284="Uncategorized"),IF(E284&lt;0,"Expense","Income"),IFERROR(INDEX(Categories!$B$6:$B$65,MATCH(D284,Categories!$A$6:$A$65,0)),IF(E284&lt;0,"Expense","Income"))))</f>
        <v/>
      </c>
      <c r="G284" s="90">
        <f>IF(A284="","",DATE(YEAR(A284),MONTH(A284),1))</f>
        <v/>
      </c>
      <c r="H284" s="87" t="n"/>
      <c r="I284" s="87" t="n"/>
      <c r="J284" s="91" t="inlineStr">
        <is>
          <t>SHELL OIL 57444</t>
        </is>
      </c>
      <c r="K284" s="91" t="inlineStr">
        <is>
          <t>Sample Card Co</t>
        </is>
      </c>
      <c r="L284" s="91" t="inlineStr">
        <is>
          <t>Credit Card</t>
        </is>
      </c>
      <c r="M284" s="91" t="inlineStr">
        <is>
          <t>Visa_Statement.csv</t>
        </is>
      </c>
      <c r="N284" s="91" t="inlineStr">
        <is>
          <t>2026-10-15 20:14:07</t>
        </is>
      </c>
      <c r="O284" s="91" t="n"/>
      <c r="P284" s="91" t="inlineStr">
        <is>
          <t>REWARDS VISA|20260421|-4374|SHELLOIL57444#1</t>
        </is>
      </c>
      <c r="Q284" s="92">
        <f>IF(AND(G284=RptMonth,F284="Expense",N(E284)&lt;0),-E284+ROW()/10000000,"")</f>
        <v/>
      </c>
    </row>
    <row r="285">
      <c r="A285" s="86" t="n">
        <v>46132</v>
      </c>
      <c r="B285" s="87" t="inlineStr">
        <is>
          <t>Everyday Checking</t>
        </is>
      </c>
      <c r="C285" s="87" t="inlineStr">
        <is>
          <t>CREDIT CARD PAYMENT REWARDS VISA</t>
        </is>
      </c>
      <c r="D285" s="87" t="inlineStr">
        <is>
          <t>Credit Card Payment</t>
        </is>
      </c>
      <c r="E285" s="88" t="n">
        <v>-1627.99</v>
      </c>
      <c r="F285" s="89">
        <f>IF(E285="","",IF(OR(D285="",D285="Uncategorized"),IF(E285&lt;0,"Expense","Income"),IFERROR(INDEX(Categories!$B$6:$B$65,MATCH(D285,Categories!$A$6:$A$65,0)),IF(E285&lt;0,"Expense","Income"))))</f>
        <v/>
      </c>
      <c r="G285" s="90">
        <f>IF(A285="","",DATE(YEAR(A285),MONTH(A285),1))</f>
        <v/>
      </c>
      <c r="H285" s="87" t="n"/>
      <c r="I285" s="87" t="n"/>
      <c r="J285" s="91" t="inlineStr">
        <is>
          <t>CREDIT CARD PAYMENT REWARDS VISA</t>
        </is>
      </c>
      <c r="K285" s="91" t="inlineStr">
        <is>
          <t>Sample Bank</t>
        </is>
      </c>
      <c r="L285" s="91" t="inlineStr">
        <is>
          <t>Checking</t>
        </is>
      </c>
      <c r="M285" s="91" t="inlineStr">
        <is>
          <t>Checking_Activity.csv</t>
        </is>
      </c>
      <c r="N285" s="91" t="inlineStr">
        <is>
          <t>2026-10-15 20:14:07</t>
        </is>
      </c>
      <c r="O285" s="91" t="n"/>
      <c r="P285" s="91" t="inlineStr">
        <is>
          <t>EVERYDAY CHECKING|20260420|-162799|CREDITCARDPAYMENTREWARDSVISA#1</t>
        </is>
      </c>
      <c r="Q285" s="92">
        <f>IF(AND(G285=RptMonth,F285="Expense",N(E285)&lt;0),-E285+ROW()/10000000,"")</f>
        <v/>
      </c>
    </row>
    <row r="286">
      <c r="A286" s="86" t="n">
        <v>46132</v>
      </c>
      <c r="B286" s="87" t="inlineStr">
        <is>
          <t>Rewards Visa</t>
        </is>
      </c>
      <c r="C286" s="87" t="inlineStr">
        <is>
          <t>PAYMENT THANK YOU</t>
        </is>
      </c>
      <c r="D286" s="87" t="inlineStr">
        <is>
          <t>Credit Card Payment</t>
        </is>
      </c>
      <c r="E286" s="88" t="n">
        <v>1627.99</v>
      </c>
      <c r="F286" s="89">
        <f>IF(E286="","",IF(OR(D286="",D286="Uncategorized"),IF(E286&lt;0,"Expense","Income"),IFERROR(INDEX(Categories!$B$6:$B$65,MATCH(D286,Categories!$A$6:$A$65,0)),IF(E286&lt;0,"Expense","Income"))))</f>
        <v/>
      </c>
      <c r="G286" s="90">
        <f>IF(A286="","",DATE(YEAR(A286),MONTH(A286),1))</f>
        <v/>
      </c>
      <c r="H286" s="87" t="n"/>
      <c r="I286" s="87" t="n"/>
      <c r="J286" s="91" t="inlineStr">
        <is>
          <t>PAYMENT THANK YOU</t>
        </is>
      </c>
      <c r="K286" s="91" t="inlineStr">
        <is>
          <t>Sample Card Co</t>
        </is>
      </c>
      <c r="L286" s="91" t="inlineStr">
        <is>
          <t>Credit Card</t>
        </is>
      </c>
      <c r="M286" s="91" t="inlineStr">
        <is>
          <t>Visa_Statement.csv</t>
        </is>
      </c>
      <c r="N286" s="91" t="inlineStr">
        <is>
          <t>2026-10-15 20:14:07</t>
        </is>
      </c>
      <c r="O286" s="91" t="n"/>
      <c r="P286" s="91" t="inlineStr">
        <is>
          <t>REWARDS VISA|20260420|162799|PAYMENTTHANKYOU#1</t>
        </is>
      </c>
      <c r="Q286" s="92">
        <f>IF(AND(G286=RptMonth,F286="Expense",N(E286)&lt;0),-E286+ROW()/10000000,"")</f>
        <v/>
      </c>
    </row>
    <row r="287">
      <c r="A287" s="86" t="n">
        <v>46130</v>
      </c>
      <c r="B287" s="87" t="inlineStr">
        <is>
          <t>Everyday Checking</t>
        </is>
      </c>
      <c r="C287" s="87" t="inlineStr">
        <is>
          <t>SAMPLE LOAN SERVICER STUDENT LOAN</t>
        </is>
      </c>
      <c r="D287" s="87" t="inlineStr">
        <is>
          <t>Loan Payments</t>
        </is>
      </c>
      <c r="E287" s="88" t="n">
        <v>-260</v>
      </c>
      <c r="F287" s="89">
        <f>IF(E287="","",IF(OR(D287="",D287="Uncategorized"),IF(E287&lt;0,"Expense","Income"),IFERROR(INDEX(Categories!$B$6:$B$65,MATCH(D287,Categories!$A$6:$A$65,0)),IF(E287&lt;0,"Expense","Income"))))</f>
        <v/>
      </c>
      <c r="G287" s="90">
        <f>IF(A287="","",DATE(YEAR(A287),MONTH(A287),1))</f>
        <v/>
      </c>
      <c r="H287" s="87" t="n"/>
      <c r="I287" s="87" t="n"/>
      <c r="J287" s="91" t="inlineStr">
        <is>
          <t>SAMPLE LOAN SERVICER STUDENT LOAN</t>
        </is>
      </c>
      <c r="K287" s="91" t="inlineStr">
        <is>
          <t>Sample Bank</t>
        </is>
      </c>
      <c r="L287" s="91" t="inlineStr">
        <is>
          <t>Checking</t>
        </is>
      </c>
      <c r="M287" s="91" t="inlineStr">
        <is>
          <t>Checking_Activity.csv</t>
        </is>
      </c>
      <c r="N287" s="91" t="inlineStr">
        <is>
          <t>2026-10-15 20:14:07</t>
        </is>
      </c>
      <c r="O287" s="91" t="n"/>
      <c r="P287" s="91" t="inlineStr">
        <is>
          <t>EVERYDAY CHECKING|20260418|-26000|SAMPLELOANSERVICERSTUDENTLOAN#1</t>
        </is>
      </c>
      <c r="Q287" s="92">
        <f>IF(AND(G287=RptMonth,F287="Expense",N(E287)&lt;0),-E287+ROW()/10000000,"")</f>
        <v/>
      </c>
    </row>
    <row r="288">
      <c r="A288" s="86" t="n">
        <v>46130</v>
      </c>
      <c r="B288" s="87" t="inlineStr">
        <is>
          <t>Rewards Visa</t>
        </is>
      </c>
      <c r="C288" s="87" t="inlineStr">
        <is>
          <t>CHIPOTLE 2291</t>
        </is>
      </c>
      <c r="D288" s="87" t="inlineStr">
        <is>
          <t>Dining Out</t>
        </is>
      </c>
      <c r="E288" s="88" t="n">
        <v>-52.36</v>
      </c>
      <c r="F288" s="89">
        <f>IF(E288="","",IF(OR(D288="",D288="Uncategorized"),IF(E288&lt;0,"Expense","Income"),IFERROR(INDEX(Categories!$B$6:$B$65,MATCH(D288,Categories!$A$6:$A$65,0)),IF(E288&lt;0,"Expense","Income"))))</f>
        <v/>
      </c>
      <c r="G288" s="90">
        <f>IF(A288="","",DATE(YEAR(A288),MONTH(A288),1))</f>
        <v/>
      </c>
      <c r="H288" s="87" t="n"/>
      <c r="I288" s="87" t="n"/>
      <c r="J288" s="91" t="inlineStr">
        <is>
          <t>CHIPOTLE 2291</t>
        </is>
      </c>
      <c r="K288" s="91" t="inlineStr">
        <is>
          <t>Sample Card Co</t>
        </is>
      </c>
      <c r="L288" s="91" t="inlineStr">
        <is>
          <t>Credit Card</t>
        </is>
      </c>
      <c r="M288" s="91" t="inlineStr">
        <is>
          <t>Visa_Statement.csv</t>
        </is>
      </c>
      <c r="N288" s="91" t="inlineStr">
        <is>
          <t>2026-10-15 20:14:07</t>
        </is>
      </c>
      <c r="O288" s="91" t="n"/>
      <c r="P288" s="91" t="inlineStr">
        <is>
          <t>REWARDS VISA|20260418|-5236|CHIPOTLE2291#1</t>
        </is>
      </c>
      <c r="Q288" s="92">
        <f>IF(AND(G288=RptMonth,F288="Expense",N(E288)&lt;0),-E288+ROW()/10000000,"")</f>
        <v/>
      </c>
    </row>
    <row r="289">
      <c r="A289" s="86" t="n">
        <v>46130</v>
      </c>
      <c r="B289" s="87" t="inlineStr">
        <is>
          <t>Rewards Visa</t>
        </is>
      </c>
      <c r="C289" s="87" t="inlineStr">
        <is>
          <t>WHOLE FOODS MARKET #10312</t>
        </is>
      </c>
      <c r="D289" s="87" t="inlineStr">
        <is>
          <t>Groceries</t>
        </is>
      </c>
      <c r="E289" s="88" t="n">
        <v>-142.84</v>
      </c>
      <c r="F289" s="89">
        <f>IF(E289="","",IF(OR(D289="",D289="Uncategorized"),IF(E289&lt;0,"Expense","Income"),IFERROR(INDEX(Categories!$B$6:$B$65,MATCH(D289,Categories!$A$6:$A$65,0)),IF(E289&lt;0,"Expense","Income"))))</f>
        <v/>
      </c>
      <c r="G289" s="90">
        <f>IF(A289="","",DATE(YEAR(A289),MONTH(A289),1))</f>
        <v/>
      </c>
      <c r="H289" s="87" t="n"/>
      <c r="I289" s="87" t="n"/>
      <c r="J289" s="91" t="inlineStr">
        <is>
          <t>WHOLE FOODS MARKET #10312</t>
        </is>
      </c>
      <c r="K289" s="91" t="inlineStr">
        <is>
          <t>Sample Card Co</t>
        </is>
      </c>
      <c r="L289" s="91" t="inlineStr">
        <is>
          <t>Credit Card</t>
        </is>
      </c>
      <c r="M289" s="91" t="inlineStr">
        <is>
          <t>Visa_Statement.csv</t>
        </is>
      </c>
      <c r="N289" s="91" t="inlineStr">
        <is>
          <t>2026-10-15 20:14:07</t>
        </is>
      </c>
      <c r="O289" s="91" t="n"/>
      <c r="P289" s="91" t="inlineStr">
        <is>
          <t>REWARDS VISA|20260418|-14284|WHOLEFOODSMARKET10312#1</t>
        </is>
      </c>
      <c r="Q289" s="92">
        <f>IF(AND(G289=RptMonth,F289="Expense",N(E289)&lt;0),-E289+ROW()/10000000,"")</f>
        <v/>
      </c>
    </row>
    <row r="290">
      <c r="A290" s="86" t="n">
        <v>46129</v>
      </c>
      <c r="B290" s="87" t="inlineStr">
        <is>
          <t>Everyday Checking</t>
        </is>
      </c>
      <c r="C290" s="87" t="inlineStr">
        <is>
          <t>ACME CORP PAYROLL DIR DEP</t>
        </is>
      </c>
      <c r="D290" s="87" t="inlineStr">
        <is>
          <t>Salary</t>
        </is>
      </c>
      <c r="E290" s="88" t="n">
        <v>3461.07</v>
      </c>
      <c r="F290" s="89">
        <f>IF(E290="","",IF(OR(D290="",D290="Uncategorized"),IF(E290&lt;0,"Expense","Income"),IFERROR(INDEX(Categories!$B$6:$B$65,MATCH(D290,Categories!$A$6:$A$65,0)),IF(E290&lt;0,"Expense","Income"))))</f>
        <v/>
      </c>
      <c r="G290" s="90">
        <f>IF(A290="","",DATE(YEAR(A290),MONTH(A290),1))</f>
        <v/>
      </c>
      <c r="H290" s="87" t="n"/>
      <c r="I290" s="87" t="n"/>
      <c r="J290" s="91" t="inlineStr">
        <is>
          <t>ACME CORP PAYROLL DIR DEP</t>
        </is>
      </c>
      <c r="K290" s="91" t="inlineStr">
        <is>
          <t>Sample Bank</t>
        </is>
      </c>
      <c r="L290" s="91" t="inlineStr">
        <is>
          <t>Checking</t>
        </is>
      </c>
      <c r="M290" s="91" t="inlineStr">
        <is>
          <t>Checking_Activity.csv</t>
        </is>
      </c>
      <c r="N290" s="91" t="inlineStr">
        <is>
          <t>2026-10-15 20:14:07</t>
        </is>
      </c>
      <c r="O290" s="91" t="n"/>
      <c r="P290" s="91" t="inlineStr">
        <is>
          <t>EVERYDAY CHECKING|20260417|346107|ACMECORPPAYROLLDIRDEP#1</t>
        </is>
      </c>
      <c r="Q290" s="92">
        <f>IF(AND(G290=RptMonth,F290="Expense",N(E290)&lt;0),-E290+ROW()/10000000,"")</f>
        <v/>
      </c>
    </row>
    <row r="291">
      <c r="A291" s="86" t="n">
        <v>46128</v>
      </c>
      <c r="B291" s="87" t="inlineStr">
        <is>
          <t>Rewards Visa</t>
        </is>
      </c>
      <c r="C291" s="87" t="inlineStr">
        <is>
          <t>PLANET FITNESS</t>
        </is>
      </c>
      <c r="D291" s="87" t="inlineStr">
        <is>
          <t>Health &amp; Fitness</t>
        </is>
      </c>
      <c r="E291" s="88" t="n">
        <v>-24.99</v>
      </c>
      <c r="F291" s="89">
        <f>IF(E291="","",IF(OR(D291="",D291="Uncategorized"),IF(E291&lt;0,"Expense","Income"),IFERROR(INDEX(Categories!$B$6:$B$65,MATCH(D291,Categories!$A$6:$A$65,0)),IF(E291&lt;0,"Expense","Income"))))</f>
        <v/>
      </c>
      <c r="G291" s="90">
        <f>IF(A291="","",DATE(YEAR(A291),MONTH(A291),1))</f>
        <v/>
      </c>
      <c r="H291" s="87" t="n"/>
      <c r="I291" s="87" t="n"/>
      <c r="J291" s="91" t="inlineStr">
        <is>
          <t>PLANET FITNESS</t>
        </is>
      </c>
      <c r="K291" s="91" t="inlineStr">
        <is>
          <t>Sample Card Co</t>
        </is>
      </c>
      <c r="L291" s="91" t="inlineStr">
        <is>
          <t>Credit Card</t>
        </is>
      </c>
      <c r="M291" s="91" t="inlineStr">
        <is>
          <t>Visa_Statement.csv</t>
        </is>
      </c>
      <c r="N291" s="91" t="inlineStr">
        <is>
          <t>2026-10-15 20:14:07</t>
        </is>
      </c>
      <c r="O291" s="91" t="n"/>
      <c r="P291" s="91" t="inlineStr">
        <is>
          <t>REWARDS VISA|20260416|-2499|PLANETFITNESS#1</t>
        </is>
      </c>
      <c r="Q291" s="92">
        <f>IF(AND(G291=RptMonth,F291="Expense",N(E291)&lt;0),-E291+ROW()/10000000,"")</f>
        <v/>
      </c>
    </row>
    <row r="292">
      <c r="A292" s="86" t="n">
        <v>46127</v>
      </c>
      <c r="B292" s="87" t="inlineStr">
        <is>
          <t>Everyday Checking</t>
        </is>
      </c>
      <c r="C292" s="87" t="inlineStr">
        <is>
          <t>ATM WITHDRAWAL 1234 MAIN ST</t>
        </is>
      </c>
      <c r="D292" s="87" t="inlineStr">
        <is>
          <t>Cash &amp; ATM</t>
        </is>
      </c>
      <c r="E292" s="88" t="n">
        <v>-60</v>
      </c>
      <c r="F292" s="89">
        <f>IF(E292="","",IF(OR(D292="",D292="Uncategorized"),IF(E292&lt;0,"Expense","Income"),IFERROR(INDEX(Categories!$B$6:$B$65,MATCH(D292,Categories!$A$6:$A$65,0)),IF(E292&lt;0,"Expense","Income"))))</f>
        <v/>
      </c>
      <c r="G292" s="90">
        <f>IF(A292="","",DATE(YEAR(A292),MONTH(A292),1))</f>
        <v/>
      </c>
      <c r="H292" s="87" t="n"/>
      <c r="I292" s="87" t="n"/>
      <c r="J292" s="91" t="inlineStr">
        <is>
          <t>ATM WITHDRAWAL 1234 MAIN ST</t>
        </is>
      </c>
      <c r="K292" s="91" t="inlineStr">
        <is>
          <t>Sample Bank</t>
        </is>
      </c>
      <c r="L292" s="91" t="inlineStr">
        <is>
          <t>Checking</t>
        </is>
      </c>
      <c r="M292" s="91" t="inlineStr">
        <is>
          <t>Checking_Activity.csv</t>
        </is>
      </c>
      <c r="N292" s="91" t="inlineStr">
        <is>
          <t>2026-10-15 20:14:07</t>
        </is>
      </c>
      <c r="O292" s="91" t="n"/>
      <c r="P292" s="91" t="inlineStr">
        <is>
          <t>EVERYDAY CHECKING|20260415|-6000|ATMWITHDRAWAL1234MAINST#1</t>
        </is>
      </c>
      <c r="Q292" s="92">
        <f>IF(AND(G292=RptMonth,F292="Expense",N(E292)&lt;0),-E292+ROW()/10000000,"")</f>
        <v/>
      </c>
    </row>
    <row r="293">
      <c r="A293" s="86" t="n">
        <v>46127</v>
      </c>
      <c r="B293" s="87" t="inlineStr">
        <is>
          <t>Everyday Checking</t>
        </is>
      </c>
      <c r="C293" s="87" t="inlineStr">
        <is>
          <t>XFINITY INTERNET</t>
        </is>
      </c>
      <c r="D293" s="87" t="inlineStr">
        <is>
          <t>Phone &amp; Internet</t>
        </is>
      </c>
      <c r="E293" s="88" t="n">
        <v>-79.98999999999999</v>
      </c>
      <c r="F293" s="89">
        <f>IF(E293="","",IF(OR(D293="",D293="Uncategorized"),IF(E293&lt;0,"Expense","Income"),IFERROR(INDEX(Categories!$B$6:$B$65,MATCH(D293,Categories!$A$6:$A$65,0)),IF(E293&lt;0,"Expense","Income"))))</f>
        <v/>
      </c>
      <c r="G293" s="90">
        <f>IF(A293="","",DATE(YEAR(A293),MONTH(A293),1))</f>
        <v/>
      </c>
      <c r="H293" s="87" t="n"/>
      <c r="I293" s="87" t="n"/>
      <c r="J293" s="91" t="inlineStr">
        <is>
          <t>XFINITY INTERNET</t>
        </is>
      </c>
      <c r="K293" s="91" t="inlineStr">
        <is>
          <t>Sample Bank</t>
        </is>
      </c>
      <c r="L293" s="91" t="inlineStr">
        <is>
          <t>Checking</t>
        </is>
      </c>
      <c r="M293" s="91" t="inlineStr">
        <is>
          <t>Checking_Activity.csv</t>
        </is>
      </c>
      <c r="N293" s="91" t="inlineStr">
        <is>
          <t>2026-10-15 20:14:07</t>
        </is>
      </c>
      <c r="O293" s="91" t="n"/>
      <c r="P293" s="91" t="inlineStr">
        <is>
          <t>EVERYDAY CHECKING|20260415|-7999|XFINITYINTERNET#1</t>
        </is>
      </c>
      <c r="Q293" s="92">
        <f>IF(AND(G293=RptMonth,F293="Expense",N(E293)&lt;0),-E293+ROW()/10000000,"")</f>
        <v/>
      </c>
    </row>
    <row r="294">
      <c r="A294" s="86" t="n">
        <v>46126</v>
      </c>
      <c r="B294" s="87" t="inlineStr">
        <is>
          <t>Everyday Checking</t>
        </is>
      </c>
      <c r="C294" s="87" t="inlineStr">
        <is>
          <t>CITY WATER UTILITY</t>
        </is>
      </c>
      <c r="D294" s="87" t="inlineStr">
        <is>
          <t>Utilities</t>
        </is>
      </c>
      <c r="E294" s="88" t="n">
        <v>-70.17</v>
      </c>
      <c r="F294" s="89">
        <f>IF(E294="","",IF(OR(D294="",D294="Uncategorized"),IF(E294&lt;0,"Expense","Income"),IFERROR(INDEX(Categories!$B$6:$B$65,MATCH(D294,Categories!$A$6:$A$65,0)),IF(E294&lt;0,"Expense","Income"))))</f>
        <v/>
      </c>
      <c r="G294" s="90">
        <f>IF(A294="","",DATE(YEAR(A294),MONTH(A294),1))</f>
        <v/>
      </c>
      <c r="H294" s="87" t="n"/>
      <c r="I294" s="87" t="n"/>
      <c r="J294" s="91" t="inlineStr">
        <is>
          <t>CITY WATER UTILITY</t>
        </is>
      </c>
      <c r="K294" s="91" t="inlineStr">
        <is>
          <t>Sample Bank</t>
        </is>
      </c>
      <c r="L294" s="91" t="inlineStr">
        <is>
          <t>Checking</t>
        </is>
      </c>
      <c r="M294" s="91" t="inlineStr">
        <is>
          <t>Checking_Activity.csv</t>
        </is>
      </c>
      <c r="N294" s="91" t="inlineStr">
        <is>
          <t>2026-10-15 20:14:07</t>
        </is>
      </c>
      <c r="O294" s="91" t="n"/>
      <c r="P294" s="91" t="inlineStr">
        <is>
          <t>EVERYDAY CHECKING|20260414|-7017|CITYWATERUTILITY#1</t>
        </is>
      </c>
      <c r="Q294" s="92">
        <f>IF(AND(G294=RptMonth,F294="Expense",N(E294)&lt;0),-E294+ROW()/10000000,"")</f>
        <v/>
      </c>
    </row>
    <row r="295">
      <c r="A295" s="86" t="n">
        <v>46126</v>
      </c>
      <c r="B295" s="87" t="inlineStr">
        <is>
          <t>Rewards Visa</t>
        </is>
      </c>
      <c r="C295" s="87" t="inlineStr">
        <is>
          <t>SUNOCO 0391</t>
        </is>
      </c>
      <c r="D295" s="87" t="inlineStr">
        <is>
          <t>Gas &amp; Fuel</t>
        </is>
      </c>
      <c r="E295" s="88" t="n">
        <v>-60.66</v>
      </c>
      <c r="F295" s="89">
        <f>IF(E295="","",IF(OR(D295="",D295="Uncategorized"),IF(E295&lt;0,"Expense","Income"),IFERROR(INDEX(Categories!$B$6:$B$65,MATCH(D295,Categories!$A$6:$A$65,0)),IF(E295&lt;0,"Expense","Income"))))</f>
        <v/>
      </c>
      <c r="G295" s="90">
        <f>IF(A295="","",DATE(YEAR(A295),MONTH(A295),1))</f>
        <v/>
      </c>
      <c r="H295" s="87" t="n"/>
      <c r="I295" s="87" t="n"/>
      <c r="J295" s="91" t="inlineStr">
        <is>
          <t>SUNOCO 0391</t>
        </is>
      </c>
      <c r="K295" s="91" t="inlineStr">
        <is>
          <t>Sample Card Co</t>
        </is>
      </c>
      <c r="L295" s="91" t="inlineStr">
        <is>
          <t>Credit Card</t>
        </is>
      </c>
      <c r="M295" s="91" t="inlineStr">
        <is>
          <t>Visa_Statement.csv</t>
        </is>
      </c>
      <c r="N295" s="91" t="inlineStr">
        <is>
          <t>2026-10-15 20:14:07</t>
        </is>
      </c>
      <c r="O295" s="91" t="n"/>
      <c r="P295" s="91" t="inlineStr">
        <is>
          <t>REWARDS VISA|20260414|-6066|SUNOCO0391#1</t>
        </is>
      </c>
      <c r="Q295" s="92">
        <f>IF(AND(G295=RptMonth,F295="Expense",N(E295)&lt;0),-E295+ROW()/10000000,"")</f>
        <v/>
      </c>
    </row>
    <row r="296">
      <c r="A296" s="86" t="n">
        <v>46124</v>
      </c>
      <c r="B296" s="87" t="inlineStr">
        <is>
          <t>Everyday Checking</t>
        </is>
      </c>
      <c r="C296" s="87" t="inlineStr">
        <is>
          <t>VERIZON WIRELESS</t>
        </is>
      </c>
      <c r="D296" s="87" t="inlineStr">
        <is>
          <t>Phone &amp; Internet</t>
        </is>
      </c>
      <c r="E296" s="88" t="n">
        <v>-95</v>
      </c>
      <c r="F296" s="89">
        <f>IF(E296="","",IF(OR(D296="",D296="Uncategorized"),IF(E296&lt;0,"Expense","Income"),IFERROR(INDEX(Categories!$B$6:$B$65,MATCH(D296,Categories!$A$6:$A$65,0)),IF(E296&lt;0,"Expense","Income"))))</f>
        <v/>
      </c>
      <c r="G296" s="90">
        <f>IF(A296="","",DATE(YEAR(A296),MONTH(A296),1))</f>
        <v/>
      </c>
      <c r="H296" s="87" t="n"/>
      <c r="I296" s="87" t="n"/>
      <c r="J296" s="91" t="inlineStr">
        <is>
          <t>VERIZON WIRELESS</t>
        </is>
      </c>
      <c r="K296" s="91" t="inlineStr">
        <is>
          <t>Sample Bank</t>
        </is>
      </c>
      <c r="L296" s="91" t="inlineStr">
        <is>
          <t>Checking</t>
        </is>
      </c>
      <c r="M296" s="91" t="inlineStr">
        <is>
          <t>Checking_Activity.csv</t>
        </is>
      </c>
      <c r="N296" s="91" t="inlineStr">
        <is>
          <t>2026-10-15 20:14:07</t>
        </is>
      </c>
      <c r="O296" s="91" t="n"/>
      <c r="P296" s="91" t="inlineStr">
        <is>
          <t>EVERYDAY CHECKING|20260412|-9500|VERIZONWIRELESS#1</t>
        </is>
      </c>
      <c r="Q296" s="92">
        <f>IF(AND(G296=RptMonth,F296="Expense",N(E296)&lt;0),-E296+ROW()/10000000,"")</f>
        <v/>
      </c>
    </row>
    <row r="297">
      <c r="A297" s="86" t="n">
        <v>46123</v>
      </c>
      <c r="B297" s="87" t="inlineStr">
        <is>
          <t>Rewards Visa</t>
        </is>
      </c>
      <c r="C297" s="87" t="inlineStr">
        <is>
          <t>AMAZON.COM*2K4LP0</t>
        </is>
      </c>
      <c r="D297" s="87" t="inlineStr">
        <is>
          <t>Shopping</t>
        </is>
      </c>
      <c r="E297" s="88" t="n">
        <v>-113.65</v>
      </c>
      <c r="F297" s="89">
        <f>IF(E297="","",IF(OR(D297="",D297="Uncategorized"),IF(E297&lt;0,"Expense","Income"),IFERROR(INDEX(Categories!$B$6:$B$65,MATCH(D297,Categories!$A$6:$A$65,0)),IF(E297&lt;0,"Expense","Income"))))</f>
        <v/>
      </c>
      <c r="G297" s="90">
        <f>IF(A297="","",DATE(YEAR(A297),MONTH(A297),1))</f>
        <v/>
      </c>
      <c r="H297" s="87" t="n"/>
      <c r="I297" s="87" t="n"/>
      <c r="J297" s="91" t="inlineStr">
        <is>
          <t>AMAZON.COM*2K4LP0</t>
        </is>
      </c>
      <c r="K297" s="91" t="inlineStr">
        <is>
          <t>Sample Card Co</t>
        </is>
      </c>
      <c r="L297" s="91" t="inlineStr">
        <is>
          <t>Credit Card</t>
        </is>
      </c>
      <c r="M297" s="91" t="inlineStr">
        <is>
          <t>Visa_Statement.csv</t>
        </is>
      </c>
      <c r="N297" s="91" t="inlineStr">
        <is>
          <t>2026-10-15 20:14:07</t>
        </is>
      </c>
      <c r="O297" s="91" t="n"/>
      <c r="P297" s="91" t="inlineStr">
        <is>
          <t>REWARDS VISA|20260411|-11365|AMAZONCOM2K4LP0#1</t>
        </is>
      </c>
      <c r="Q297" s="92">
        <f>IF(AND(G297=RptMonth,F297="Expense",N(E297)&lt;0),-E297+ROW()/10000000,"")</f>
        <v/>
      </c>
    </row>
    <row r="298">
      <c r="A298" s="86" t="n">
        <v>46123</v>
      </c>
      <c r="B298" s="87" t="inlineStr">
        <is>
          <t>Rewards Visa</t>
        </is>
      </c>
      <c r="C298" s="87" t="inlineStr">
        <is>
          <t>APPLE.COM/BILL</t>
        </is>
      </c>
      <c r="D298" s="87" t="inlineStr">
        <is>
          <t>Subscriptions</t>
        </is>
      </c>
      <c r="E298" s="88" t="n">
        <v>-2.99</v>
      </c>
      <c r="F298" s="89">
        <f>IF(E298="","",IF(OR(D298="",D298="Uncategorized"),IF(E298&lt;0,"Expense","Income"),IFERROR(INDEX(Categories!$B$6:$B$65,MATCH(D298,Categories!$A$6:$A$65,0)),IF(E298&lt;0,"Expense","Income"))))</f>
        <v/>
      </c>
      <c r="G298" s="90">
        <f>IF(A298="","",DATE(YEAR(A298),MONTH(A298),1))</f>
        <v/>
      </c>
      <c r="H298" s="87" t="n"/>
      <c r="I298" s="87" t="n"/>
      <c r="J298" s="91" t="inlineStr">
        <is>
          <t>APPLE.COM/BILL</t>
        </is>
      </c>
      <c r="K298" s="91" t="inlineStr">
        <is>
          <t>Sample Card Co</t>
        </is>
      </c>
      <c r="L298" s="91" t="inlineStr">
        <is>
          <t>Credit Card</t>
        </is>
      </c>
      <c r="M298" s="91" t="inlineStr">
        <is>
          <t>Visa_Statement.csv</t>
        </is>
      </c>
      <c r="N298" s="91" t="inlineStr">
        <is>
          <t>2026-10-15 20:14:07</t>
        </is>
      </c>
      <c r="O298" s="91" t="n"/>
      <c r="P298" s="91" t="inlineStr">
        <is>
          <t>REWARDS VISA|20260411|-299|APPLECOMBILL#1</t>
        </is>
      </c>
      <c r="Q298" s="92">
        <f>IF(AND(G298=RptMonth,F298="Expense",N(E298)&lt;0),-E298+ROW()/10000000,"")</f>
        <v/>
      </c>
    </row>
    <row r="299">
      <c r="A299" s="86" t="n">
        <v>46123</v>
      </c>
      <c r="B299" s="87" t="inlineStr">
        <is>
          <t>Rewards Visa</t>
        </is>
      </c>
      <c r="C299" s="87" t="inlineStr">
        <is>
          <t>SHOPRITE #0234</t>
        </is>
      </c>
      <c r="D299" s="87" t="inlineStr">
        <is>
          <t>Groceries</t>
        </is>
      </c>
      <c r="E299" s="88" t="n">
        <v>-86.81</v>
      </c>
      <c r="F299" s="89">
        <f>IF(E299="","",IF(OR(D299="",D299="Uncategorized"),IF(E299&lt;0,"Expense","Income"),IFERROR(INDEX(Categories!$B$6:$B$65,MATCH(D299,Categories!$A$6:$A$65,0)),IF(E299&lt;0,"Expense","Income"))))</f>
        <v/>
      </c>
      <c r="G299" s="90">
        <f>IF(A299="","",DATE(YEAR(A299),MONTH(A299),1))</f>
        <v/>
      </c>
      <c r="H299" s="87" t="n"/>
      <c r="I299" s="87" t="n"/>
      <c r="J299" s="91" t="inlineStr">
        <is>
          <t>SHOPRITE #0234</t>
        </is>
      </c>
      <c r="K299" s="91" t="inlineStr">
        <is>
          <t>Sample Card Co</t>
        </is>
      </c>
      <c r="L299" s="91" t="inlineStr">
        <is>
          <t>Credit Card</t>
        </is>
      </c>
      <c r="M299" s="91" t="inlineStr">
        <is>
          <t>Visa_Statement.csv</t>
        </is>
      </c>
      <c r="N299" s="91" t="inlineStr">
        <is>
          <t>2026-10-15 20:14:07</t>
        </is>
      </c>
      <c r="O299" s="91" t="n"/>
      <c r="P299" s="91" t="inlineStr">
        <is>
          <t>REWARDS VISA|20260411|-8681|SHOPRITE0234#1</t>
        </is>
      </c>
      <c r="Q299" s="92">
        <f>IF(AND(G299=RptMonth,F299="Expense",N(E299)&lt;0),-E299+ROW()/10000000,"")</f>
        <v/>
      </c>
    </row>
    <row r="300">
      <c r="A300" s="86" t="n">
        <v>46123</v>
      </c>
      <c r="B300" s="87" t="inlineStr">
        <is>
          <t>Rewards Visa</t>
        </is>
      </c>
      <c r="C300" s="87" t="inlineStr">
        <is>
          <t>STARBUCKS STORE 08123</t>
        </is>
      </c>
      <c r="D300" s="87" t="inlineStr">
        <is>
          <t>Dining Out</t>
        </is>
      </c>
      <c r="E300" s="88" t="n">
        <v>-37.5</v>
      </c>
      <c r="F300" s="89">
        <f>IF(E300="","",IF(OR(D300="",D300="Uncategorized"),IF(E300&lt;0,"Expense","Income"),IFERROR(INDEX(Categories!$B$6:$B$65,MATCH(D300,Categories!$A$6:$A$65,0)),IF(E300&lt;0,"Expense","Income"))))</f>
        <v/>
      </c>
      <c r="G300" s="90">
        <f>IF(A300="","",DATE(YEAR(A300),MONTH(A300),1))</f>
        <v/>
      </c>
      <c r="H300" s="87" t="n"/>
      <c r="I300" s="87" t="n"/>
      <c r="J300" s="91" t="inlineStr">
        <is>
          <t>STARBUCKS STORE 08123</t>
        </is>
      </c>
      <c r="K300" s="91" t="inlineStr">
        <is>
          <t>Sample Card Co</t>
        </is>
      </c>
      <c r="L300" s="91" t="inlineStr">
        <is>
          <t>Credit Card</t>
        </is>
      </c>
      <c r="M300" s="91" t="inlineStr">
        <is>
          <t>Visa_Statement.csv</t>
        </is>
      </c>
      <c r="N300" s="91" t="inlineStr">
        <is>
          <t>2026-10-15 20:14:07</t>
        </is>
      </c>
      <c r="O300" s="91" t="n"/>
      <c r="P300" s="91" t="inlineStr">
        <is>
          <t>REWARDS VISA|20260411|-3750|STARBUCKSSTORE08123#1</t>
        </is>
      </c>
      <c r="Q300" s="92">
        <f>IF(AND(G300=RptMonth,F300="Expense",N(E300)&lt;0),-E300+ROW()/10000000,"")</f>
        <v/>
      </c>
    </row>
    <row r="301">
      <c r="A301" s="86" t="n">
        <v>46122</v>
      </c>
      <c r="B301" s="87" t="inlineStr">
        <is>
          <t>Everyday Checking</t>
        </is>
      </c>
      <c r="C301" s="87" t="inlineStr">
        <is>
          <t>SAMPLE AUTO FINANCE PMT</t>
        </is>
      </c>
      <c r="D301" s="87" t="inlineStr">
        <is>
          <t>Auto Payment</t>
        </is>
      </c>
      <c r="E301" s="88" t="n">
        <v>-385</v>
      </c>
      <c r="F301" s="89">
        <f>IF(E301="","",IF(OR(D301="",D301="Uncategorized"),IF(E301&lt;0,"Expense","Income"),IFERROR(INDEX(Categories!$B$6:$B$65,MATCH(D301,Categories!$A$6:$A$65,0)),IF(E301&lt;0,"Expense","Income"))))</f>
        <v/>
      </c>
      <c r="G301" s="90">
        <f>IF(A301="","",DATE(YEAR(A301),MONTH(A301),1))</f>
        <v/>
      </c>
      <c r="H301" s="87" t="n"/>
      <c r="I301" s="87" t="n"/>
      <c r="J301" s="91" t="inlineStr">
        <is>
          <t>SAMPLE AUTO FINANCE PMT</t>
        </is>
      </c>
      <c r="K301" s="91" t="inlineStr">
        <is>
          <t>Sample Bank</t>
        </is>
      </c>
      <c r="L301" s="91" t="inlineStr">
        <is>
          <t>Checking</t>
        </is>
      </c>
      <c r="M301" s="91" t="inlineStr">
        <is>
          <t>Checking_Activity.csv</t>
        </is>
      </c>
      <c r="N301" s="91" t="inlineStr">
        <is>
          <t>2026-10-15 20:14:07</t>
        </is>
      </c>
      <c r="O301" s="91" t="n"/>
      <c r="P301" s="91" t="inlineStr">
        <is>
          <t>EVERYDAY CHECKING|20260410|-38500|SAMPLEAUTOFINANCEPMT#1</t>
        </is>
      </c>
      <c r="Q301" s="92">
        <f>IF(AND(G301=RptMonth,F301="Expense",N(E301)&lt;0),-E301+ROW()/10000000,"")</f>
        <v/>
      </c>
    </row>
    <row r="302">
      <c r="A302" s="86" t="n">
        <v>46122</v>
      </c>
      <c r="B302" s="87" t="inlineStr">
        <is>
          <t>Rewards Visa</t>
        </is>
      </c>
      <c r="C302" s="87" t="inlineStr">
        <is>
          <t>TARGET 00012345</t>
        </is>
      </c>
      <c r="D302" s="87" t="inlineStr">
        <is>
          <t>Shopping</t>
        </is>
      </c>
      <c r="E302" s="88" t="n">
        <v>-77.38</v>
      </c>
      <c r="F302" s="89">
        <f>IF(E302="","",IF(OR(D302="",D302="Uncategorized"),IF(E302&lt;0,"Expense","Income"),IFERROR(INDEX(Categories!$B$6:$B$65,MATCH(D302,Categories!$A$6:$A$65,0)),IF(E302&lt;0,"Expense","Income"))))</f>
        <v/>
      </c>
      <c r="G302" s="90">
        <f>IF(A302="","",DATE(YEAR(A302),MONTH(A302),1))</f>
        <v/>
      </c>
      <c r="H302" s="87" t="n"/>
      <c r="I302" s="87" t="n"/>
      <c r="J302" s="91" t="inlineStr">
        <is>
          <t>TARGET 00012345</t>
        </is>
      </c>
      <c r="K302" s="91" t="inlineStr">
        <is>
          <t>Sample Card Co</t>
        </is>
      </c>
      <c r="L302" s="91" t="inlineStr">
        <is>
          <t>Credit Card</t>
        </is>
      </c>
      <c r="M302" s="91" t="inlineStr">
        <is>
          <t>Visa_Statement.csv</t>
        </is>
      </c>
      <c r="N302" s="91" t="inlineStr">
        <is>
          <t>2026-10-15 20:14:07</t>
        </is>
      </c>
      <c r="O302" s="91" t="n"/>
      <c r="P302" s="91" t="inlineStr">
        <is>
          <t>REWARDS VISA|20260410|-7738|TARGET00012345#1</t>
        </is>
      </c>
      <c r="Q302" s="92">
        <f>IF(AND(G302=RptMonth,F302="Expense",N(E302)&lt;0),-E302+ROW()/10000000,"")</f>
        <v/>
      </c>
    </row>
    <row r="303">
      <c r="A303" s="86" t="n">
        <v>46121</v>
      </c>
      <c r="B303" s="87" t="inlineStr">
        <is>
          <t>Everyday Checking</t>
        </is>
      </c>
      <c r="C303" s="87" t="inlineStr">
        <is>
          <t>NJ NATURAL GAS PAYMENT</t>
        </is>
      </c>
      <c r="D303" s="87" t="inlineStr">
        <is>
          <t>Utilities</t>
        </is>
      </c>
      <c r="E303" s="88" t="n">
        <v>-52.43</v>
      </c>
      <c r="F303" s="89">
        <f>IF(E303="","",IF(OR(D303="",D303="Uncategorized"),IF(E303&lt;0,"Expense","Income"),IFERROR(INDEX(Categories!$B$6:$B$65,MATCH(D303,Categories!$A$6:$A$65,0)),IF(E303&lt;0,"Expense","Income"))))</f>
        <v/>
      </c>
      <c r="G303" s="90">
        <f>IF(A303="","",DATE(YEAR(A303),MONTH(A303),1))</f>
        <v/>
      </c>
      <c r="H303" s="87" t="n"/>
      <c r="I303" s="87" t="n"/>
      <c r="J303" s="91" t="inlineStr">
        <is>
          <t>NJ NATURAL GAS PAYMENT</t>
        </is>
      </c>
      <c r="K303" s="91" t="inlineStr">
        <is>
          <t>Sample Bank</t>
        </is>
      </c>
      <c r="L303" s="91" t="inlineStr">
        <is>
          <t>Checking</t>
        </is>
      </c>
      <c r="M303" s="91" t="inlineStr">
        <is>
          <t>Checking_Activity.csv</t>
        </is>
      </c>
      <c r="N303" s="91" t="inlineStr">
        <is>
          <t>2026-10-15 20:14:07</t>
        </is>
      </c>
      <c r="O303" s="91" t="n"/>
      <c r="P303" s="91" t="inlineStr">
        <is>
          <t>EVERYDAY CHECKING|20260409|-5243|NJNATURALGASPAYMENT#1</t>
        </is>
      </c>
      <c r="Q303" s="92">
        <f>IF(AND(G303=RptMonth,F303="Expense",N(E303)&lt;0),-E303+ROW()/10000000,"")</f>
        <v/>
      </c>
    </row>
    <row r="304">
      <c r="A304" s="86" t="n">
        <v>46120</v>
      </c>
      <c r="B304" s="87" t="inlineStr">
        <is>
          <t>Everyday Checking</t>
        </is>
      </c>
      <c r="C304" s="87" t="inlineStr">
        <is>
          <t>PSEG ELECTRIC BILL</t>
        </is>
      </c>
      <c r="D304" s="87" t="inlineStr">
        <is>
          <t>Utilities</t>
        </is>
      </c>
      <c r="E304" s="88" t="n">
        <v>-122.53</v>
      </c>
      <c r="F304" s="89">
        <f>IF(E304="","",IF(OR(D304="",D304="Uncategorized"),IF(E304&lt;0,"Expense","Income"),IFERROR(INDEX(Categories!$B$6:$B$65,MATCH(D304,Categories!$A$6:$A$65,0)),IF(E304&lt;0,"Expense","Income"))))</f>
        <v/>
      </c>
      <c r="G304" s="90">
        <f>IF(A304="","",DATE(YEAR(A304),MONTH(A304),1))</f>
        <v/>
      </c>
      <c r="H304" s="87" t="n"/>
      <c r="I304" s="87" t="n"/>
      <c r="J304" s="91" t="inlineStr">
        <is>
          <t>PSEG ELECTRIC BILL</t>
        </is>
      </c>
      <c r="K304" s="91" t="inlineStr">
        <is>
          <t>Sample Bank</t>
        </is>
      </c>
      <c r="L304" s="91" t="inlineStr">
        <is>
          <t>Checking</t>
        </is>
      </c>
      <c r="M304" s="91" t="inlineStr">
        <is>
          <t>Checking_Activity.csv</t>
        </is>
      </c>
      <c r="N304" s="91" t="inlineStr">
        <is>
          <t>2026-10-15 20:14:07</t>
        </is>
      </c>
      <c r="O304" s="91" t="n"/>
      <c r="P304" s="91" t="inlineStr">
        <is>
          <t>EVERYDAY CHECKING|20260408|-12253|PSEGELECTRICBILL#1</t>
        </is>
      </c>
      <c r="Q304" s="92">
        <f>IF(AND(G304=RptMonth,F304="Expense",N(E304)&lt;0),-E304+ROW()/10000000,"")</f>
        <v/>
      </c>
    </row>
    <row r="305">
      <c r="A305" s="86" t="n">
        <v>46120</v>
      </c>
      <c r="B305" s="87" t="inlineStr">
        <is>
          <t>Rewards Visa</t>
        </is>
      </c>
      <c r="C305" s="87" t="inlineStr">
        <is>
          <t>H MART #112</t>
        </is>
      </c>
      <c r="D305" s="87" t="inlineStr">
        <is>
          <t>Groceries</t>
        </is>
      </c>
      <c r="E305" s="88" t="n">
        <v>-64.8</v>
      </c>
      <c r="F305" s="89">
        <f>IF(E305="","",IF(OR(D305="",D305="Uncategorized"),IF(E305&lt;0,"Expense","Income"),IFERROR(INDEX(Categories!$B$6:$B$65,MATCH(D305,Categories!$A$6:$A$65,0)),IF(E305&lt;0,"Expense","Income"))))</f>
        <v/>
      </c>
      <c r="G305" s="90">
        <f>IF(A305="","",DATE(YEAR(A305),MONTH(A305),1))</f>
        <v/>
      </c>
      <c r="H305" s="87" t="n"/>
      <c r="I305" s="87" t="n"/>
      <c r="J305" s="91" t="inlineStr">
        <is>
          <t>H MART #112</t>
        </is>
      </c>
      <c r="K305" s="91" t="inlineStr">
        <is>
          <t>Sample Card Co</t>
        </is>
      </c>
      <c r="L305" s="91" t="inlineStr">
        <is>
          <t>Credit Card</t>
        </is>
      </c>
      <c r="M305" s="91" t="inlineStr">
        <is>
          <t>Visa_Statement.csv</t>
        </is>
      </c>
      <c r="N305" s="91" t="inlineStr">
        <is>
          <t>2026-10-15 20:14:07</t>
        </is>
      </c>
      <c r="O305" s="91" t="n"/>
      <c r="P305" s="91" t="inlineStr">
        <is>
          <t>REWARDS VISA|20260408|-6480|HMART112#1</t>
        </is>
      </c>
      <c r="Q305" s="92">
        <f>IF(AND(G305=RptMonth,F305="Expense",N(E305)&lt;0),-E305+ROW()/10000000,"")</f>
        <v/>
      </c>
    </row>
    <row r="306">
      <c r="A306" s="86" t="n">
        <v>46119</v>
      </c>
      <c r="B306" s="87" t="inlineStr">
        <is>
          <t>Rewards Visa</t>
        </is>
      </c>
      <c r="C306" s="87" t="inlineStr">
        <is>
          <t>SHELL OIL 57444</t>
        </is>
      </c>
      <c r="D306" s="87" t="inlineStr">
        <is>
          <t>Gas &amp; Fuel</t>
        </is>
      </c>
      <c r="E306" s="88" t="n">
        <v>-49.42</v>
      </c>
      <c r="F306" s="89">
        <f>IF(E306="","",IF(OR(D306="",D306="Uncategorized"),IF(E306&lt;0,"Expense","Income"),IFERROR(INDEX(Categories!$B$6:$B$65,MATCH(D306,Categories!$A$6:$A$65,0)),IF(E306&lt;0,"Expense","Income"))))</f>
        <v/>
      </c>
      <c r="G306" s="90">
        <f>IF(A306="","",DATE(YEAR(A306),MONTH(A306),1))</f>
        <v/>
      </c>
      <c r="H306" s="87" t="n"/>
      <c r="I306" s="87" t="n"/>
      <c r="J306" s="91" t="inlineStr">
        <is>
          <t>SHELL OIL 57444</t>
        </is>
      </c>
      <c r="K306" s="91" t="inlineStr">
        <is>
          <t>Sample Card Co</t>
        </is>
      </c>
      <c r="L306" s="91" t="inlineStr">
        <is>
          <t>Credit Card</t>
        </is>
      </c>
      <c r="M306" s="91" t="inlineStr">
        <is>
          <t>Visa_Statement.csv</t>
        </is>
      </c>
      <c r="N306" s="91" t="inlineStr">
        <is>
          <t>2026-10-15 20:14:07</t>
        </is>
      </c>
      <c r="O306" s="91" t="n"/>
      <c r="P306" s="91" t="inlineStr">
        <is>
          <t>REWARDS VISA|20260407|-4942|SHELLOIL57444#1</t>
        </is>
      </c>
      <c r="Q306" s="92">
        <f>IF(AND(G306=RptMonth,F306="Expense",N(E306)&lt;0),-E306+ROW()/10000000,"")</f>
        <v/>
      </c>
    </row>
    <row r="307">
      <c r="A307" s="86" t="n">
        <v>46119</v>
      </c>
      <c r="B307" s="87" t="inlineStr">
        <is>
          <t>Rewards Visa</t>
        </is>
      </c>
      <c r="C307" s="87" t="inlineStr">
        <is>
          <t>SPOTIFY USA</t>
        </is>
      </c>
      <c r="D307" s="87" t="inlineStr">
        <is>
          <t>Subscriptions</t>
        </is>
      </c>
      <c r="E307" s="88" t="n">
        <v>-11.99</v>
      </c>
      <c r="F307" s="89">
        <f>IF(E307="","",IF(OR(D307="",D307="Uncategorized"),IF(E307&lt;0,"Expense","Income"),IFERROR(INDEX(Categories!$B$6:$B$65,MATCH(D307,Categories!$A$6:$A$65,0)),IF(E307&lt;0,"Expense","Income"))))</f>
        <v/>
      </c>
      <c r="G307" s="90">
        <f>IF(A307="","",DATE(YEAR(A307),MONTH(A307),1))</f>
        <v/>
      </c>
      <c r="H307" s="87" t="n"/>
      <c r="I307" s="87" t="n"/>
      <c r="J307" s="91" t="inlineStr">
        <is>
          <t>SPOTIFY USA</t>
        </is>
      </c>
      <c r="K307" s="91" t="inlineStr">
        <is>
          <t>Sample Card Co</t>
        </is>
      </c>
      <c r="L307" s="91" t="inlineStr">
        <is>
          <t>Credit Card</t>
        </is>
      </c>
      <c r="M307" s="91" t="inlineStr">
        <is>
          <t>Visa_Statement.csv</t>
        </is>
      </c>
      <c r="N307" s="91" t="inlineStr">
        <is>
          <t>2026-10-15 20:14:07</t>
        </is>
      </c>
      <c r="O307" s="91" t="n"/>
      <c r="P307" s="91" t="inlineStr">
        <is>
          <t>REWARDS VISA|20260407|-1199|SPOTIFYUSA#1</t>
        </is>
      </c>
      <c r="Q307" s="92">
        <f>IF(AND(G307=RptMonth,F307="Expense",N(E307)&lt;0),-E307+ROW()/10000000,"")</f>
        <v/>
      </c>
    </row>
    <row r="308">
      <c r="A308" s="86" t="n">
        <v>46117</v>
      </c>
      <c r="B308" s="87" t="inlineStr">
        <is>
          <t>Everyday Checking</t>
        </is>
      </c>
      <c r="C308" s="87" t="inlineStr">
        <is>
          <t>ONLINE TRANSFER TO HIGH-YIELD SAVINGS</t>
        </is>
      </c>
      <c r="D308" s="87" t="inlineStr">
        <is>
          <t>Transfer</t>
        </is>
      </c>
      <c r="E308" s="88" t="n">
        <v>-500</v>
      </c>
      <c r="F308" s="89">
        <f>IF(E308="","",IF(OR(D308="",D308="Uncategorized"),IF(E308&lt;0,"Expense","Income"),IFERROR(INDEX(Categories!$B$6:$B$65,MATCH(D308,Categories!$A$6:$A$65,0)),IF(E308&lt;0,"Expense","Income"))))</f>
        <v/>
      </c>
      <c r="G308" s="90">
        <f>IF(A308="","",DATE(YEAR(A308),MONTH(A308),1))</f>
        <v/>
      </c>
      <c r="H308" s="87" t="n"/>
      <c r="I308" s="87" t="n"/>
      <c r="J308" s="91" t="inlineStr">
        <is>
          <t>ONLINE TRANSFER TO HIGH-YIELD SAVINGS</t>
        </is>
      </c>
      <c r="K308" s="91" t="inlineStr">
        <is>
          <t>Sample Bank</t>
        </is>
      </c>
      <c r="L308" s="91" t="inlineStr">
        <is>
          <t>Checking</t>
        </is>
      </c>
      <c r="M308" s="91" t="inlineStr">
        <is>
          <t>Checking_Activity.csv</t>
        </is>
      </c>
      <c r="N308" s="91" t="inlineStr">
        <is>
          <t>2026-10-15 20:14:07</t>
        </is>
      </c>
      <c r="O308" s="91" t="n"/>
      <c r="P308" s="91" t="inlineStr">
        <is>
          <t>EVERYDAY CHECKING|20260405|-50000|ONLINETRANSFERTOHIGHYIELDSAVINGS#1</t>
        </is>
      </c>
      <c r="Q308" s="92">
        <f>IF(AND(G308=RptMonth,F308="Expense",N(E308)&lt;0),-E308+ROW()/10000000,"")</f>
        <v/>
      </c>
    </row>
    <row r="309">
      <c r="A309" s="86" t="n">
        <v>46117</v>
      </c>
      <c r="B309" s="87" t="inlineStr">
        <is>
          <t>High-Yield Savings</t>
        </is>
      </c>
      <c r="C309" s="87" t="inlineStr">
        <is>
          <t>ONLINE TRANSFER FROM EVERYDAY CHECKING</t>
        </is>
      </c>
      <c r="D309" s="87" t="inlineStr">
        <is>
          <t>Transfer</t>
        </is>
      </c>
      <c r="E309" s="88" t="n">
        <v>500</v>
      </c>
      <c r="F309" s="89">
        <f>IF(E309="","",IF(OR(D309="",D309="Uncategorized"),IF(E309&lt;0,"Expense","Income"),IFERROR(INDEX(Categories!$B$6:$B$65,MATCH(D309,Categories!$A$6:$A$65,0)),IF(E309&lt;0,"Expense","Income"))))</f>
        <v/>
      </c>
      <c r="G309" s="90">
        <f>IF(A309="","",DATE(YEAR(A309),MONTH(A309),1))</f>
        <v/>
      </c>
      <c r="H309" s="87" t="n"/>
      <c r="I309" s="87" t="n"/>
      <c r="J309" s="91" t="inlineStr">
        <is>
          <t>ONLINE TRANSFER FROM EVERYDAY CHECKING</t>
        </is>
      </c>
      <c r="K309" s="91" t="inlineStr">
        <is>
          <t>Sample Bank</t>
        </is>
      </c>
      <c r="L309" s="91" t="inlineStr">
        <is>
          <t>Savings</t>
        </is>
      </c>
      <c r="M309" s="91" t="inlineStr">
        <is>
          <t>Savings.qfx</t>
        </is>
      </c>
      <c r="N309" s="91" t="inlineStr">
        <is>
          <t>2026-10-15 20:14:07</t>
        </is>
      </c>
      <c r="O309" s="91" t="inlineStr">
        <is>
          <t>773002026040501</t>
        </is>
      </c>
      <c r="P309" s="91" t="inlineStr">
        <is>
          <t>HIGH-YIELD SAVINGS|ID|773002026040501#1</t>
        </is>
      </c>
      <c r="Q309" s="92">
        <f>IF(AND(G309=RptMonth,F309="Expense",N(E309)&lt;0),-E309+ROW()/10000000,"")</f>
        <v/>
      </c>
    </row>
    <row r="310">
      <c r="A310" s="86" t="n">
        <v>46116</v>
      </c>
      <c r="B310" s="87" t="inlineStr">
        <is>
          <t>Rewards Visa</t>
        </is>
      </c>
      <c r="C310" s="87" t="inlineStr">
        <is>
          <t>WHOLE FOODS MARKET #10312</t>
        </is>
      </c>
      <c r="D310" s="87" t="inlineStr">
        <is>
          <t>Groceries</t>
        </is>
      </c>
      <c r="E310" s="88" t="n">
        <v>-87.22</v>
      </c>
      <c r="F310" s="89">
        <f>IF(E310="","",IF(OR(D310="",D310="Uncategorized"),IF(E310&lt;0,"Expense","Income"),IFERROR(INDEX(Categories!$B$6:$B$65,MATCH(D310,Categories!$A$6:$A$65,0)),IF(E310&lt;0,"Expense","Income"))))</f>
        <v/>
      </c>
      <c r="G310" s="90">
        <f>IF(A310="","",DATE(YEAR(A310),MONTH(A310),1))</f>
        <v/>
      </c>
      <c r="H310" s="87" t="n"/>
      <c r="I310" s="87" t="n"/>
      <c r="J310" s="91" t="inlineStr">
        <is>
          <t>WHOLE FOODS MARKET #10312</t>
        </is>
      </c>
      <c r="K310" s="91" t="inlineStr">
        <is>
          <t>Sample Card Co</t>
        </is>
      </c>
      <c r="L310" s="91" t="inlineStr">
        <is>
          <t>Credit Card</t>
        </is>
      </c>
      <c r="M310" s="91" t="inlineStr">
        <is>
          <t>Visa_Statement.csv</t>
        </is>
      </c>
      <c r="N310" s="91" t="inlineStr">
        <is>
          <t>2026-10-15 20:14:07</t>
        </is>
      </c>
      <c r="O310" s="91" t="n"/>
      <c r="P310" s="91" t="inlineStr">
        <is>
          <t>REWARDS VISA|20260404|-8722|WHOLEFOODSMARKET10312#1</t>
        </is>
      </c>
      <c r="Q310" s="92">
        <f>IF(AND(G310=RptMonth,F310="Expense",N(E310)&lt;0),-E310+ROW()/10000000,"")</f>
        <v/>
      </c>
    </row>
    <row r="311">
      <c r="A311" s="86" t="n">
        <v>46115</v>
      </c>
      <c r="B311" s="87" t="inlineStr">
        <is>
          <t>Everyday Checking</t>
        </is>
      </c>
      <c r="C311" s="87" t="inlineStr">
        <is>
          <t>ACME CORP PAYROLL DIR DEP</t>
        </is>
      </c>
      <c r="D311" s="87" t="inlineStr">
        <is>
          <t>Salary</t>
        </is>
      </c>
      <c r="E311" s="88" t="n">
        <v>3461.07</v>
      </c>
      <c r="F311" s="89">
        <f>IF(E311="","",IF(OR(D311="",D311="Uncategorized"),IF(E311&lt;0,"Expense","Income"),IFERROR(INDEX(Categories!$B$6:$B$65,MATCH(D311,Categories!$A$6:$A$65,0)),IF(E311&lt;0,"Expense","Income"))))</f>
        <v/>
      </c>
      <c r="G311" s="90">
        <f>IF(A311="","",DATE(YEAR(A311),MONTH(A311),1))</f>
        <v/>
      </c>
      <c r="H311" s="87" t="n"/>
      <c r="I311" s="87" t="n"/>
      <c r="J311" s="91" t="inlineStr">
        <is>
          <t>ACME CORP PAYROLL DIR DEP</t>
        </is>
      </c>
      <c r="K311" s="91" t="inlineStr">
        <is>
          <t>Sample Bank</t>
        </is>
      </c>
      <c r="L311" s="91" t="inlineStr">
        <is>
          <t>Checking</t>
        </is>
      </c>
      <c r="M311" s="91" t="inlineStr">
        <is>
          <t>Checking_Activity.csv</t>
        </is>
      </c>
      <c r="N311" s="91" t="inlineStr">
        <is>
          <t>2026-10-15 20:14:07</t>
        </is>
      </c>
      <c r="O311" s="91" t="n"/>
      <c r="P311" s="91" t="inlineStr">
        <is>
          <t>EVERYDAY CHECKING|20260403|346107|ACMECORPPAYROLLDIRDEP#1</t>
        </is>
      </c>
      <c r="Q311" s="92">
        <f>IF(AND(G311=RptMonth,F311="Expense",N(E311)&lt;0),-E311+ROW()/10000000,"")</f>
        <v/>
      </c>
    </row>
    <row r="312">
      <c r="A312" s="86" t="n">
        <v>46115</v>
      </c>
      <c r="B312" s="87" t="inlineStr">
        <is>
          <t>Everyday Checking</t>
        </is>
      </c>
      <c r="C312" s="87" t="inlineStr">
        <is>
          <t>GEICO AUTO INSURANCE</t>
        </is>
      </c>
      <c r="D312" s="87" t="inlineStr">
        <is>
          <t>Insurance</t>
        </is>
      </c>
      <c r="E312" s="88" t="n">
        <v>-142.5</v>
      </c>
      <c r="F312" s="89">
        <f>IF(E312="","",IF(OR(D312="",D312="Uncategorized"),IF(E312&lt;0,"Expense","Income"),IFERROR(INDEX(Categories!$B$6:$B$65,MATCH(D312,Categories!$A$6:$A$65,0)),IF(E312&lt;0,"Expense","Income"))))</f>
        <v/>
      </c>
      <c r="G312" s="90">
        <f>IF(A312="","",DATE(YEAR(A312),MONTH(A312),1))</f>
        <v/>
      </c>
      <c r="H312" s="87" t="n"/>
      <c r="I312" s="87" t="n"/>
      <c r="J312" s="91" t="inlineStr">
        <is>
          <t>GEICO AUTO INSURANCE</t>
        </is>
      </c>
      <c r="K312" s="91" t="inlineStr">
        <is>
          <t>Sample Bank</t>
        </is>
      </c>
      <c r="L312" s="91" t="inlineStr">
        <is>
          <t>Checking</t>
        </is>
      </c>
      <c r="M312" s="91" t="inlineStr">
        <is>
          <t>Checking_Activity.csv</t>
        </is>
      </c>
      <c r="N312" s="91" t="inlineStr">
        <is>
          <t>2026-10-15 20:14:07</t>
        </is>
      </c>
      <c r="O312" s="91" t="n"/>
      <c r="P312" s="91" t="inlineStr">
        <is>
          <t>EVERYDAY CHECKING|20260403|-14250|GEICOAUTOINSURANCE#1</t>
        </is>
      </c>
      <c r="Q312" s="92">
        <f>IF(AND(G312=RptMonth,F312="Expense",N(E312)&lt;0),-E312+ROW()/10000000,"")</f>
        <v/>
      </c>
    </row>
    <row r="313">
      <c r="A313" s="86" t="n">
        <v>46115</v>
      </c>
      <c r="B313" s="87" t="inlineStr">
        <is>
          <t>Rewards Visa</t>
        </is>
      </c>
      <c r="C313" s="87" t="inlineStr">
        <is>
          <t>LOCAL PIZZERIA</t>
        </is>
      </c>
      <c r="D313" s="87" t="inlineStr">
        <is>
          <t>Dining Out</t>
        </is>
      </c>
      <c r="E313" s="88" t="n">
        <v>-46.37</v>
      </c>
      <c r="F313" s="89">
        <f>IF(E313="","",IF(OR(D313="",D313="Uncategorized"),IF(E313&lt;0,"Expense","Income"),IFERROR(INDEX(Categories!$B$6:$B$65,MATCH(D313,Categories!$A$6:$A$65,0)),IF(E313&lt;0,"Expense","Income"))))</f>
        <v/>
      </c>
      <c r="G313" s="90">
        <f>IF(A313="","",DATE(YEAR(A313),MONTH(A313),1))</f>
        <v/>
      </c>
      <c r="H313" s="87" t="n"/>
      <c r="I313" s="87" t="n"/>
      <c r="J313" s="91" t="inlineStr">
        <is>
          <t>LOCAL PIZZERIA</t>
        </is>
      </c>
      <c r="K313" s="91" t="inlineStr">
        <is>
          <t>Sample Card Co</t>
        </is>
      </c>
      <c r="L313" s="91" t="inlineStr">
        <is>
          <t>Credit Card</t>
        </is>
      </c>
      <c r="M313" s="91" t="inlineStr">
        <is>
          <t>Visa_Statement.csv</t>
        </is>
      </c>
      <c r="N313" s="91" t="inlineStr">
        <is>
          <t>2026-10-15 20:14:07</t>
        </is>
      </c>
      <c r="O313" s="91" t="n"/>
      <c r="P313" s="91" t="inlineStr">
        <is>
          <t>REWARDS VISA|20260403|-4637|LOCALPIZZERIA#1</t>
        </is>
      </c>
      <c r="Q313" s="92">
        <f>IF(AND(G313=RptMonth,F313="Expense",N(E313)&lt;0),-E313+ROW()/10000000,"")</f>
        <v/>
      </c>
    </row>
    <row r="314">
      <c r="A314" s="86" t="n">
        <v>46114</v>
      </c>
      <c r="B314" s="87" t="inlineStr">
        <is>
          <t>Rewards Visa</t>
        </is>
      </c>
      <c r="C314" s="87" t="inlineStr">
        <is>
          <t>NETFLIX.COM</t>
        </is>
      </c>
      <c r="D314" s="87" t="inlineStr">
        <is>
          <t>Subscriptions</t>
        </is>
      </c>
      <c r="E314" s="88" t="n">
        <v>-15.49</v>
      </c>
      <c r="F314" s="89">
        <f>IF(E314="","",IF(OR(D314="",D314="Uncategorized"),IF(E314&lt;0,"Expense","Income"),IFERROR(INDEX(Categories!$B$6:$B$65,MATCH(D314,Categories!$A$6:$A$65,0)),IF(E314&lt;0,"Expense","Income"))))</f>
        <v/>
      </c>
      <c r="G314" s="90">
        <f>IF(A314="","",DATE(YEAR(A314),MONTH(A314),1))</f>
        <v/>
      </c>
      <c r="H314" s="87" t="n"/>
      <c r="I314" s="87" t="n"/>
      <c r="J314" s="91" t="inlineStr">
        <is>
          <t>NETFLIX.COM</t>
        </is>
      </c>
      <c r="K314" s="91" t="inlineStr">
        <is>
          <t>Sample Card Co</t>
        </is>
      </c>
      <c r="L314" s="91" t="inlineStr">
        <is>
          <t>Credit Card</t>
        </is>
      </c>
      <c r="M314" s="91" t="inlineStr">
        <is>
          <t>Visa_Statement.csv</t>
        </is>
      </c>
      <c r="N314" s="91" t="inlineStr">
        <is>
          <t>2026-10-15 20:14:07</t>
        </is>
      </c>
      <c r="O314" s="91" t="n"/>
      <c r="P314" s="91" t="inlineStr">
        <is>
          <t>REWARDS VISA|20260402|-1549|NETFLIXCOM#1</t>
        </is>
      </c>
      <c r="Q314" s="92">
        <f>IF(AND(G314=RptMonth,F314="Expense",N(E314)&lt;0),-E314+ROW()/10000000,"")</f>
        <v/>
      </c>
    </row>
    <row r="315">
      <c r="A315" s="86" t="n">
        <v>46113</v>
      </c>
      <c r="B315" s="87" t="inlineStr">
        <is>
          <t>Everyday Checking</t>
        </is>
      </c>
      <c r="C315" s="87" t="inlineStr">
        <is>
          <t>SAMPLE MORTGAGE CO PAYMENT</t>
        </is>
      </c>
      <c r="D315" s="87" t="inlineStr">
        <is>
          <t>Mortgage / Rent</t>
        </is>
      </c>
      <c r="E315" s="88" t="n">
        <v>-2450</v>
      </c>
      <c r="F315" s="89">
        <f>IF(E315="","",IF(OR(D315="",D315="Uncategorized"),IF(E315&lt;0,"Expense","Income"),IFERROR(INDEX(Categories!$B$6:$B$65,MATCH(D315,Categories!$A$6:$A$65,0)),IF(E315&lt;0,"Expense","Income"))))</f>
        <v/>
      </c>
      <c r="G315" s="90">
        <f>IF(A315="","",DATE(YEAR(A315),MONTH(A315),1))</f>
        <v/>
      </c>
      <c r="H315" s="87" t="inlineStr">
        <is>
          <t>Includes escrow for taxes and insurance</t>
        </is>
      </c>
      <c r="I315" s="87" t="n"/>
      <c r="J315" s="91" t="inlineStr">
        <is>
          <t>SAMPLE MORTGAGE CO PAYMENT</t>
        </is>
      </c>
      <c r="K315" s="91" t="inlineStr">
        <is>
          <t>Sample Bank</t>
        </is>
      </c>
      <c r="L315" s="91" t="inlineStr">
        <is>
          <t>Checking</t>
        </is>
      </c>
      <c r="M315" s="91" t="inlineStr">
        <is>
          <t>Checking_Activity.csv</t>
        </is>
      </c>
      <c r="N315" s="91" t="inlineStr">
        <is>
          <t>2026-10-15 20:14:07</t>
        </is>
      </c>
      <c r="O315" s="91" t="n"/>
      <c r="P315" s="91" t="inlineStr">
        <is>
          <t>EVERYDAY CHECKING|20260401|-245000|SAMPLEMORTGAGECOPAYMENT#1</t>
        </is>
      </c>
      <c r="Q315" s="92">
        <f>IF(AND(G315=RptMonth,F315="Expense",N(E315)&lt;0),-E315+ROW()/10000000,"")</f>
        <v/>
      </c>
    </row>
    <row r="316">
      <c r="A316" s="86" t="n">
        <v>46113</v>
      </c>
      <c r="B316" s="87" t="inlineStr">
        <is>
          <t>Home Mortgage</t>
        </is>
      </c>
      <c r="C316" s="87" t="inlineStr">
        <is>
          <t>Payment</t>
        </is>
      </c>
      <c r="D316" s="87" t="inlineStr">
        <is>
          <t>Transfer</t>
        </is>
      </c>
      <c r="E316" s="88" t="n">
        <v>306.28</v>
      </c>
      <c r="F316" s="89">
        <f>IF(E316="","",IF(OR(D316="",D316="Uncategorized"),IF(E316&lt;0,"Expense","Income"),IFERROR(INDEX(Categories!$B$6:$B$65,MATCH(D316,Categories!$A$6:$A$65,0)),IF(E316&lt;0,"Expense","Income"))))</f>
        <v/>
      </c>
      <c r="G316" s="90">
        <f>IF(A316="","",DATE(YEAR(A316),MONTH(A316),1))</f>
        <v/>
      </c>
      <c r="H316" s="87" t="n"/>
      <c r="I316" s="87" t="n"/>
      <c r="J316" s="91" t="inlineStr">
        <is>
          <t>Payment</t>
        </is>
      </c>
      <c r="K316" s="91" t="inlineStr">
        <is>
          <t>Sample Mortgage Co</t>
        </is>
      </c>
      <c r="L316" s="91" t="inlineStr">
        <is>
          <t>Mortgage</t>
        </is>
      </c>
      <c r="M316" s="91" t="inlineStr">
        <is>
          <t>Mortgage_History.xlsx</t>
        </is>
      </c>
      <c r="N316" s="91" t="inlineStr">
        <is>
          <t>2026-10-15 20:14:07</t>
        </is>
      </c>
      <c r="O316" s="91" t="n"/>
      <c r="P316" s="91" t="inlineStr">
        <is>
          <t>HOME MORTGAGE|20260401|30628|PAYMENT#1</t>
        </is>
      </c>
      <c r="Q316" s="92">
        <f>IF(AND(G316=RptMonth,F316="Expense",N(E316)&lt;0),-E316+ROW()/10000000,"")</f>
        <v/>
      </c>
    </row>
    <row r="317">
      <c r="A317" s="86" t="n">
        <v>46113</v>
      </c>
      <c r="B317" s="87" t="inlineStr">
        <is>
          <t>Rewards Visa</t>
        </is>
      </c>
      <c r="C317" s="87" t="inlineStr">
        <is>
          <t>H MART #112</t>
        </is>
      </c>
      <c r="D317" s="87" t="inlineStr">
        <is>
          <t>Groceries</t>
        </is>
      </c>
      <c r="E317" s="88" t="n">
        <v>-32.84</v>
      </c>
      <c r="F317" s="89">
        <f>IF(E317="","",IF(OR(D317="",D317="Uncategorized"),IF(E317&lt;0,"Expense","Income"),IFERROR(INDEX(Categories!$B$6:$B$65,MATCH(D317,Categories!$A$6:$A$65,0)),IF(E317&lt;0,"Expense","Income"))))</f>
        <v/>
      </c>
      <c r="G317" s="90">
        <f>IF(A317="","",DATE(YEAR(A317),MONTH(A317),1))</f>
        <v/>
      </c>
      <c r="H317" s="87" t="n"/>
      <c r="I317" s="87" t="n"/>
      <c r="J317" s="91" t="inlineStr">
        <is>
          <t>H MART #112</t>
        </is>
      </c>
      <c r="K317" s="91" t="inlineStr">
        <is>
          <t>Sample Card Co</t>
        </is>
      </c>
      <c r="L317" s="91" t="inlineStr">
        <is>
          <t>Credit Card</t>
        </is>
      </c>
      <c r="M317" s="91" t="inlineStr">
        <is>
          <t>Visa_Statement.csv</t>
        </is>
      </c>
      <c r="N317" s="91" t="inlineStr">
        <is>
          <t>2026-10-15 20:14:07</t>
        </is>
      </c>
      <c r="O317" s="91" t="n"/>
      <c r="P317" s="91" t="inlineStr">
        <is>
          <t>REWARDS VISA|20260401|-3284|HMART112#1</t>
        </is>
      </c>
      <c r="Q317" s="92">
        <f>IF(AND(G317=RptMonth,F317="Expense",N(E317)&lt;0),-E317+ROW()/10000000,"")</f>
        <v/>
      </c>
    </row>
    <row r="318">
      <c r="A318" s="86" t="n">
        <v>46112</v>
      </c>
      <c r="B318" s="87" t="inlineStr">
        <is>
          <t>Rewards Visa</t>
        </is>
      </c>
      <c r="C318" s="87" t="inlineStr">
        <is>
          <t>SUNOCO 0391</t>
        </is>
      </c>
      <c r="D318" s="87" t="inlineStr">
        <is>
          <t>Gas &amp; Fuel</t>
        </is>
      </c>
      <c r="E318" s="88" t="n">
        <v>-61.2</v>
      </c>
      <c r="F318" s="89">
        <f>IF(E318="","",IF(OR(D318="",D318="Uncategorized"),IF(E318&lt;0,"Expense","Income"),IFERROR(INDEX(Categories!$B$6:$B$65,MATCH(D318,Categories!$A$6:$A$65,0)),IF(E318&lt;0,"Expense","Income"))))</f>
        <v/>
      </c>
      <c r="G318" s="90">
        <f>IF(A318="","",DATE(YEAR(A318),MONTH(A318),1))</f>
        <v/>
      </c>
      <c r="H318" s="87" t="n"/>
      <c r="I318" s="87" t="n"/>
      <c r="J318" s="91" t="inlineStr">
        <is>
          <t>SUNOCO 0391</t>
        </is>
      </c>
      <c r="K318" s="91" t="inlineStr">
        <is>
          <t>Sample Card Co</t>
        </is>
      </c>
      <c r="L318" s="91" t="inlineStr">
        <is>
          <t>Credit Card</t>
        </is>
      </c>
      <c r="M318" s="91" t="inlineStr">
        <is>
          <t>Visa_Statement.csv</t>
        </is>
      </c>
      <c r="N318" s="91" t="inlineStr">
        <is>
          <t>2026-10-15 20:14:07</t>
        </is>
      </c>
      <c r="O318" s="91" t="n"/>
      <c r="P318" s="91" t="inlineStr">
        <is>
          <t>REWARDS VISA|20260331|-6120|SUNOCO0391#1</t>
        </is>
      </c>
      <c r="Q318" s="92">
        <f>IF(AND(G318=RptMonth,F318="Expense",N(E318)&lt;0),-E318+ROW()/10000000,"")</f>
        <v/>
      </c>
    </row>
    <row r="319">
      <c r="A319" s="86" t="n">
        <v>46109</v>
      </c>
      <c r="B319" s="87" t="inlineStr">
        <is>
          <t>High-Yield Savings</t>
        </is>
      </c>
      <c r="C319" s="87" t="inlineStr">
        <is>
          <t>INTEREST PAYMENT</t>
        </is>
      </c>
      <c r="D319" s="87" t="inlineStr">
        <is>
          <t>Interest &amp; Dividends</t>
        </is>
      </c>
      <c r="E319" s="88" t="n">
        <v>48.7</v>
      </c>
      <c r="F319" s="89">
        <f>IF(E319="","",IF(OR(D319="",D319="Uncategorized"),IF(E319&lt;0,"Expense","Income"),IFERROR(INDEX(Categories!$B$6:$B$65,MATCH(D319,Categories!$A$6:$A$65,0)),IF(E319&lt;0,"Expense","Income"))))</f>
        <v/>
      </c>
      <c r="G319" s="90">
        <f>IF(A319="","",DATE(YEAR(A319),MONTH(A319),1))</f>
        <v/>
      </c>
      <c r="H319" s="87" t="n"/>
      <c r="I319" s="87" t="n"/>
      <c r="J319" s="91" t="inlineStr">
        <is>
          <t>INTEREST PAYMENT</t>
        </is>
      </c>
      <c r="K319" s="91" t="inlineStr">
        <is>
          <t>Sample Bank</t>
        </is>
      </c>
      <c r="L319" s="91" t="inlineStr">
        <is>
          <t>Savings</t>
        </is>
      </c>
      <c r="M319" s="91" t="inlineStr">
        <is>
          <t>Savings.qfx</t>
        </is>
      </c>
      <c r="N319" s="91" t="inlineStr">
        <is>
          <t>2026-10-15 20:14:07</t>
        </is>
      </c>
      <c r="O319" s="91" t="inlineStr">
        <is>
          <t>773002026032801</t>
        </is>
      </c>
      <c r="P319" s="91" t="inlineStr">
        <is>
          <t>HIGH-YIELD SAVINGS|ID|773002026032801#1</t>
        </is>
      </c>
      <c r="Q319" s="92">
        <f>IF(AND(G319=RptMonth,F319="Expense",N(E319)&lt;0),-E319+ROW()/10000000,"")</f>
        <v/>
      </c>
    </row>
    <row r="320">
      <c r="A320" s="86" t="n">
        <v>46109</v>
      </c>
      <c r="B320" s="87" t="inlineStr">
        <is>
          <t>Rewards Visa</t>
        </is>
      </c>
      <c r="C320" s="87" t="inlineStr">
        <is>
          <t>SHOPRITE #0234</t>
        </is>
      </c>
      <c r="D320" s="87" t="inlineStr">
        <is>
          <t>Groceries</t>
        </is>
      </c>
      <c r="E320" s="88" t="n">
        <v>-169.25</v>
      </c>
      <c r="F320" s="89">
        <f>IF(E320="","",IF(OR(D320="",D320="Uncategorized"),IF(E320&lt;0,"Expense","Income"),IFERROR(INDEX(Categories!$B$6:$B$65,MATCH(D320,Categories!$A$6:$A$65,0)),IF(E320&lt;0,"Expense","Income"))))</f>
        <v/>
      </c>
      <c r="G320" s="90">
        <f>IF(A320="","",DATE(YEAR(A320),MONTH(A320),1))</f>
        <v/>
      </c>
      <c r="H320" s="87" t="n"/>
      <c r="I320" s="87" t="n"/>
      <c r="J320" s="91" t="inlineStr">
        <is>
          <t>SHOPRITE #0234</t>
        </is>
      </c>
      <c r="K320" s="91" t="inlineStr">
        <is>
          <t>Sample Card Co</t>
        </is>
      </c>
      <c r="L320" s="91" t="inlineStr">
        <is>
          <t>Credit Card</t>
        </is>
      </c>
      <c r="M320" s="91" t="inlineStr">
        <is>
          <t>Visa_Statement.csv</t>
        </is>
      </c>
      <c r="N320" s="91" t="inlineStr">
        <is>
          <t>2026-10-15 20:14:07</t>
        </is>
      </c>
      <c r="O320" s="91" t="n"/>
      <c r="P320" s="91" t="inlineStr">
        <is>
          <t>REWARDS VISA|20260328|-16925|SHOPRITE0234#1</t>
        </is>
      </c>
      <c r="Q320" s="92">
        <f>IF(AND(G320=RptMonth,F320="Expense",N(E320)&lt;0),-E320+ROW()/10000000,"")</f>
        <v/>
      </c>
    </row>
    <row r="321">
      <c r="A321" s="86" t="n">
        <v>46109</v>
      </c>
      <c r="B321" s="87" t="inlineStr">
        <is>
          <t>Rewards Visa</t>
        </is>
      </c>
      <c r="C321" s="87" t="inlineStr">
        <is>
          <t>SUSHI KOO</t>
        </is>
      </c>
      <c r="D321" s="87" t="inlineStr">
        <is>
          <t>Dining Out</t>
        </is>
      </c>
      <c r="E321" s="88" t="n">
        <v>-34.51</v>
      </c>
      <c r="F321" s="89">
        <f>IF(E321="","",IF(OR(D321="",D321="Uncategorized"),IF(E321&lt;0,"Expense","Income"),IFERROR(INDEX(Categories!$B$6:$B$65,MATCH(D321,Categories!$A$6:$A$65,0)),IF(E321&lt;0,"Expense","Income"))))</f>
        <v/>
      </c>
      <c r="G321" s="90">
        <f>IF(A321="","",DATE(YEAR(A321),MONTH(A321),1))</f>
        <v/>
      </c>
      <c r="H321" s="87" t="n"/>
      <c r="I321" s="87" t="n"/>
      <c r="J321" s="91" t="inlineStr">
        <is>
          <t>SUSHI KOO</t>
        </is>
      </c>
      <c r="K321" s="91" t="inlineStr">
        <is>
          <t>Sample Card Co</t>
        </is>
      </c>
      <c r="L321" s="91" t="inlineStr">
        <is>
          <t>Credit Card</t>
        </is>
      </c>
      <c r="M321" s="91" t="inlineStr">
        <is>
          <t>Visa_Statement.csv</t>
        </is>
      </c>
      <c r="N321" s="91" t="inlineStr">
        <is>
          <t>2026-10-15 20:14:07</t>
        </is>
      </c>
      <c r="O321" s="91" t="n"/>
      <c r="P321" s="91" t="inlineStr">
        <is>
          <t>REWARDS VISA|20260328|-3451|SUSHIKOO#1</t>
        </is>
      </c>
      <c r="Q321" s="92">
        <f>IF(AND(G321=RptMonth,F321="Expense",N(E321)&lt;0),-E321+ROW()/10000000,"")</f>
        <v/>
      </c>
    </row>
    <row r="322">
      <c r="A322" s="86" t="n">
        <v>46108</v>
      </c>
      <c r="B322" s="87" t="inlineStr">
        <is>
          <t>Rewards Visa</t>
        </is>
      </c>
      <c r="C322" s="87" t="inlineStr">
        <is>
          <t>AMAZON.COM*2K4LP0</t>
        </is>
      </c>
      <c r="D322" s="87" t="inlineStr">
        <is>
          <t>Shopping</t>
        </is>
      </c>
      <c r="E322" s="88" t="n">
        <v>-54.24</v>
      </c>
      <c r="F322" s="89">
        <f>IF(E322="","",IF(OR(D322="",D322="Uncategorized"),IF(E322&lt;0,"Expense","Income"),IFERROR(INDEX(Categories!$B$6:$B$65,MATCH(D322,Categories!$A$6:$A$65,0)),IF(E322&lt;0,"Expense","Income"))))</f>
        <v/>
      </c>
      <c r="G322" s="90">
        <f>IF(A322="","",DATE(YEAR(A322),MONTH(A322),1))</f>
        <v/>
      </c>
      <c r="H322" s="87" t="n"/>
      <c r="I322" s="87" t="n"/>
      <c r="J322" s="91" t="inlineStr">
        <is>
          <t>AMAZON.COM*2K4LP0</t>
        </is>
      </c>
      <c r="K322" s="91" t="inlineStr">
        <is>
          <t>Sample Card Co</t>
        </is>
      </c>
      <c r="L322" s="91" t="inlineStr">
        <is>
          <t>Credit Card</t>
        </is>
      </c>
      <c r="M322" s="91" t="inlineStr">
        <is>
          <t>Visa_Statement.csv</t>
        </is>
      </c>
      <c r="N322" s="91" t="inlineStr">
        <is>
          <t>2026-10-15 20:14:07</t>
        </is>
      </c>
      <c r="O322" s="91" t="n"/>
      <c r="P322" s="91" t="inlineStr">
        <is>
          <t>REWARDS VISA|20260327|-5424|AMAZONCOM2K4LP0#1</t>
        </is>
      </c>
      <c r="Q322" s="92">
        <f>IF(AND(G322=RptMonth,F322="Expense",N(E322)&lt;0),-E322+ROW()/10000000,"")</f>
        <v/>
      </c>
    </row>
    <row r="323">
      <c r="A323" s="86" t="n">
        <v>46107</v>
      </c>
      <c r="B323" s="87" t="inlineStr">
        <is>
          <t>Rewards Visa</t>
        </is>
      </c>
      <c r="C323" s="87" t="inlineStr">
        <is>
          <t>CHIPOTLE 2291</t>
        </is>
      </c>
      <c r="D323" s="87" t="inlineStr">
        <is>
          <t>Dining Out</t>
        </is>
      </c>
      <c r="E323" s="88" t="n">
        <v>-14.46</v>
      </c>
      <c r="F323" s="89">
        <f>IF(E323="","",IF(OR(D323="",D323="Uncategorized"),IF(E323&lt;0,"Expense","Income"),IFERROR(INDEX(Categories!$B$6:$B$65,MATCH(D323,Categories!$A$6:$A$65,0)),IF(E323&lt;0,"Expense","Income"))))</f>
        <v/>
      </c>
      <c r="G323" s="90">
        <f>IF(A323="","",DATE(YEAR(A323),MONTH(A323),1))</f>
        <v/>
      </c>
      <c r="H323" s="87" t="n"/>
      <c r="I323" s="87" t="n"/>
      <c r="J323" s="91" t="inlineStr">
        <is>
          <t>CHIPOTLE 2291</t>
        </is>
      </c>
      <c r="K323" s="91" t="inlineStr">
        <is>
          <t>Sample Card Co</t>
        </is>
      </c>
      <c r="L323" s="91" t="inlineStr">
        <is>
          <t>Credit Card</t>
        </is>
      </c>
      <c r="M323" s="91" t="inlineStr">
        <is>
          <t>Visa_Statement.csv</t>
        </is>
      </c>
      <c r="N323" s="91" t="inlineStr">
        <is>
          <t>2026-10-15 20:14:07</t>
        </is>
      </c>
      <c r="O323" s="91" t="n"/>
      <c r="P323" s="91" t="inlineStr">
        <is>
          <t>REWARDS VISA|20260326|-1446|CHIPOTLE2291#1</t>
        </is>
      </c>
      <c r="Q323" s="92">
        <f>IF(AND(G323=RptMonth,F323="Expense",N(E323)&lt;0),-E323+ROW()/10000000,"")</f>
        <v/>
      </c>
    </row>
    <row r="324">
      <c r="A324" s="86" t="n">
        <v>46106</v>
      </c>
      <c r="B324" s="87" t="inlineStr">
        <is>
          <t>Rewards Visa</t>
        </is>
      </c>
      <c r="C324" s="87" t="inlineStr">
        <is>
          <t>TICKETMASTER</t>
        </is>
      </c>
      <c r="D324" s="87" t="inlineStr">
        <is>
          <t>Entertainment</t>
        </is>
      </c>
      <c r="E324" s="88" t="n">
        <v>-94.47</v>
      </c>
      <c r="F324" s="89">
        <f>IF(E324="","",IF(OR(D324="",D324="Uncategorized"),IF(E324&lt;0,"Expense","Income"),IFERROR(INDEX(Categories!$B$6:$B$65,MATCH(D324,Categories!$A$6:$A$65,0)),IF(E324&lt;0,"Expense","Income"))))</f>
        <v/>
      </c>
      <c r="G324" s="90">
        <f>IF(A324="","",DATE(YEAR(A324),MONTH(A324),1))</f>
        <v/>
      </c>
      <c r="H324" s="87" t="n"/>
      <c r="I324" s="87" t="n"/>
      <c r="J324" s="91" t="inlineStr">
        <is>
          <t>TICKETMASTER</t>
        </is>
      </c>
      <c r="K324" s="91" t="inlineStr">
        <is>
          <t>Sample Card Co</t>
        </is>
      </c>
      <c r="L324" s="91" t="inlineStr">
        <is>
          <t>Credit Card</t>
        </is>
      </c>
      <c r="M324" s="91" t="inlineStr">
        <is>
          <t>Visa_Statement.csv</t>
        </is>
      </c>
      <c r="N324" s="91" t="inlineStr">
        <is>
          <t>2026-10-15 20:14:07</t>
        </is>
      </c>
      <c r="O324" s="91" t="n"/>
      <c r="P324" s="91" t="inlineStr">
        <is>
          <t>REWARDS VISA|20260325|-9447|TICKETMASTER#1</t>
        </is>
      </c>
      <c r="Q324" s="92">
        <f>IF(AND(G324=RptMonth,F324="Expense",N(E324)&lt;0),-E324+ROW()/10000000,"")</f>
        <v/>
      </c>
    </row>
    <row r="325">
      <c r="A325" s="86" t="n">
        <v>46106</v>
      </c>
      <c r="B325" s="87" t="inlineStr">
        <is>
          <t>Rewards Visa</t>
        </is>
      </c>
      <c r="C325" s="87" t="inlineStr">
        <is>
          <t>TRADER JOE'S #548</t>
        </is>
      </c>
      <c r="D325" s="87" t="inlineStr">
        <is>
          <t>Groceries</t>
        </is>
      </c>
      <c r="E325" s="88" t="n">
        <v>-58.46</v>
      </c>
      <c r="F325" s="89">
        <f>IF(E325="","",IF(OR(D325="",D325="Uncategorized"),IF(E325&lt;0,"Expense","Income"),IFERROR(INDEX(Categories!$B$6:$B$65,MATCH(D325,Categories!$A$6:$A$65,0)),IF(E325&lt;0,"Expense","Income"))))</f>
        <v/>
      </c>
      <c r="G325" s="90">
        <f>IF(A325="","",DATE(YEAR(A325),MONTH(A325),1))</f>
        <v/>
      </c>
      <c r="H325" s="87" t="n"/>
      <c r="I325" s="87" t="n"/>
      <c r="J325" s="91" t="inlineStr">
        <is>
          <t>TRADER JOE'S #548</t>
        </is>
      </c>
      <c r="K325" s="91" t="inlineStr">
        <is>
          <t>Sample Card Co</t>
        </is>
      </c>
      <c r="L325" s="91" t="inlineStr">
        <is>
          <t>Credit Card</t>
        </is>
      </c>
      <c r="M325" s="91" t="inlineStr">
        <is>
          <t>Visa_Statement.csv</t>
        </is>
      </c>
      <c r="N325" s="91" t="inlineStr">
        <is>
          <t>2026-10-15 20:14:07</t>
        </is>
      </c>
      <c r="O325" s="91" t="n"/>
      <c r="P325" s="91" t="inlineStr">
        <is>
          <t>REWARDS VISA|20260325|-5846|TRADERJOES548#1</t>
        </is>
      </c>
      <c r="Q325" s="92">
        <f>IF(AND(G325=RptMonth,F325="Expense",N(E325)&lt;0),-E325+ROW()/10000000,"")</f>
        <v/>
      </c>
    </row>
    <row r="326">
      <c r="A326" s="86" t="n">
        <v>46105</v>
      </c>
      <c r="B326" s="87" t="inlineStr">
        <is>
          <t>Rewards Visa</t>
        </is>
      </c>
      <c r="C326" s="87" t="inlineStr">
        <is>
          <t>CVS/PHARMACY #02210</t>
        </is>
      </c>
      <c r="D326" s="87" t="inlineStr">
        <is>
          <t>Shopping</t>
        </is>
      </c>
      <c r="E326" s="88" t="n">
        <v>-16.74</v>
      </c>
      <c r="F326" s="89">
        <f>IF(E326="","",IF(OR(D326="",D326="Uncategorized"),IF(E326&lt;0,"Expense","Income"),IFERROR(INDEX(Categories!$B$6:$B$65,MATCH(D326,Categories!$A$6:$A$65,0)),IF(E326&lt;0,"Expense","Income"))))</f>
        <v/>
      </c>
      <c r="G326" s="90">
        <f>IF(A326="","",DATE(YEAR(A326),MONTH(A326),1))</f>
        <v/>
      </c>
      <c r="H326" s="87" t="n"/>
      <c r="I326" s="87" t="n"/>
      <c r="J326" s="91" t="inlineStr">
        <is>
          <t>CVS/PHARMACY #02210</t>
        </is>
      </c>
      <c r="K326" s="91" t="inlineStr">
        <is>
          <t>Sample Card Co</t>
        </is>
      </c>
      <c r="L326" s="91" t="inlineStr">
        <is>
          <t>Credit Card</t>
        </is>
      </c>
      <c r="M326" s="91" t="inlineStr">
        <is>
          <t>Visa_Statement.csv</t>
        </is>
      </c>
      <c r="N326" s="91" t="inlineStr">
        <is>
          <t>2026-10-15 20:14:07</t>
        </is>
      </c>
      <c r="O326" s="91" t="n"/>
      <c r="P326" s="91" t="inlineStr">
        <is>
          <t>REWARDS VISA|20260324|-1674|CVSPHARMACY02210#1</t>
        </is>
      </c>
      <c r="Q326" s="92">
        <f>IF(AND(G326=RptMonth,F326="Expense",N(E326)&lt;0),-E326+ROW()/10000000,"")</f>
        <v/>
      </c>
    </row>
    <row r="327">
      <c r="A327" s="86" t="n">
        <v>46105</v>
      </c>
      <c r="B327" s="87" t="inlineStr">
        <is>
          <t>Rewards Visa</t>
        </is>
      </c>
      <c r="C327" s="87" t="inlineStr">
        <is>
          <t>EXXONMOBIL 4471</t>
        </is>
      </c>
      <c r="D327" s="87" t="inlineStr">
        <is>
          <t>Gas &amp; Fuel</t>
        </is>
      </c>
      <c r="E327" s="88" t="n">
        <v>-50.41</v>
      </c>
      <c r="F327" s="89">
        <f>IF(E327="","",IF(OR(D327="",D327="Uncategorized"),IF(E327&lt;0,"Expense","Income"),IFERROR(INDEX(Categories!$B$6:$B$65,MATCH(D327,Categories!$A$6:$A$65,0)),IF(E327&lt;0,"Expense","Income"))))</f>
        <v/>
      </c>
      <c r="G327" s="90">
        <f>IF(A327="","",DATE(YEAR(A327),MONTH(A327),1))</f>
        <v/>
      </c>
      <c r="H327" s="87" t="n"/>
      <c r="I327" s="87" t="n"/>
      <c r="J327" s="91" t="inlineStr">
        <is>
          <t>EXXONMOBIL 4471</t>
        </is>
      </c>
      <c r="K327" s="91" t="inlineStr">
        <is>
          <t>Sample Card Co</t>
        </is>
      </c>
      <c r="L327" s="91" t="inlineStr">
        <is>
          <t>Credit Card</t>
        </is>
      </c>
      <c r="M327" s="91" t="inlineStr">
        <is>
          <t>Visa_Statement.csv</t>
        </is>
      </c>
      <c r="N327" s="91" t="inlineStr">
        <is>
          <t>2026-10-15 20:14:07</t>
        </is>
      </c>
      <c r="O327" s="91" t="n"/>
      <c r="P327" s="91" t="inlineStr">
        <is>
          <t>REWARDS VISA|20260324|-5041|EXXONMOBIL4471#1</t>
        </is>
      </c>
      <c r="Q327" s="92">
        <f>IF(AND(G327=RptMonth,F327="Expense",N(E327)&lt;0),-E327+ROW()/10000000,"")</f>
        <v/>
      </c>
    </row>
    <row r="328">
      <c r="A328" s="86" t="n">
        <v>46104</v>
      </c>
      <c r="B328" s="87" t="inlineStr">
        <is>
          <t>Rewards Visa</t>
        </is>
      </c>
      <c r="C328" s="87" t="inlineStr">
        <is>
          <t>STARBUCKS STORE 08123</t>
        </is>
      </c>
      <c r="D328" s="87" t="inlineStr">
        <is>
          <t>Dining Out</t>
        </is>
      </c>
      <c r="E328" s="88" t="n">
        <v>-32.41</v>
      </c>
      <c r="F328" s="89">
        <f>IF(E328="","",IF(OR(D328="",D328="Uncategorized"),IF(E328&lt;0,"Expense","Income"),IFERROR(INDEX(Categories!$B$6:$B$65,MATCH(D328,Categories!$A$6:$A$65,0)),IF(E328&lt;0,"Expense","Income"))))</f>
        <v/>
      </c>
      <c r="G328" s="90">
        <f>IF(A328="","",DATE(YEAR(A328),MONTH(A328),1))</f>
        <v/>
      </c>
      <c r="H328" s="87" t="n"/>
      <c r="I328" s="87" t="n"/>
      <c r="J328" s="91" t="inlineStr">
        <is>
          <t>STARBUCKS STORE 08123</t>
        </is>
      </c>
      <c r="K328" s="91" t="inlineStr">
        <is>
          <t>Sample Card Co</t>
        </is>
      </c>
      <c r="L328" s="91" t="inlineStr">
        <is>
          <t>Credit Card</t>
        </is>
      </c>
      <c r="M328" s="91" t="inlineStr">
        <is>
          <t>Visa_Statement.csv</t>
        </is>
      </c>
      <c r="N328" s="91" t="inlineStr">
        <is>
          <t>2026-10-15 20:14:07</t>
        </is>
      </c>
      <c r="O328" s="91" t="n"/>
      <c r="P328" s="91" t="inlineStr">
        <is>
          <t>REWARDS VISA|20260323|-3241|STARBUCKSSTORE08123#1</t>
        </is>
      </c>
      <c r="Q328" s="92">
        <f>IF(AND(G328=RptMonth,F328="Expense",N(E328)&lt;0),-E328+ROW()/10000000,"")</f>
        <v/>
      </c>
    </row>
    <row r="329">
      <c r="A329" s="86" t="n">
        <v>46103</v>
      </c>
      <c r="B329" s="87" t="inlineStr">
        <is>
          <t>Everyday Checking</t>
        </is>
      </c>
      <c r="C329" s="87" t="inlineStr">
        <is>
          <t>ATM WITHDRAWAL 1234 MAIN ST</t>
        </is>
      </c>
      <c r="D329" s="87" t="inlineStr">
        <is>
          <t>Cash &amp; ATM</t>
        </is>
      </c>
      <c r="E329" s="88" t="n">
        <v>-60</v>
      </c>
      <c r="F329" s="89">
        <f>IF(E329="","",IF(OR(D329="",D329="Uncategorized"),IF(E329&lt;0,"Expense","Income"),IFERROR(INDEX(Categories!$B$6:$B$65,MATCH(D329,Categories!$A$6:$A$65,0)),IF(E329&lt;0,"Expense","Income"))))</f>
        <v/>
      </c>
      <c r="G329" s="90">
        <f>IF(A329="","",DATE(YEAR(A329),MONTH(A329),1))</f>
        <v/>
      </c>
      <c r="H329" s="87" t="n"/>
      <c r="I329" s="87" t="n"/>
      <c r="J329" s="91" t="inlineStr">
        <is>
          <t>ATM WITHDRAWAL 1234 MAIN ST</t>
        </is>
      </c>
      <c r="K329" s="91" t="inlineStr">
        <is>
          <t>Sample Bank</t>
        </is>
      </c>
      <c r="L329" s="91" t="inlineStr">
        <is>
          <t>Checking</t>
        </is>
      </c>
      <c r="M329" s="91" t="inlineStr">
        <is>
          <t>Checking_Activity.csv</t>
        </is>
      </c>
      <c r="N329" s="91" t="inlineStr">
        <is>
          <t>2026-10-15 20:14:07</t>
        </is>
      </c>
      <c r="O329" s="91" t="n"/>
      <c r="P329" s="91" t="inlineStr">
        <is>
          <t>EVERYDAY CHECKING|20260322|-6000|ATMWITHDRAWAL1234MAINST#1</t>
        </is>
      </c>
      <c r="Q329" s="92">
        <f>IF(AND(G329=RptMonth,F329="Expense",N(E329)&lt;0),-E329+ROW()/10000000,"")</f>
        <v/>
      </c>
    </row>
    <row r="330">
      <c r="A330" s="86" t="n">
        <v>46102</v>
      </c>
      <c r="B330" s="87" t="inlineStr">
        <is>
          <t>Rewards Visa</t>
        </is>
      </c>
      <c r="C330" s="87" t="inlineStr">
        <is>
          <t>GREAT CLIPS #4410</t>
        </is>
      </c>
      <c r="D330" s="87" t="inlineStr">
        <is>
          <t>Personal Care</t>
        </is>
      </c>
      <c r="E330" s="88" t="n">
        <v>-27.03</v>
      </c>
      <c r="F330" s="89">
        <f>IF(E330="","",IF(OR(D330="",D330="Uncategorized"),IF(E330&lt;0,"Expense","Income"),IFERROR(INDEX(Categories!$B$6:$B$65,MATCH(D330,Categories!$A$6:$A$65,0)),IF(E330&lt;0,"Expense","Income"))))</f>
        <v/>
      </c>
      <c r="G330" s="90">
        <f>IF(A330="","",DATE(YEAR(A330),MONTH(A330),1))</f>
        <v/>
      </c>
      <c r="H330" s="87" t="n"/>
      <c r="I330" s="87" t="n"/>
      <c r="J330" s="91" t="inlineStr">
        <is>
          <t>GREAT CLIPS #4410</t>
        </is>
      </c>
      <c r="K330" s="91" t="inlineStr">
        <is>
          <t>Sample Card Co</t>
        </is>
      </c>
      <c r="L330" s="91" t="inlineStr">
        <is>
          <t>Credit Card</t>
        </is>
      </c>
      <c r="M330" s="91" t="inlineStr">
        <is>
          <t>Visa_Statement.csv</t>
        </is>
      </c>
      <c r="N330" s="91" t="inlineStr">
        <is>
          <t>2026-10-15 20:14:07</t>
        </is>
      </c>
      <c r="O330" s="91" t="n"/>
      <c r="P330" s="91" t="inlineStr">
        <is>
          <t>REWARDS VISA|20260321|-2703|GREATCLIPS4410#1</t>
        </is>
      </c>
      <c r="Q330" s="92">
        <f>IF(AND(G330=RptMonth,F330="Expense",N(E330)&lt;0),-E330+ROW()/10000000,"")</f>
        <v/>
      </c>
    </row>
    <row r="331">
      <c r="A331" s="86" t="n">
        <v>46102</v>
      </c>
      <c r="B331" s="87" t="inlineStr">
        <is>
          <t>Rewards Visa</t>
        </is>
      </c>
      <c r="C331" s="87" t="inlineStr">
        <is>
          <t>TRADER JOE'S #548</t>
        </is>
      </c>
      <c r="D331" s="87" t="inlineStr">
        <is>
          <t>Groceries</t>
        </is>
      </c>
      <c r="E331" s="88" t="n">
        <v>-107.5</v>
      </c>
      <c r="F331" s="89">
        <f>IF(E331="","",IF(OR(D331="",D331="Uncategorized"),IF(E331&lt;0,"Expense","Income"),IFERROR(INDEX(Categories!$B$6:$B$65,MATCH(D331,Categories!$A$6:$A$65,0)),IF(E331&lt;0,"Expense","Income"))))</f>
        <v/>
      </c>
      <c r="G331" s="90">
        <f>IF(A331="","",DATE(YEAR(A331),MONTH(A331),1))</f>
        <v/>
      </c>
      <c r="H331" s="87" t="n"/>
      <c r="I331" s="87" t="n"/>
      <c r="J331" s="91" t="inlineStr">
        <is>
          <t>TRADER JOE'S #548</t>
        </is>
      </c>
      <c r="K331" s="91" t="inlineStr">
        <is>
          <t>Sample Card Co</t>
        </is>
      </c>
      <c r="L331" s="91" t="inlineStr">
        <is>
          <t>Credit Card</t>
        </is>
      </c>
      <c r="M331" s="91" t="inlineStr">
        <is>
          <t>Visa_Statement.csv</t>
        </is>
      </c>
      <c r="N331" s="91" t="inlineStr">
        <is>
          <t>2026-10-15 20:14:07</t>
        </is>
      </c>
      <c r="O331" s="91" t="n"/>
      <c r="P331" s="91" t="inlineStr">
        <is>
          <t>REWARDS VISA|20260321|-10750|TRADERJOES548#1</t>
        </is>
      </c>
      <c r="Q331" s="92">
        <f>IF(AND(G331=RptMonth,F331="Expense",N(E331)&lt;0),-E331+ROW()/10000000,"")</f>
        <v/>
      </c>
    </row>
    <row r="332">
      <c r="A332" s="86" t="n">
        <v>46101</v>
      </c>
      <c r="B332" s="87" t="inlineStr">
        <is>
          <t>Everyday Checking</t>
        </is>
      </c>
      <c r="C332" s="87" t="inlineStr">
        <is>
          <t>ACME CORP PAYROLL DIR DEP</t>
        </is>
      </c>
      <c r="D332" s="87" t="inlineStr">
        <is>
          <t>Salary</t>
        </is>
      </c>
      <c r="E332" s="88" t="n">
        <v>3352.18</v>
      </c>
      <c r="F332" s="89">
        <f>IF(E332="","",IF(OR(D332="",D332="Uncategorized"),IF(E332&lt;0,"Expense","Income"),IFERROR(INDEX(Categories!$B$6:$B$65,MATCH(D332,Categories!$A$6:$A$65,0)),IF(E332&lt;0,"Expense","Income"))))</f>
        <v/>
      </c>
      <c r="G332" s="90">
        <f>IF(A332="","",DATE(YEAR(A332),MONTH(A332),1))</f>
        <v/>
      </c>
      <c r="H332" s="87" t="n"/>
      <c r="I332" s="87" t="n"/>
      <c r="J332" s="91" t="inlineStr">
        <is>
          <t>ACME CORP PAYROLL DIR DEP</t>
        </is>
      </c>
      <c r="K332" s="91" t="inlineStr">
        <is>
          <t>Sample Bank</t>
        </is>
      </c>
      <c r="L332" s="91" t="inlineStr">
        <is>
          <t>Checking</t>
        </is>
      </c>
      <c r="M332" s="91" t="inlineStr">
        <is>
          <t>Checking_Activity.csv</t>
        </is>
      </c>
      <c r="N332" s="91" t="inlineStr">
        <is>
          <t>2026-10-15 20:14:07</t>
        </is>
      </c>
      <c r="O332" s="91" t="n"/>
      <c r="P332" s="91" t="inlineStr">
        <is>
          <t>EVERYDAY CHECKING|20260320|335218|ACMECORPPAYROLLDIRDEP#1</t>
        </is>
      </c>
      <c r="Q332" s="92">
        <f>IF(AND(G332=RptMonth,F332="Expense",N(E332)&lt;0),-E332+ROW()/10000000,"")</f>
        <v/>
      </c>
    </row>
    <row r="333">
      <c r="A333" s="86" t="n">
        <v>46101</v>
      </c>
      <c r="B333" s="87" t="inlineStr">
        <is>
          <t>Everyday Checking</t>
        </is>
      </c>
      <c r="C333" s="87" t="inlineStr">
        <is>
          <t>CREDIT CARD PAYMENT REWARDS VISA</t>
        </is>
      </c>
      <c r="D333" s="87" t="inlineStr">
        <is>
          <t>Credit Card Payment</t>
        </is>
      </c>
      <c r="E333" s="88" t="n">
        <v>-1613.27</v>
      </c>
      <c r="F333" s="89">
        <f>IF(E333="","",IF(OR(D333="",D333="Uncategorized"),IF(E333&lt;0,"Expense","Income"),IFERROR(INDEX(Categories!$B$6:$B$65,MATCH(D333,Categories!$A$6:$A$65,0)),IF(E333&lt;0,"Expense","Income"))))</f>
        <v/>
      </c>
      <c r="G333" s="90">
        <f>IF(A333="","",DATE(YEAR(A333),MONTH(A333),1))</f>
        <v/>
      </c>
      <c r="H333" s="87" t="n"/>
      <c r="I333" s="87" t="n"/>
      <c r="J333" s="91" t="inlineStr">
        <is>
          <t>CREDIT CARD PAYMENT REWARDS VISA</t>
        </is>
      </c>
      <c r="K333" s="91" t="inlineStr">
        <is>
          <t>Sample Bank</t>
        </is>
      </c>
      <c r="L333" s="91" t="inlineStr">
        <is>
          <t>Checking</t>
        </is>
      </c>
      <c r="M333" s="91" t="inlineStr">
        <is>
          <t>Checking_Activity.csv</t>
        </is>
      </c>
      <c r="N333" s="91" t="inlineStr">
        <is>
          <t>2026-10-15 20:14:07</t>
        </is>
      </c>
      <c r="O333" s="91" t="n"/>
      <c r="P333" s="91" t="inlineStr">
        <is>
          <t>EVERYDAY CHECKING|20260320|-161327|CREDITCARDPAYMENTREWARDSVISA#1</t>
        </is>
      </c>
      <c r="Q333" s="92">
        <f>IF(AND(G333=RptMonth,F333="Expense",N(E333)&lt;0),-E333+ROW()/10000000,"")</f>
        <v/>
      </c>
    </row>
    <row r="334">
      <c r="A334" s="86" t="n">
        <v>46101</v>
      </c>
      <c r="B334" s="87" t="inlineStr">
        <is>
          <t>Rewards Visa</t>
        </is>
      </c>
      <c r="C334" s="87" t="inlineStr">
        <is>
          <t>PAYMENT THANK YOU</t>
        </is>
      </c>
      <c r="D334" s="87" t="inlineStr">
        <is>
          <t>Credit Card Payment</t>
        </is>
      </c>
      <c r="E334" s="88" t="n">
        <v>1613.27</v>
      </c>
      <c r="F334" s="89">
        <f>IF(E334="","",IF(OR(D334="",D334="Uncategorized"),IF(E334&lt;0,"Expense","Income"),IFERROR(INDEX(Categories!$B$6:$B$65,MATCH(D334,Categories!$A$6:$A$65,0)),IF(E334&lt;0,"Expense","Income"))))</f>
        <v/>
      </c>
      <c r="G334" s="90">
        <f>IF(A334="","",DATE(YEAR(A334),MONTH(A334),1))</f>
        <v/>
      </c>
      <c r="H334" s="87" t="n"/>
      <c r="I334" s="87" t="n"/>
      <c r="J334" s="91" t="inlineStr">
        <is>
          <t>PAYMENT THANK YOU</t>
        </is>
      </c>
      <c r="K334" s="91" t="inlineStr">
        <is>
          <t>Sample Card Co</t>
        </is>
      </c>
      <c r="L334" s="91" t="inlineStr">
        <is>
          <t>Credit Card</t>
        </is>
      </c>
      <c r="M334" s="91" t="inlineStr">
        <is>
          <t>Visa_Statement.csv</t>
        </is>
      </c>
      <c r="N334" s="91" t="inlineStr">
        <is>
          <t>2026-10-15 20:14:07</t>
        </is>
      </c>
      <c r="O334" s="91" t="n"/>
      <c r="P334" s="91" t="inlineStr">
        <is>
          <t>REWARDS VISA|20260320|161327|PAYMENTTHANKYOU#1</t>
        </is>
      </c>
      <c r="Q334" s="92">
        <f>IF(AND(G334=RptMonth,F334="Expense",N(E334)&lt;0),-E334+ROW()/10000000,"")</f>
        <v/>
      </c>
    </row>
    <row r="335">
      <c r="A335" s="86" t="n">
        <v>46100</v>
      </c>
      <c r="B335" s="87" t="inlineStr">
        <is>
          <t>Rewards Visa</t>
        </is>
      </c>
      <c r="C335" s="87" t="inlineStr">
        <is>
          <t>HOME DEPOT #0911</t>
        </is>
      </c>
      <c r="D335" s="87" t="inlineStr">
        <is>
          <t>Home Improvement</t>
        </is>
      </c>
      <c r="E335" s="88" t="n">
        <v>-133.72</v>
      </c>
      <c r="F335" s="89">
        <f>IF(E335="","",IF(OR(D335="",D335="Uncategorized"),IF(E335&lt;0,"Expense","Income"),IFERROR(INDEX(Categories!$B$6:$B$65,MATCH(D335,Categories!$A$6:$A$65,0)),IF(E335&lt;0,"Expense","Income"))))</f>
        <v/>
      </c>
      <c r="G335" s="90">
        <f>IF(A335="","",DATE(YEAR(A335),MONTH(A335),1))</f>
        <v/>
      </c>
      <c r="H335" s="87" t="n"/>
      <c r="I335" s="87" t="n"/>
      <c r="J335" s="91" t="inlineStr">
        <is>
          <t>HOME DEPOT #0911</t>
        </is>
      </c>
      <c r="K335" s="91" t="inlineStr">
        <is>
          <t>Sample Card Co</t>
        </is>
      </c>
      <c r="L335" s="91" t="inlineStr">
        <is>
          <t>Credit Card</t>
        </is>
      </c>
      <c r="M335" s="91" t="inlineStr">
        <is>
          <t>Visa_Statement.csv</t>
        </is>
      </c>
      <c r="N335" s="91" t="inlineStr">
        <is>
          <t>2026-10-15 20:14:07</t>
        </is>
      </c>
      <c r="O335" s="91" t="n"/>
      <c r="P335" s="91" t="inlineStr">
        <is>
          <t>REWARDS VISA|20260319|-13372|HOMEDEPOT0911#1</t>
        </is>
      </c>
      <c r="Q335" s="92">
        <f>IF(AND(G335=RptMonth,F335="Expense",N(E335)&lt;0),-E335+ROW()/10000000,"")</f>
        <v/>
      </c>
    </row>
    <row r="336">
      <c r="A336" s="86" t="n">
        <v>46099</v>
      </c>
      <c r="B336" s="87" t="inlineStr">
        <is>
          <t>Everyday Checking</t>
        </is>
      </c>
      <c r="C336" s="87" t="inlineStr">
        <is>
          <t>SAMPLE LOAN SERVICER STUDENT LOAN</t>
        </is>
      </c>
      <c r="D336" s="87" t="inlineStr">
        <is>
          <t>Loan Payments</t>
        </is>
      </c>
      <c r="E336" s="88" t="n">
        <v>-260</v>
      </c>
      <c r="F336" s="89">
        <f>IF(E336="","",IF(OR(D336="",D336="Uncategorized"),IF(E336&lt;0,"Expense","Income"),IFERROR(INDEX(Categories!$B$6:$B$65,MATCH(D336,Categories!$A$6:$A$65,0)),IF(E336&lt;0,"Expense","Income"))))</f>
        <v/>
      </c>
      <c r="G336" s="90">
        <f>IF(A336="","",DATE(YEAR(A336),MONTH(A336),1))</f>
        <v/>
      </c>
      <c r="H336" s="87" t="n"/>
      <c r="I336" s="87" t="n"/>
      <c r="J336" s="91" t="inlineStr">
        <is>
          <t>SAMPLE LOAN SERVICER STUDENT LOAN</t>
        </is>
      </c>
      <c r="K336" s="91" t="inlineStr">
        <is>
          <t>Sample Bank</t>
        </is>
      </c>
      <c r="L336" s="91" t="inlineStr">
        <is>
          <t>Checking</t>
        </is>
      </c>
      <c r="M336" s="91" t="inlineStr">
        <is>
          <t>Checking_Activity.csv</t>
        </is>
      </c>
      <c r="N336" s="91" t="inlineStr">
        <is>
          <t>2026-10-15 20:14:07</t>
        </is>
      </c>
      <c r="O336" s="91" t="n"/>
      <c r="P336" s="91" t="inlineStr">
        <is>
          <t>EVERYDAY CHECKING|20260318|-26000|SAMPLELOANSERVICERSTUDENTLOAN#1</t>
        </is>
      </c>
      <c r="Q336" s="92">
        <f>IF(AND(G336=RptMonth,F336="Expense",N(E336)&lt;0),-E336+ROW()/10000000,"")</f>
        <v/>
      </c>
    </row>
    <row r="337">
      <c r="A337" s="86" t="n">
        <v>46097</v>
      </c>
      <c r="B337" s="87" t="inlineStr">
        <is>
          <t>Rewards Visa</t>
        </is>
      </c>
      <c r="C337" s="87" t="inlineStr">
        <is>
          <t>PLANET FITNESS</t>
        </is>
      </c>
      <c r="D337" s="87" t="inlineStr">
        <is>
          <t>Health &amp; Fitness</t>
        </is>
      </c>
      <c r="E337" s="88" t="n">
        <v>-24.99</v>
      </c>
      <c r="F337" s="89">
        <f>IF(E337="","",IF(OR(D337="",D337="Uncategorized"),IF(E337&lt;0,"Expense","Income"),IFERROR(INDEX(Categories!$B$6:$B$65,MATCH(D337,Categories!$A$6:$A$65,0)),IF(E337&lt;0,"Expense","Income"))))</f>
        <v/>
      </c>
      <c r="G337" s="90">
        <f>IF(A337="","",DATE(YEAR(A337),MONTH(A337),1))</f>
        <v/>
      </c>
      <c r="H337" s="87" t="n"/>
      <c r="I337" s="87" t="n"/>
      <c r="J337" s="91" t="inlineStr">
        <is>
          <t>PLANET FITNESS</t>
        </is>
      </c>
      <c r="K337" s="91" t="inlineStr">
        <is>
          <t>Sample Card Co</t>
        </is>
      </c>
      <c r="L337" s="91" t="inlineStr">
        <is>
          <t>Credit Card</t>
        </is>
      </c>
      <c r="M337" s="91" t="inlineStr">
        <is>
          <t>Visa_Statement.csv</t>
        </is>
      </c>
      <c r="N337" s="91" t="inlineStr">
        <is>
          <t>2026-10-15 20:14:07</t>
        </is>
      </c>
      <c r="O337" s="91" t="n"/>
      <c r="P337" s="91" t="inlineStr">
        <is>
          <t>REWARDS VISA|20260316|-2499|PLANETFITNESS#1</t>
        </is>
      </c>
      <c r="Q337" s="92">
        <f>IF(AND(G337=RptMonth,F337="Expense",N(E337)&lt;0),-E337+ROW()/10000000,"")</f>
        <v/>
      </c>
    </row>
    <row r="338">
      <c r="A338" s="86" t="n">
        <v>46096</v>
      </c>
      <c r="B338" s="87" t="inlineStr">
        <is>
          <t>Everyday Checking</t>
        </is>
      </c>
      <c r="C338" s="87" t="inlineStr">
        <is>
          <t>XFINITY INTERNET</t>
        </is>
      </c>
      <c r="D338" s="87" t="inlineStr">
        <is>
          <t>Phone &amp; Internet</t>
        </is>
      </c>
      <c r="E338" s="88" t="n">
        <v>-79.98999999999999</v>
      </c>
      <c r="F338" s="89">
        <f>IF(E338="","",IF(OR(D338="",D338="Uncategorized"),IF(E338&lt;0,"Expense","Income"),IFERROR(INDEX(Categories!$B$6:$B$65,MATCH(D338,Categories!$A$6:$A$65,0)),IF(E338&lt;0,"Expense","Income"))))</f>
        <v/>
      </c>
      <c r="G338" s="90">
        <f>IF(A338="","",DATE(YEAR(A338),MONTH(A338),1))</f>
        <v/>
      </c>
      <c r="H338" s="87" t="n"/>
      <c r="I338" s="87" t="n"/>
      <c r="J338" s="91" t="inlineStr">
        <is>
          <t>XFINITY INTERNET</t>
        </is>
      </c>
      <c r="K338" s="91" t="inlineStr">
        <is>
          <t>Sample Bank</t>
        </is>
      </c>
      <c r="L338" s="91" t="inlineStr">
        <is>
          <t>Checking</t>
        </is>
      </c>
      <c r="M338" s="91" t="inlineStr">
        <is>
          <t>Checking_Activity.csv</t>
        </is>
      </c>
      <c r="N338" s="91" t="inlineStr">
        <is>
          <t>2026-10-15 20:14:07</t>
        </is>
      </c>
      <c r="O338" s="91" t="n"/>
      <c r="P338" s="91" t="inlineStr">
        <is>
          <t>EVERYDAY CHECKING|20260315|-7999|XFINITYINTERNET#1</t>
        </is>
      </c>
      <c r="Q338" s="92">
        <f>IF(AND(G338=RptMonth,F338="Expense",N(E338)&lt;0),-E338+ROW()/10000000,"")</f>
        <v/>
      </c>
    </row>
    <row r="339">
      <c r="A339" s="86" t="n">
        <v>46096</v>
      </c>
      <c r="B339" s="87" t="inlineStr">
        <is>
          <t>Rewards Visa</t>
        </is>
      </c>
      <c r="C339" s="87" t="inlineStr">
        <is>
          <t>CHIPOTLE 2291</t>
        </is>
      </c>
      <c r="D339" s="87" t="inlineStr">
        <is>
          <t>Dining Out</t>
        </is>
      </c>
      <c r="E339" s="88" t="n">
        <v>-57.1</v>
      </c>
      <c r="F339" s="89">
        <f>IF(E339="","",IF(OR(D339="",D339="Uncategorized"),IF(E339&lt;0,"Expense","Income"),IFERROR(INDEX(Categories!$B$6:$B$65,MATCH(D339,Categories!$A$6:$A$65,0)),IF(E339&lt;0,"Expense","Income"))))</f>
        <v/>
      </c>
      <c r="G339" s="90">
        <f>IF(A339="","",DATE(YEAR(A339),MONTH(A339),1))</f>
        <v/>
      </c>
      <c r="H339" s="87" t="n"/>
      <c r="I339" s="87" t="n"/>
      <c r="J339" s="91" t="inlineStr">
        <is>
          <t>CHIPOTLE 2291</t>
        </is>
      </c>
      <c r="K339" s="91" t="inlineStr">
        <is>
          <t>Sample Card Co</t>
        </is>
      </c>
      <c r="L339" s="91" t="inlineStr">
        <is>
          <t>Credit Card</t>
        </is>
      </c>
      <c r="M339" s="91" t="inlineStr">
        <is>
          <t>Visa_Statement.csv</t>
        </is>
      </c>
      <c r="N339" s="91" t="inlineStr">
        <is>
          <t>2026-10-15 20:14:07</t>
        </is>
      </c>
      <c r="O339" s="91" t="n"/>
      <c r="P339" s="91" t="inlineStr">
        <is>
          <t>REWARDS VISA|20260315|-5710|CHIPOTLE2291#1</t>
        </is>
      </c>
      <c r="Q339" s="92">
        <f>IF(AND(G339=RptMonth,F339="Expense",N(E339)&lt;0),-E339+ROW()/10000000,"")</f>
        <v/>
      </c>
    </row>
    <row r="340">
      <c r="A340" s="86" t="n">
        <v>46095</v>
      </c>
      <c r="B340" s="87" t="inlineStr">
        <is>
          <t>Rewards Visa</t>
        </is>
      </c>
      <c r="C340" s="87" t="inlineStr">
        <is>
          <t>WHOLE FOODS MARKET #10312</t>
        </is>
      </c>
      <c r="D340" s="87" t="inlineStr">
        <is>
          <t>Groceries</t>
        </is>
      </c>
      <c r="E340" s="88" t="n">
        <v>-110.18</v>
      </c>
      <c r="F340" s="89">
        <f>IF(E340="","",IF(OR(D340="",D340="Uncategorized"),IF(E340&lt;0,"Expense","Income"),IFERROR(INDEX(Categories!$B$6:$B$65,MATCH(D340,Categories!$A$6:$A$65,0)),IF(E340&lt;0,"Expense","Income"))))</f>
        <v/>
      </c>
      <c r="G340" s="90">
        <f>IF(A340="","",DATE(YEAR(A340),MONTH(A340),1))</f>
        <v/>
      </c>
      <c r="H340" s="87" t="n"/>
      <c r="I340" s="87" t="n"/>
      <c r="J340" s="91" t="inlineStr">
        <is>
          <t>WHOLE FOODS MARKET #10312</t>
        </is>
      </c>
      <c r="K340" s="91" t="inlineStr">
        <is>
          <t>Sample Card Co</t>
        </is>
      </c>
      <c r="L340" s="91" t="inlineStr">
        <is>
          <t>Credit Card</t>
        </is>
      </c>
      <c r="M340" s="91" t="inlineStr">
        <is>
          <t>Visa_Statement.csv</t>
        </is>
      </c>
      <c r="N340" s="91" t="inlineStr">
        <is>
          <t>2026-10-15 20:14:07</t>
        </is>
      </c>
      <c r="O340" s="91" t="n"/>
      <c r="P340" s="91" t="inlineStr">
        <is>
          <t>REWARDS VISA|20260314|-11018|WHOLEFOODSMARKET10312#1</t>
        </is>
      </c>
      <c r="Q340" s="92">
        <f>IF(AND(G340=RptMonth,F340="Expense",N(E340)&lt;0),-E340+ROW()/10000000,"")</f>
        <v/>
      </c>
    </row>
    <row r="341">
      <c r="A341" s="86" t="n">
        <v>46094</v>
      </c>
      <c r="B341" s="87" t="inlineStr">
        <is>
          <t>Everyday Checking</t>
        </is>
      </c>
      <c r="C341" s="87" t="inlineStr">
        <is>
          <t>ACME CORP BONUS DIR DEP</t>
        </is>
      </c>
      <c r="D341" s="87" t="inlineStr">
        <is>
          <t>Bonus</t>
        </is>
      </c>
      <c r="E341" s="88" t="n">
        <v>4200</v>
      </c>
      <c r="F341" s="89">
        <f>IF(E341="","",IF(OR(D341="",D341="Uncategorized"),IF(E341&lt;0,"Expense","Income"),IFERROR(INDEX(Categories!$B$6:$B$65,MATCH(D341,Categories!$A$6:$A$65,0)),IF(E341&lt;0,"Expense","Income"))))</f>
        <v/>
      </c>
      <c r="G341" s="90">
        <f>IF(A341="","",DATE(YEAR(A341),MONTH(A341),1))</f>
        <v/>
      </c>
      <c r="H341" s="87" t="n"/>
      <c r="I341" s="87" t="n"/>
      <c r="J341" s="91" t="inlineStr">
        <is>
          <t>ACME CORP BONUS DIR DEP</t>
        </is>
      </c>
      <c r="K341" s="91" t="inlineStr">
        <is>
          <t>Sample Bank</t>
        </is>
      </c>
      <c r="L341" s="91" t="inlineStr">
        <is>
          <t>Checking</t>
        </is>
      </c>
      <c r="M341" s="91" t="inlineStr">
        <is>
          <t>Checking_Activity.csv</t>
        </is>
      </c>
      <c r="N341" s="91" t="inlineStr">
        <is>
          <t>2026-10-15 20:14:07</t>
        </is>
      </c>
      <c r="O341" s="91" t="n"/>
      <c r="P341" s="91" t="inlineStr">
        <is>
          <t>EVERYDAY CHECKING|20260313|420000|ACMECORPBONUSDIRDEP#1</t>
        </is>
      </c>
      <c r="Q341" s="92">
        <f>IF(AND(G341=RptMonth,F341="Expense",N(E341)&lt;0),-E341+ROW()/10000000,"")</f>
        <v/>
      </c>
    </row>
    <row r="342">
      <c r="A342" s="86" t="n">
        <v>46093</v>
      </c>
      <c r="B342" s="87" t="inlineStr">
        <is>
          <t>Everyday Checking</t>
        </is>
      </c>
      <c r="C342" s="87" t="inlineStr">
        <is>
          <t>VERIZON WIRELESS</t>
        </is>
      </c>
      <c r="D342" s="87" t="inlineStr">
        <is>
          <t>Phone &amp; Internet</t>
        </is>
      </c>
      <c r="E342" s="88" t="n">
        <v>-95</v>
      </c>
      <c r="F342" s="89">
        <f>IF(E342="","",IF(OR(D342="",D342="Uncategorized"),IF(E342&lt;0,"Expense","Income"),IFERROR(INDEX(Categories!$B$6:$B$65,MATCH(D342,Categories!$A$6:$A$65,0)),IF(E342&lt;0,"Expense","Income"))))</f>
        <v/>
      </c>
      <c r="G342" s="90">
        <f>IF(A342="","",DATE(YEAR(A342),MONTH(A342),1))</f>
        <v/>
      </c>
      <c r="H342" s="87" t="n"/>
      <c r="I342" s="87" t="n"/>
      <c r="J342" s="91" t="inlineStr">
        <is>
          <t>VERIZON WIRELESS</t>
        </is>
      </c>
      <c r="K342" s="91" t="inlineStr">
        <is>
          <t>Sample Bank</t>
        </is>
      </c>
      <c r="L342" s="91" t="inlineStr">
        <is>
          <t>Checking</t>
        </is>
      </c>
      <c r="M342" s="91" t="inlineStr">
        <is>
          <t>Checking_Activity.csv</t>
        </is>
      </c>
      <c r="N342" s="91" t="inlineStr">
        <is>
          <t>2026-10-15 20:14:07</t>
        </is>
      </c>
      <c r="O342" s="91" t="n"/>
      <c r="P342" s="91" t="inlineStr">
        <is>
          <t>EVERYDAY CHECKING|20260312|-9500|VERIZONWIRELESS#1</t>
        </is>
      </c>
      <c r="Q342" s="92">
        <f>IF(AND(G342=RptMonth,F342="Expense",N(E342)&lt;0),-E342+ROW()/10000000,"")</f>
        <v/>
      </c>
    </row>
    <row r="343">
      <c r="A343" s="86" t="n">
        <v>46092</v>
      </c>
      <c r="B343" s="87" t="inlineStr">
        <is>
          <t>Rewards Visa</t>
        </is>
      </c>
      <c r="C343" s="87" t="inlineStr">
        <is>
          <t>APPLE.COM/BILL</t>
        </is>
      </c>
      <c r="D343" s="87" t="inlineStr">
        <is>
          <t>Subscriptions</t>
        </is>
      </c>
      <c r="E343" s="88" t="n">
        <v>-2.99</v>
      </c>
      <c r="F343" s="89">
        <f>IF(E343="","",IF(OR(D343="",D343="Uncategorized"),IF(E343&lt;0,"Expense","Income"),IFERROR(INDEX(Categories!$B$6:$B$65,MATCH(D343,Categories!$A$6:$A$65,0)),IF(E343&lt;0,"Expense","Income"))))</f>
        <v/>
      </c>
      <c r="G343" s="90">
        <f>IF(A343="","",DATE(YEAR(A343),MONTH(A343),1))</f>
        <v/>
      </c>
      <c r="H343" s="87" t="n"/>
      <c r="I343" s="87" t="n"/>
      <c r="J343" s="91" t="inlineStr">
        <is>
          <t>APPLE.COM/BILL</t>
        </is>
      </c>
      <c r="K343" s="91" t="inlineStr">
        <is>
          <t>Sample Card Co</t>
        </is>
      </c>
      <c r="L343" s="91" t="inlineStr">
        <is>
          <t>Credit Card</t>
        </is>
      </c>
      <c r="M343" s="91" t="inlineStr">
        <is>
          <t>Visa_Statement.csv</t>
        </is>
      </c>
      <c r="N343" s="91" t="inlineStr">
        <is>
          <t>2026-10-15 20:14:07</t>
        </is>
      </c>
      <c r="O343" s="91" t="n"/>
      <c r="P343" s="91" t="inlineStr">
        <is>
          <t>REWARDS VISA|20260311|-299|APPLECOMBILL#1</t>
        </is>
      </c>
      <c r="Q343" s="92">
        <f>IF(AND(G343=RptMonth,F343="Expense",N(E343)&lt;0),-E343+ROW()/10000000,"")</f>
        <v/>
      </c>
    </row>
    <row r="344">
      <c r="A344" s="86" t="n">
        <v>46092</v>
      </c>
      <c r="B344" s="87" t="inlineStr">
        <is>
          <t>Rewards Visa</t>
        </is>
      </c>
      <c r="C344" s="87" t="inlineStr">
        <is>
          <t>SHOPRITE #0234</t>
        </is>
      </c>
      <c r="D344" s="87" t="inlineStr">
        <is>
          <t>Groceries</t>
        </is>
      </c>
      <c r="E344" s="88" t="n">
        <v>-55.61</v>
      </c>
      <c r="F344" s="89">
        <f>IF(E344="","",IF(OR(D344="",D344="Uncategorized"),IF(E344&lt;0,"Expense","Income"),IFERROR(INDEX(Categories!$B$6:$B$65,MATCH(D344,Categories!$A$6:$A$65,0)),IF(E344&lt;0,"Expense","Income"))))</f>
        <v/>
      </c>
      <c r="G344" s="90">
        <f>IF(A344="","",DATE(YEAR(A344),MONTH(A344),1))</f>
        <v/>
      </c>
      <c r="H344" s="87" t="n"/>
      <c r="I344" s="87" t="n"/>
      <c r="J344" s="91" t="inlineStr">
        <is>
          <t>SHOPRITE #0234</t>
        </is>
      </c>
      <c r="K344" s="91" t="inlineStr">
        <is>
          <t>Sample Card Co</t>
        </is>
      </c>
      <c r="L344" s="91" t="inlineStr">
        <is>
          <t>Credit Card</t>
        </is>
      </c>
      <c r="M344" s="91" t="inlineStr">
        <is>
          <t>Visa_Statement.csv</t>
        </is>
      </c>
      <c r="N344" s="91" t="inlineStr">
        <is>
          <t>2026-10-15 20:14:07</t>
        </is>
      </c>
      <c r="O344" s="91" t="n"/>
      <c r="P344" s="91" t="inlineStr">
        <is>
          <t>REWARDS VISA|20260311|-5561|SHOPRITE0234#1</t>
        </is>
      </c>
      <c r="Q344" s="92">
        <f>IF(AND(G344=RptMonth,F344="Expense",N(E344)&lt;0),-E344+ROW()/10000000,"")</f>
        <v/>
      </c>
    </row>
    <row r="345">
      <c r="A345" s="86" t="n">
        <v>46091</v>
      </c>
      <c r="B345" s="87" t="inlineStr">
        <is>
          <t>Everyday Checking</t>
        </is>
      </c>
      <c r="C345" s="87" t="inlineStr">
        <is>
          <t>SAMPLE AUTO FINANCE PMT</t>
        </is>
      </c>
      <c r="D345" s="87" t="inlineStr">
        <is>
          <t>Auto Payment</t>
        </is>
      </c>
      <c r="E345" s="88" t="n">
        <v>-385</v>
      </c>
      <c r="F345" s="89">
        <f>IF(E345="","",IF(OR(D345="",D345="Uncategorized"),IF(E345&lt;0,"Expense","Income"),IFERROR(INDEX(Categories!$B$6:$B$65,MATCH(D345,Categories!$A$6:$A$65,0)),IF(E345&lt;0,"Expense","Income"))))</f>
        <v/>
      </c>
      <c r="G345" s="90">
        <f>IF(A345="","",DATE(YEAR(A345),MONTH(A345),1))</f>
        <v/>
      </c>
      <c r="H345" s="87" t="n"/>
      <c r="I345" s="87" t="n"/>
      <c r="J345" s="91" t="inlineStr">
        <is>
          <t>SAMPLE AUTO FINANCE PMT</t>
        </is>
      </c>
      <c r="K345" s="91" t="inlineStr">
        <is>
          <t>Sample Bank</t>
        </is>
      </c>
      <c r="L345" s="91" t="inlineStr">
        <is>
          <t>Checking</t>
        </is>
      </c>
      <c r="M345" s="91" t="inlineStr">
        <is>
          <t>Checking_Activity.csv</t>
        </is>
      </c>
      <c r="N345" s="91" t="inlineStr">
        <is>
          <t>2026-10-15 20:14:07</t>
        </is>
      </c>
      <c r="O345" s="91" t="n"/>
      <c r="P345" s="91" t="inlineStr">
        <is>
          <t>EVERYDAY CHECKING|20260310|-38500|SAMPLEAUTOFINANCEPMT#1</t>
        </is>
      </c>
      <c r="Q345" s="92">
        <f>IF(AND(G345=RptMonth,F345="Expense",N(E345)&lt;0),-E345+ROW()/10000000,"")</f>
        <v/>
      </c>
    </row>
    <row r="346">
      <c r="A346" s="86" t="n">
        <v>46091</v>
      </c>
      <c r="B346" s="87" t="inlineStr">
        <is>
          <t>Rewards Visa</t>
        </is>
      </c>
      <c r="C346" s="87" t="inlineStr">
        <is>
          <t>EXXONMOBIL 4471</t>
        </is>
      </c>
      <c r="D346" s="87" t="inlineStr">
        <is>
          <t>Gas &amp; Fuel</t>
        </is>
      </c>
      <c r="E346" s="88" t="n">
        <v>-60.15</v>
      </c>
      <c r="F346" s="89">
        <f>IF(E346="","",IF(OR(D346="",D346="Uncategorized"),IF(E346&lt;0,"Expense","Income"),IFERROR(INDEX(Categories!$B$6:$B$65,MATCH(D346,Categories!$A$6:$A$65,0)),IF(E346&lt;0,"Expense","Income"))))</f>
        <v/>
      </c>
      <c r="G346" s="90">
        <f>IF(A346="","",DATE(YEAR(A346),MONTH(A346),1))</f>
        <v/>
      </c>
      <c r="H346" s="87" t="n"/>
      <c r="I346" s="87" t="n"/>
      <c r="J346" s="91" t="inlineStr">
        <is>
          <t>EXXONMOBIL 4471</t>
        </is>
      </c>
      <c r="K346" s="91" t="inlineStr">
        <is>
          <t>Sample Card Co</t>
        </is>
      </c>
      <c r="L346" s="91" t="inlineStr">
        <is>
          <t>Credit Card</t>
        </is>
      </c>
      <c r="M346" s="91" t="inlineStr">
        <is>
          <t>Visa_Statement.csv</t>
        </is>
      </c>
      <c r="N346" s="91" t="inlineStr">
        <is>
          <t>2026-10-15 20:14:07</t>
        </is>
      </c>
      <c r="O346" s="91" t="n"/>
      <c r="P346" s="91" t="inlineStr">
        <is>
          <t>REWARDS VISA|20260310|-6015|EXXONMOBIL4471#1</t>
        </is>
      </c>
      <c r="Q346" s="92">
        <f>IF(AND(G346=RptMonth,F346="Expense",N(E346)&lt;0),-E346+ROW()/10000000,"")</f>
        <v/>
      </c>
    </row>
    <row r="347">
      <c r="A347" s="86" t="n">
        <v>46090</v>
      </c>
      <c r="B347" s="87" t="inlineStr">
        <is>
          <t>Everyday Checking</t>
        </is>
      </c>
      <c r="C347" s="87" t="inlineStr">
        <is>
          <t>NJ NATURAL GAS PAYMENT</t>
        </is>
      </c>
      <c r="D347" s="87" t="inlineStr">
        <is>
          <t>Utilities</t>
        </is>
      </c>
      <c r="E347" s="88" t="n">
        <v>-161.75</v>
      </c>
      <c r="F347" s="89">
        <f>IF(E347="","",IF(OR(D347="",D347="Uncategorized"),IF(E347&lt;0,"Expense","Income"),IFERROR(INDEX(Categories!$B$6:$B$65,MATCH(D347,Categories!$A$6:$A$65,0)),IF(E347&lt;0,"Expense","Income"))))</f>
        <v/>
      </c>
      <c r="G347" s="90">
        <f>IF(A347="","",DATE(YEAR(A347),MONTH(A347),1))</f>
        <v/>
      </c>
      <c r="H347" s="87" t="n"/>
      <c r="I347" s="87" t="n"/>
      <c r="J347" s="91" t="inlineStr">
        <is>
          <t>NJ NATURAL GAS PAYMENT</t>
        </is>
      </c>
      <c r="K347" s="91" t="inlineStr">
        <is>
          <t>Sample Bank</t>
        </is>
      </c>
      <c r="L347" s="91" t="inlineStr">
        <is>
          <t>Checking</t>
        </is>
      </c>
      <c r="M347" s="91" t="inlineStr">
        <is>
          <t>Checking_Activity.csv</t>
        </is>
      </c>
      <c r="N347" s="91" t="inlineStr">
        <is>
          <t>2026-10-15 20:14:07</t>
        </is>
      </c>
      <c r="O347" s="91" t="n"/>
      <c r="P347" s="91" t="inlineStr">
        <is>
          <t>EVERYDAY CHECKING|20260309|-16175|NJNATURALGASPAYMENT#1</t>
        </is>
      </c>
      <c r="Q347" s="92">
        <f>IF(AND(G347=RptMonth,F347="Expense",N(E347)&lt;0),-E347+ROW()/10000000,"")</f>
        <v/>
      </c>
    </row>
    <row r="348">
      <c r="A348" s="86" t="n">
        <v>46089</v>
      </c>
      <c r="B348" s="87" t="inlineStr">
        <is>
          <t>Everyday Checking</t>
        </is>
      </c>
      <c r="C348" s="87" t="inlineStr">
        <is>
          <t>PSEG ELECTRIC BILL</t>
        </is>
      </c>
      <c r="D348" s="87" t="inlineStr">
        <is>
          <t>Utilities</t>
        </is>
      </c>
      <c r="E348" s="88" t="n">
        <v>-105.98</v>
      </c>
      <c r="F348" s="89">
        <f>IF(E348="","",IF(OR(D348="",D348="Uncategorized"),IF(E348&lt;0,"Expense","Income"),IFERROR(INDEX(Categories!$B$6:$B$65,MATCH(D348,Categories!$A$6:$A$65,0)),IF(E348&lt;0,"Expense","Income"))))</f>
        <v/>
      </c>
      <c r="G348" s="90">
        <f>IF(A348="","",DATE(YEAR(A348),MONTH(A348),1))</f>
        <v/>
      </c>
      <c r="H348" s="87" t="n"/>
      <c r="I348" s="87" t="n"/>
      <c r="J348" s="91" t="inlineStr">
        <is>
          <t>PSEG ELECTRIC BILL</t>
        </is>
      </c>
      <c r="K348" s="91" t="inlineStr">
        <is>
          <t>Sample Bank</t>
        </is>
      </c>
      <c r="L348" s="91" t="inlineStr">
        <is>
          <t>Checking</t>
        </is>
      </c>
      <c r="M348" s="91" t="inlineStr">
        <is>
          <t>Checking_Activity.csv</t>
        </is>
      </c>
      <c r="N348" s="91" t="inlineStr">
        <is>
          <t>2026-10-15 20:14:07</t>
        </is>
      </c>
      <c r="O348" s="91" t="n"/>
      <c r="P348" s="91" t="inlineStr">
        <is>
          <t>EVERYDAY CHECKING|20260308|-10598|PSEGELECTRICBILL#1</t>
        </is>
      </c>
      <c r="Q348" s="92">
        <f>IF(AND(G348=RptMonth,F348="Expense",N(E348)&lt;0),-E348+ROW()/10000000,"")</f>
        <v/>
      </c>
    </row>
    <row r="349">
      <c r="A349" s="86" t="n">
        <v>46089</v>
      </c>
      <c r="B349" s="87" t="inlineStr">
        <is>
          <t>Rewards Visa</t>
        </is>
      </c>
      <c r="C349" s="87" t="inlineStr">
        <is>
          <t>SWEETGREEN PALISADES</t>
        </is>
      </c>
      <c r="D349" s="87" t="inlineStr">
        <is>
          <t>Dining Out</t>
        </is>
      </c>
      <c r="E349" s="88" t="n">
        <v>-25.43</v>
      </c>
      <c r="F349" s="89">
        <f>IF(E349="","",IF(OR(D349="",D349="Uncategorized"),IF(E349&lt;0,"Expense","Income"),IFERROR(INDEX(Categories!$B$6:$B$65,MATCH(D349,Categories!$A$6:$A$65,0)),IF(E349&lt;0,"Expense","Income"))))</f>
        <v/>
      </c>
      <c r="G349" s="90">
        <f>IF(A349="","",DATE(YEAR(A349),MONTH(A349),1))</f>
        <v/>
      </c>
      <c r="H349" s="87" t="n"/>
      <c r="I349" s="87" t="n"/>
      <c r="J349" s="91" t="inlineStr">
        <is>
          <t>SWEETGREEN PALISADES</t>
        </is>
      </c>
      <c r="K349" s="91" t="inlineStr">
        <is>
          <t>Sample Card Co</t>
        </is>
      </c>
      <c r="L349" s="91" t="inlineStr">
        <is>
          <t>Credit Card</t>
        </is>
      </c>
      <c r="M349" s="91" t="inlineStr">
        <is>
          <t>Visa_Statement.csv</t>
        </is>
      </c>
      <c r="N349" s="91" t="inlineStr">
        <is>
          <t>2026-10-15 20:14:07</t>
        </is>
      </c>
      <c r="O349" s="91" t="n"/>
      <c r="P349" s="91" t="inlineStr">
        <is>
          <t>REWARDS VISA|20260308|-2543|SWEETGREENPALISADES#1</t>
        </is>
      </c>
      <c r="Q349" s="92">
        <f>IF(AND(G349=RptMonth,F349="Expense",N(E349)&lt;0),-E349+ROW()/10000000,"")</f>
        <v/>
      </c>
    </row>
    <row r="350">
      <c r="A350" s="86" t="n">
        <v>46088</v>
      </c>
      <c r="B350" s="87" t="inlineStr">
        <is>
          <t>Rewards Visa</t>
        </is>
      </c>
      <c r="C350" s="87" t="inlineStr">
        <is>
          <t>DOORDASH*THAI PALACE</t>
        </is>
      </c>
      <c r="D350" s="87" t="inlineStr">
        <is>
          <t>Dining Out</t>
        </is>
      </c>
      <c r="E350" s="88" t="n">
        <v>-42.14</v>
      </c>
      <c r="F350" s="89">
        <f>IF(E350="","",IF(OR(D350="",D350="Uncategorized"),IF(E350&lt;0,"Expense","Income"),IFERROR(INDEX(Categories!$B$6:$B$65,MATCH(D350,Categories!$A$6:$A$65,0)),IF(E350&lt;0,"Expense","Income"))))</f>
        <v/>
      </c>
      <c r="G350" s="90">
        <f>IF(A350="","",DATE(YEAR(A350),MONTH(A350),1))</f>
        <v/>
      </c>
      <c r="H350" s="87" t="n"/>
      <c r="I350" s="87" t="n"/>
      <c r="J350" s="91" t="inlineStr">
        <is>
          <t>DOORDASH*THAI PALACE</t>
        </is>
      </c>
      <c r="K350" s="91" t="inlineStr">
        <is>
          <t>Sample Card Co</t>
        </is>
      </c>
      <c r="L350" s="91" t="inlineStr">
        <is>
          <t>Credit Card</t>
        </is>
      </c>
      <c r="M350" s="91" t="inlineStr">
        <is>
          <t>Visa_Statement.csv</t>
        </is>
      </c>
      <c r="N350" s="91" t="inlineStr">
        <is>
          <t>2026-10-15 20:14:07</t>
        </is>
      </c>
      <c r="O350" s="91" t="n"/>
      <c r="P350" s="91" t="inlineStr">
        <is>
          <t>REWARDS VISA|20260307|-4214|DOORDASHTHAIPALACE#1</t>
        </is>
      </c>
      <c r="Q350" s="92">
        <f>IF(AND(G350=RptMonth,F350="Expense",N(E350)&lt;0),-E350+ROW()/10000000,"")</f>
        <v/>
      </c>
    </row>
    <row r="351">
      <c r="A351" s="86" t="n">
        <v>46088</v>
      </c>
      <c r="B351" s="87" t="inlineStr">
        <is>
          <t>Rewards Visa</t>
        </is>
      </c>
      <c r="C351" s="87" t="inlineStr">
        <is>
          <t>SHOPRITE #0234</t>
        </is>
      </c>
      <c r="D351" s="87" t="inlineStr">
        <is>
          <t>Groceries</t>
        </is>
      </c>
      <c r="E351" s="88" t="n">
        <v>-150.84</v>
      </c>
      <c r="F351" s="89">
        <f>IF(E351="","",IF(OR(D351="",D351="Uncategorized"),IF(E351&lt;0,"Expense","Income"),IFERROR(INDEX(Categories!$B$6:$B$65,MATCH(D351,Categories!$A$6:$A$65,0)),IF(E351&lt;0,"Expense","Income"))))</f>
        <v/>
      </c>
      <c r="G351" s="90">
        <f>IF(A351="","",DATE(YEAR(A351),MONTH(A351),1))</f>
        <v/>
      </c>
      <c r="H351" s="87" t="n"/>
      <c r="I351" s="87" t="n"/>
      <c r="J351" s="91" t="inlineStr">
        <is>
          <t>SHOPRITE #0234</t>
        </is>
      </c>
      <c r="K351" s="91" t="inlineStr">
        <is>
          <t>Sample Card Co</t>
        </is>
      </c>
      <c r="L351" s="91" t="inlineStr">
        <is>
          <t>Credit Card</t>
        </is>
      </c>
      <c r="M351" s="91" t="inlineStr">
        <is>
          <t>Visa_Statement.csv</t>
        </is>
      </c>
      <c r="N351" s="91" t="inlineStr">
        <is>
          <t>2026-10-15 20:14:07</t>
        </is>
      </c>
      <c r="O351" s="91" t="n"/>
      <c r="P351" s="91" t="inlineStr">
        <is>
          <t>REWARDS VISA|20260307|-15084|SHOPRITE0234#1</t>
        </is>
      </c>
      <c r="Q351" s="92">
        <f>IF(AND(G351=RptMonth,F351="Expense",N(E351)&lt;0),-E351+ROW()/10000000,"")</f>
        <v/>
      </c>
    </row>
    <row r="352">
      <c r="A352" s="86" t="n">
        <v>46088</v>
      </c>
      <c r="B352" s="87" t="inlineStr">
        <is>
          <t>Rewards Visa</t>
        </is>
      </c>
      <c r="C352" s="87" t="inlineStr">
        <is>
          <t>SPOTIFY USA</t>
        </is>
      </c>
      <c r="D352" s="87" t="inlineStr">
        <is>
          <t>Subscriptions</t>
        </is>
      </c>
      <c r="E352" s="88" t="n">
        <v>-11.99</v>
      </c>
      <c r="F352" s="89">
        <f>IF(E352="","",IF(OR(D352="",D352="Uncategorized"),IF(E352&lt;0,"Expense","Income"),IFERROR(INDEX(Categories!$B$6:$B$65,MATCH(D352,Categories!$A$6:$A$65,0)),IF(E352&lt;0,"Expense","Income"))))</f>
        <v/>
      </c>
      <c r="G352" s="90">
        <f>IF(A352="","",DATE(YEAR(A352),MONTH(A352),1))</f>
        <v/>
      </c>
      <c r="H352" s="87" t="n"/>
      <c r="I352" s="87" t="n"/>
      <c r="J352" s="91" t="inlineStr">
        <is>
          <t>SPOTIFY USA</t>
        </is>
      </c>
      <c r="K352" s="91" t="inlineStr">
        <is>
          <t>Sample Card Co</t>
        </is>
      </c>
      <c r="L352" s="91" t="inlineStr">
        <is>
          <t>Credit Card</t>
        </is>
      </c>
      <c r="M352" s="91" t="inlineStr">
        <is>
          <t>Visa_Statement.csv</t>
        </is>
      </c>
      <c r="N352" s="91" t="inlineStr">
        <is>
          <t>2026-10-15 20:14:07</t>
        </is>
      </c>
      <c r="O352" s="91" t="n"/>
      <c r="P352" s="91" t="inlineStr">
        <is>
          <t>REWARDS VISA|20260307|-1199|SPOTIFYUSA#1</t>
        </is>
      </c>
      <c r="Q352" s="92">
        <f>IF(AND(G352=RptMonth,F352="Expense",N(E352)&lt;0),-E352+ROW()/10000000,"")</f>
        <v/>
      </c>
    </row>
    <row r="353">
      <c r="A353" s="86" t="n">
        <v>46087</v>
      </c>
      <c r="B353" s="87" t="inlineStr">
        <is>
          <t>Everyday Checking</t>
        </is>
      </c>
      <c r="C353" s="87" t="inlineStr">
        <is>
          <t>ACME CORP PAYROLL DIR DEP</t>
        </is>
      </c>
      <c r="D353" s="87" t="inlineStr">
        <is>
          <t>Salary</t>
        </is>
      </c>
      <c r="E353" s="88" t="n">
        <v>3352.18</v>
      </c>
      <c r="F353" s="89">
        <f>IF(E353="","",IF(OR(D353="",D353="Uncategorized"),IF(E353&lt;0,"Expense","Income"),IFERROR(INDEX(Categories!$B$6:$B$65,MATCH(D353,Categories!$A$6:$A$65,0)),IF(E353&lt;0,"Expense","Income"))))</f>
        <v/>
      </c>
      <c r="G353" s="90">
        <f>IF(A353="","",DATE(YEAR(A353),MONTH(A353),1))</f>
        <v/>
      </c>
      <c r="H353" s="87" t="n"/>
      <c r="I353" s="87" t="n"/>
      <c r="J353" s="91" t="inlineStr">
        <is>
          <t>ACME CORP PAYROLL DIR DEP</t>
        </is>
      </c>
      <c r="K353" s="91" t="inlineStr">
        <is>
          <t>Sample Bank</t>
        </is>
      </c>
      <c r="L353" s="91" t="inlineStr">
        <is>
          <t>Checking</t>
        </is>
      </c>
      <c r="M353" s="91" t="inlineStr">
        <is>
          <t>Checking_Activity.csv</t>
        </is>
      </c>
      <c r="N353" s="91" t="inlineStr">
        <is>
          <t>2026-10-15 20:14:07</t>
        </is>
      </c>
      <c r="O353" s="91" t="n"/>
      <c r="P353" s="91" t="inlineStr">
        <is>
          <t>EVERYDAY CHECKING|20260306|335218|ACMECORPPAYROLLDIRDEP#1</t>
        </is>
      </c>
      <c r="Q353" s="92">
        <f>IF(AND(G353=RptMonth,F353="Expense",N(E353)&lt;0),-E353+ROW()/10000000,"")</f>
        <v/>
      </c>
    </row>
    <row r="354">
      <c r="A354" s="86" t="n">
        <v>46087</v>
      </c>
      <c r="B354" s="87" t="inlineStr">
        <is>
          <t>Rewards Visa</t>
        </is>
      </c>
      <c r="C354" s="87" t="inlineStr">
        <is>
          <t>SWEETGREEN PALISADES</t>
        </is>
      </c>
      <c r="D354" s="87" t="inlineStr">
        <is>
          <t>Dining Out</t>
        </is>
      </c>
      <c r="E354" s="88" t="n">
        <v>-13.96</v>
      </c>
      <c r="F354" s="89">
        <f>IF(E354="","",IF(OR(D354="",D354="Uncategorized"),IF(E354&lt;0,"Expense","Income"),IFERROR(INDEX(Categories!$B$6:$B$65,MATCH(D354,Categories!$A$6:$A$65,0)),IF(E354&lt;0,"Expense","Income"))))</f>
        <v/>
      </c>
      <c r="G354" s="90">
        <f>IF(A354="","",DATE(YEAR(A354),MONTH(A354),1))</f>
        <v/>
      </c>
      <c r="H354" s="87" t="n"/>
      <c r="I354" s="87" t="n"/>
      <c r="J354" s="91" t="inlineStr">
        <is>
          <t>SWEETGREEN PALISADES</t>
        </is>
      </c>
      <c r="K354" s="91" t="inlineStr">
        <is>
          <t>Sample Card Co</t>
        </is>
      </c>
      <c r="L354" s="91" t="inlineStr">
        <is>
          <t>Credit Card</t>
        </is>
      </c>
      <c r="M354" s="91" t="inlineStr">
        <is>
          <t>Visa_Statement.csv</t>
        </is>
      </c>
      <c r="N354" s="91" t="inlineStr">
        <is>
          <t>2026-10-15 20:14:07</t>
        </is>
      </c>
      <c r="O354" s="91" t="n"/>
      <c r="P354" s="91" t="inlineStr">
        <is>
          <t>REWARDS VISA|20260306|-1396|SWEETGREENPALISADES#1</t>
        </is>
      </c>
      <c r="Q354" s="92">
        <f>IF(AND(G354=RptMonth,F354="Expense",N(E354)&lt;0),-E354+ROW()/10000000,"")</f>
        <v/>
      </c>
    </row>
    <row r="355">
      <c r="A355" s="86" t="n">
        <v>46086</v>
      </c>
      <c r="B355" s="87" t="inlineStr">
        <is>
          <t>Everyday Checking</t>
        </is>
      </c>
      <c r="C355" s="87" t="inlineStr">
        <is>
          <t>ONLINE TRANSFER TO HIGH-YIELD SAVINGS</t>
        </is>
      </c>
      <c r="D355" s="87" t="inlineStr">
        <is>
          <t>Transfer</t>
        </is>
      </c>
      <c r="E355" s="88" t="n">
        <v>-500</v>
      </c>
      <c r="F355" s="89">
        <f>IF(E355="","",IF(OR(D355="",D355="Uncategorized"),IF(E355&lt;0,"Expense","Income"),IFERROR(INDEX(Categories!$B$6:$B$65,MATCH(D355,Categories!$A$6:$A$65,0)),IF(E355&lt;0,"Expense","Income"))))</f>
        <v/>
      </c>
      <c r="G355" s="90">
        <f>IF(A355="","",DATE(YEAR(A355),MONTH(A355),1))</f>
        <v/>
      </c>
      <c r="H355" s="87" t="n"/>
      <c r="I355" s="87" t="n"/>
      <c r="J355" s="91" t="inlineStr">
        <is>
          <t>ONLINE TRANSFER TO HIGH-YIELD SAVINGS</t>
        </is>
      </c>
      <c r="K355" s="91" t="inlineStr">
        <is>
          <t>Sample Bank</t>
        </is>
      </c>
      <c r="L355" s="91" t="inlineStr">
        <is>
          <t>Checking</t>
        </is>
      </c>
      <c r="M355" s="91" t="inlineStr">
        <is>
          <t>Checking_Activity.csv</t>
        </is>
      </c>
      <c r="N355" s="91" t="inlineStr">
        <is>
          <t>2026-10-15 20:14:07</t>
        </is>
      </c>
      <c r="O355" s="91" t="n"/>
      <c r="P355" s="91" t="inlineStr">
        <is>
          <t>EVERYDAY CHECKING|20260305|-50000|ONLINETRANSFERTOHIGHYIELDSAVINGS#1</t>
        </is>
      </c>
      <c r="Q355" s="92">
        <f>IF(AND(G355=RptMonth,F355="Expense",N(E355)&lt;0),-E355+ROW()/10000000,"")</f>
        <v/>
      </c>
    </row>
    <row r="356">
      <c r="A356" s="86" t="n">
        <v>46086</v>
      </c>
      <c r="B356" s="87" t="inlineStr">
        <is>
          <t>High-Yield Savings</t>
        </is>
      </c>
      <c r="C356" s="87" t="inlineStr">
        <is>
          <t>ONLINE TRANSFER FROM EVERYDAY CHECKING</t>
        </is>
      </c>
      <c r="D356" s="87" t="inlineStr">
        <is>
          <t>Transfer</t>
        </is>
      </c>
      <c r="E356" s="88" t="n">
        <v>500</v>
      </c>
      <c r="F356" s="89">
        <f>IF(E356="","",IF(OR(D356="",D356="Uncategorized"),IF(E356&lt;0,"Expense","Income"),IFERROR(INDEX(Categories!$B$6:$B$65,MATCH(D356,Categories!$A$6:$A$65,0)),IF(E356&lt;0,"Expense","Income"))))</f>
        <v/>
      </c>
      <c r="G356" s="90">
        <f>IF(A356="","",DATE(YEAR(A356),MONTH(A356),1))</f>
        <v/>
      </c>
      <c r="H356" s="87" t="n"/>
      <c r="I356" s="87" t="n"/>
      <c r="J356" s="91" t="inlineStr">
        <is>
          <t>ONLINE TRANSFER FROM EVERYDAY CHECKING</t>
        </is>
      </c>
      <c r="K356" s="91" t="inlineStr">
        <is>
          <t>Sample Bank</t>
        </is>
      </c>
      <c r="L356" s="91" t="inlineStr">
        <is>
          <t>Savings</t>
        </is>
      </c>
      <c r="M356" s="91" t="inlineStr">
        <is>
          <t>Savings.qfx</t>
        </is>
      </c>
      <c r="N356" s="91" t="inlineStr">
        <is>
          <t>2026-10-15 20:14:07</t>
        </is>
      </c>
      <c r="O356" s="91" t="inlineStr">
        <is>
          <t>773002026030501</t>
        </is>
      </c>
      <c r="P356" s="91" t="inlineStr">
        <is>
          <t>HIGH-YIELD SAVINGS|ID|773002026030501#1</t>
        </is>
      </c>
      <c r="Q356" s="92">
        <f>IF(AND(G356=RptMonth,F356="Expense",N(E356)&lt;0),-E356+ROW()/10000000,"")</f>
        <v/>
      </c>
    </row>
    <row r="357">
      <c r="A357" s="86" t="n">
        <v>46086</v>
      </c>
      <c r="B357" s="87" t="inlineStr">
        <is>
          <t>Rewards Visa</t>
        </is>
      </c>
      <c r="C357" s="87" t="inlineStr">
        <is>
          <t>BLUE MOON DINER</t>
        </is>
      </c>
      <c r="D357" s="87" t="inlineStr">
        <is>
          <t>Dining Out</t>
        </is>
      </c>
      <c r="E357" s="88" t="n">
        <v>-58.83</v>
      </c>
      <c r="F357" s="89">
        <f>IF(E357="","",IF(OR(D357="",D357="Uncategorized"),IF(E357&lt;0,"Expense","Income"),IFERROR(INDEX(Categories!$B$6:$B$65,MATCH(D357,Categories!$A$6:$A$65,0)),IF(E357&lt;0,"Expense","Income"))))</f>
        <v/>
      </c>
      <c r="G357" s="90">
        <f>IF(A357="","",DATE(YEAR(A357),MONTH(A357),1))</f>
        <v/>
      </c>
      <c r="H357" s="87" t="n"/>
      <c r="I357" s="87" t="n"/>
      <c r="J357" s="91" t="inlineStr">
        <is>
          <t>BLUE MOON DINER</t>
        </is>
      </c>
      <c r="K357" s="91" t="inlineStr">
        <is>
          <t>Sample Card Co</t>
        </is>
      </c>
      <c r="L357" s="91" t="inlineStr">
        <is>
          <t>Credit Card</t>
        </is>
      </c>
      <c r="M357" s="91" t="inlineStr">
        <is>
          <t>Visa_Statement.csv</t>
        </is>
      </c>
      <c r="N357" s="91" t="inlineStr">
        <is>
          <t>2026-10-15 20:14:07</t>
        </is>
      </c>
      <c r="O357" s="91" t="n"/>
      <c r="P357" s="91" t="inlineStr">
        <is>
          <t>REWARDS VISA|20260305|-5883|BLUEMOONDINER#1</t>
        </is>
      </c>
      <c r="Q357" s="92">
        <f>IF(AND(G357=RptMonth,F357="Expense",N(E357)&lt;0),-E357+ROW()/10000000,"")</f>
        <v/>
      </c>
    </row>
    <row r="358">
      <c r="A358" s="86" t="n">
        <v>46086</v>
      </c>
      <c r="B358" s="87" t="inlineStr">
        <is>
          <t>Rewards Visa</t>
        </is>
      </c>
      <c r="C358" s="87" t="inlineStr">
        <is>
          <t>PARKING METER</t>
        </is>
      </c>
      <c r="D358" s="87" t="inlineStr">
        <is>
          <t>Transportation</t>
        </is>
      </c>
      <c r="E358" s="88" t="n">
        <v>-14.85</v>
      </c>
      <c r="F358" s="89">
        <f>IF(E358="","",IF(OR(D358="",D358="Uncategorized"),IF(E358&lt;0,"Expense","Income"),IFERROR(INDEX(Categories!$B$6:$B$65,MATCH(D358,Categories!$A$6:$A$65,0)),IF(E358&lt;0,"Expense","Income"))))</f>
        <v/>
      </c>
      <c r="G358" s="90">
        <f>IF(A358="","",DATE(YEAR(A358),MONTH(A358),1))</f>
        <v/>
      </c>
      <c r="H358" s="87" t="n"/>
      <c r="I358" s="87" t="n"/>
      <c r="J358" s="91" t="inlineStr">
        <is>
          <t>PARKING METER</t>
        </is>
      </c>
      <c r="K358" s="91" t="inlineStr">
        <is>
          <t>Sample Card Co</t>
        </is>
      </c>
      <c r="L358" s="91" t="inlineStr">
        <is>
          <t>Credit Card</t>
        </is>
      </c>
      <c r="M358" s="91" t="inlineStr">
        <is>
          <t>Visa_Statement.csv</t>
        </is>
      </c>
      <c r="N358" s="91" t="inlineStr">
        <is>
          <t>2026-10-15 20:14:07</t>
        </is>
      </c>
      <c r="O358" s="91" t="n"/>
      <c r="P358" s="91" t="inlineStr">
        <is>
          <t>REWARDS VISA|20260305|-1485|PARKINGMETER#1</t>
        </is>
      </c>
      <c r="Q358" s="92">
        <f>IF(AND(G358=RptMonth,F358="Expense",N(E358)&lt;0),-E358+ROW()/10000000,"")</f>
        <v/>
      </c>
    </row>
    <row r="359">
      <c r="A359" s="86" t="n">
        <v>46085</v>
      </c>
      <c r="B359" s="87" t="inlineStr">
        <is>
          <t>Rewards Visa</t>
        </is>
      </c>
      <c r="C359" s="87" t="inlineStr">
        <is>
          <t>SWEETGREEN PALISADES</t>
        </is>
      </c>
      <c r="D359" s="87" t="inlineStr">
        <is>
          <t>Dining Out</t>
        </is>
      </c>
      <c r="E359" s="88" t="n">
        <v>-16.26</v>
      </c>
      <c r="F359" s="89">
        <f>IF(E359="","",IF(OR(D359="",D359="Uncategorized"),IF(E359&lt;0,"Expense","Income"),IFERROR(INDEX(Categories!$B$6:$B$65,MATCH(D359,Categories!$A$6:$A$65,0)),IF(E359&lt;0,"Expense","Income"))))</f>
        <v/>
      </c>
      <c r="G359" s="90">
        <f>IF(A359="","",DATE(YEAR(A359),MONTH(A359),1))</f>
        <v/>
      </c>
      <c r="H359" s="87" t="n"/>
      <c r="I359" s="87" t="n"/>
      <c r="J359" s="91" t="inlineStr">
        <is>
          <t>SWEETGREEN PALISADES</t>
        </is>
      </c>
      <c r="K359" s="91" t="inlineStr">
        <is>
          <t>Sample Card Co</t>
        </is>
      </c>
      <c r="L359" s="91" t="inlineStr">
        <is>
          <t>Credit Card</t>
        </is>
      </c>
      <c r="M359" s="91" t="inlineStr">
        <is>
          <t>Visa_Statement.csv</t>
        </is>
      </c>
      <c r="N359" s="91" t="inlineStr">
        <is>
          <t>2026-10-15 20:14:07</t>
        </is>
      </c>
      <c r="O359" s="91" t="n"/>
      <c r="P359" s="91" t="inlineStr">
        <is>
          <t>REWARDS VISA|20260304|-1626|SWEETGREENPALISADES#1</t>
        </is>
      </c>
      <c r="Q359" s="92">
        <f>IF(AND(G359=RptMonth,F359="Expense",N(E359)&lt;0),-E359+ROW()/10000000,"")</f>
        <v/>
      </c>
    </row>
    <row r="360">
      <c r="A360" s="86" t="n">
        <v>46084</v>
      </c>
      <c r="B360" s="87" t="inlineStr">
        <is>
          <t>Everyday Checking</t>
        </is>
      </c>
      <c r="C360" s="87" t="inlineStr">
        <is>
          <t>GEICO AUTO INSURANCE</t>
        </is>
      </c>
      <c r="D360" s="87" t="inlineStr">
        <is>
          <t>Insurance</t>
        </is>
      </c>
      <c r="E360" s="88" t="n">
        <v>-142.5</v>
      </c>
      <c r="F360" s="89">
        <f>IF(E360="","",IF(OR(D360="",D360="Uncategorized"),IF(E360&lt;0,"Expense","Income"),IFERROR(INDEX(Categories!$B$6:$B$65,MATCH(D360,Categories!$A$6:$A$65,0)),IF(E360&lt;0,"Expense","Income"))))</f>
        <v/>
      </c>
      <c r="G360" s="90">
        <f>IF(A360="","",DATE(YEAR(A360),MONTH(A360),1))</f>
        <v/>
      </c>
      <c r="H360" s="87" t="n"/>
      <c r="I360" s="87" t="n"/>
      <c r="J360" s="91" t="inlineStr">
        <is>
          <t>GEICO AUTO INSURANCE</t>
        </is>
      </c>
      <c r="K360" s="91" t="inlineStr">
        <is>
          <t>Sample Bank</t>
        </is>
      </c>
      <c r="L360" s="91" t="inlineStr">
        <is>
          <t>Checking</t>
        </is>
      </c>
      <c r="M360" s="91" t="inlineStr">
        <is>
          <t>Checking_Activity.csv</t>
        </is>
      </c>
      <c r="N360" s="91" t="inlineStr">
        <is>
          <t>2026-10-15 20:14:07</t>
        </is>
      </c>
      <c r="O360" s="91" t="n"/>
      <c r="P360" s="91" t="inlineStr">
        <is>
          <t>EVERYDAY CHECKING|20260303|-14250|GEICOAUTOINSURANCE#1</t>
        </is>
      </c>
      <c r="Q360" s="92">
        <f>IF(AND(G360=RptMonth,F360="Expense",N(E360)&lt;0),-E360+ROW()/10000000,"")</f>
        <v/>
      </c>
    </row>
    <row r="361">
      <c r="A361" s="86" t="n">
        <v>46084</v>
      </c>
      <c r="B361" s="87" t="inlineStr">
        <is>
          <t>Rewards Visa</t>
        </is>
      </c>
      <c r="C361" s="87" t="inlineStr">
        <is>
          <t>TARGET 00012345</t>
        </is>
      </c>
      <c r="D361" s="87" t="inlineStr">
        <is>
          <t>Shopping</t>
        </is>
      </c>
      <c r="E361" s="88" t="n">
        <v>-36.54</v>
      </c>
      <c r="F361" s="89">
        <f>IF(E361="","",IF(OR(D361="",D361="Uncategorized"),IF(E361&lt;0,"Expense","Income"),IFERROR(INDEX(Categories!$B$6:$B$65,MATCH(D361,Categories!$A$6:$A$65,0)),IF(E361&lt;0,"Expense","Income"))))</f>
        <v/>
      </c>
      <c r="G361" s="90">
        <f>IF(A361="","",DATE(YEAR(A361),MONTH(A361),1))</f>
        <v/>
      </c>
      <c r="H361" s="87" t="n"/>
      <c r="I361" s="87" t="n"/>
      <c r="J361" s="91" t="inlineStr">
        <is>
          <t>TARGET 00012345</t>
        </is>
      </c>
      <c r="K361" s="91" t="inlineStr">
        <is>
          <t>Sample Card Co</t>
        </is>
      </c>
      <c r="L361" s="91" t="inlineStr">
        <is>
          <t>Credit Card</t>
        </is>
      </c>
      <c r="M361" s="91" t="inlineStr">
        <is>
          <t>Visa_Statement.csv</t>
        </is>
      </c>
      <c r="N361" s="91" t="inlineStr">
        <is>
          <t>2026-10-15 20:14:07</t>
        </is>
      </c>
      <c r="O361" s="91" t="n"/>
      <c r="P361" s="91" t="inlineStr">
        <is>
          <t>REWARDS VISA|20260303|-3654|TARGET00012345#1</t>
        </is>
      </c>
      <c r="Q361" s="92">
        <f>IF(AND(G361=RptMonth,F361="Expense",N(E361)&lt;0),-E361+ROW()/10000000,"")</f>
        <v/>
      </c>
    </row>
    <row r="362">
      <c r="A362" s="86" t="n">
        <v>46083</v>
      </c>
      <c r="B362" s="87" t="inlineStr">
        <is>
          <t>Rewards Visa</t>
        </is>
      </c>
      <c r="C362" s="87" t="inlineStr">
        <is>
          <t>NETFLIX.COM</t>
        </is>
      </c>
      <c r="D362" s="87" t="inlineStr">
        <is>
          <t>Subscriptions</t>
        </is>
      </c>
      <c r="E362" s="88" t="n">
        <v>-15.49</v>
      </c>
      <c r="F362" s="89">
        <f>IF(E362="","",IF(OR(D362="",D362="Uncategorized"),IF(E362&lt;0,"Expense","Income"),IFERROR(INDEX(Categories!$B$6:$B$65,MATCH(D362,Categories!$A$6:$A$65,0)),IF(E362&lt;0,"Expense","Income"))))</f>
        <v/>
      </c>
      <c r="G362" s="90">
        <f>IF(A362="","",DATE(YEAR(A362),MONTH(A362),1))</f>
        <v/>
      </c>
      <c r="H362" s="87" t="n"/>
      <c r="I362" s="87" t="n"/>
      <c r="J362" s="91" t="inlineStr">
        <is>
          <t>NETFLIX.COM</t>
        </is>
      </c>
      <c r="K362" s="91" t="inlineStr">
        <is>
          <t>Sample Card Co</t>
        </is>
      </c>
      <c r="L362" s="91" t="inlineStr">
        <is>
          <t>Credit Card</t>
        </is>
      </c>
      <c r="M362" s="91" t="inlineStr">
        <is>
          <t>Visa_Statement.csv</t>
        </is>
      </c>
      <c r="N362" s="91" t="inlineStr">
        <is>
          <t>2026-10-15 20:14:07</t>
        </is>
      </c>
      <c r="O362" s="91" t="n"/>
      <c r="P362" s="91" t="inlineStr">
        <is>
          <t>REWARDS VISA|20260302|-1549|NETFLIXCOM#1</t>
        </is>
      </c>
      <c r="Q362" s="92">
        <f>IF(AND(G362=RptMonth,F362="Expense",N(E362)&lt;0),-E362+ROW()/10000000,"")</f>
        <v/>
      </c>
    </row>
    <row r="363">
      <c r="A363" s="86" t="n">
        <v>46082</v>
      </c>
      <c r="B363" s="87" t="inlineStr">
        <is>
          <t>Everyday Checking</t>
        </is>
      </c>
      <c r="C363" s="87" t="inlineStr">
        <is>
          <t>SAMPLE MORTGAGE CO PAYMENT</t>
        </is>
      </c>
      <c r="D363" s="87" t="inlineStr">
        <is>
          <t>Mortgage / Rent</t>
        </is>
      </c>
      <c r="E363" s="88" t="n">
        <v>-2450</v>
      </c>
      <c r="F363" s="89">
        <f>IF(E363="","",IF(OR(D363="",D363="Uncategorized"),IF(E363&lt;0,"Expense","Income"),IFERROR(INDEX(Categories!$B$6:$B$65,MATCH(D363,Categories!$A$6:$A$65,0)),IF(E363&lt;0,"Expense","Income"))))</f>
        <v/>
      </c>
      <c r="G363" s="90">
        <f>IF(A363="","",DATE(YEAR(A363),MONTH(A363),1))</f>
        <v/>
      </c>
      <c r="H363" s="87" t="inlineStr">
        <is>
          <t>Includes escrow for taxes and insurance</t>
        </is>
      </c>
      <c r="I363" s="87" t="n"/>
      <c r="J363" s="91" t="inlineStr">
        <is>
          <t>SAMPLE MORTGAGE CO PAYMENT</t>
        </is>
      </c>
      <c r="K363" s="91" t="inlineStr">
        <is>
          <t>Sample Bank</t>
        </is>
      </c>
      <c r="L363" s="91" t="inlineStr">
        <is>
          <t>Checking</t>
        </is>
      </c>
      <c r="M363" s="91" t="inlineStr">
        <is>
          <t>Checking_Activity.csv</t>
        </is>
      </c>
      <c r="N363" s="91" t="inlineStr">
        <is>
          <t>2026-10-15 20:14:07</t>
        </is>
      </c>
      <c r="O363" s="91" t="n"/>
      <c r="P363" s="91" t="inlineStr">
        <is>
          <t>EVERYDAY CHECKING|20260301|-245000|SAMPLEMORTGAGECOPAYMENT#1</t>
        </is>
      </c>
      <c r="Q363" s="92">
        <f>IF(AND(G363=RptMonth,F363="Expense",N(E363)&lt;0),-E363+ROW()/10000000,"")</f>
        <v/>
      </c>
    </row>
    <row r="364">
      <c r="A364" s="86" t="n">
        <v>46082</v>
      </c>
      <c r="B364" s="87" t="inlineStr">
        <is>
          <t>Home Mortgage</t>
        </is>
      </c>
      <c r="C364" s="87" t="inlineStr">
        <is>
          <t>Payment</t>
        </is>
      </c>
      <c r="D364" s="87" t="inlineStr">
        <is>
          <t>Transfer</t>
        </is>
      </c>
      <c r="E364" s="88" t="n">
        <v>304.69</v>
      </c>
      <c r="F364" s="89">
        <f>IF(E364="","",IF(OR(D364="",D364="Uncategorized"),IF(E364&lt;0,"Expense","Income"),IFERROR(INDEX(Categories!$B$6:$B$65,MATCH(D364,Categories!$A$6:$A$65,0)),IF(E364&lt;0,"Expense","Income"))))</f>
        <v/>
      </c>
      <c r="G364" s="90">
        <f>IF(A364="","",DATE(YEAR(A364),MONTH(A364),1))</f>
        <v/>
      </c>
      <c r="H364" s="87" t="n"/>
      <c r="I364" s="87" t="n"/>
      <c r="J364" s="91" t="inlineStr">
        <is>
          <t>Payment</t>
        </is>
      </c>
      <c r="K364" s="91" t="inlineStr">
        <is>
          <t>Sample Mortgage Co</t>
        </is>
      </c>
      <c r="L364" s="91" t="inlineStr">
        <is>
          <t>Mortgage</t>
        </is>
      </c>
      <c r="M364" s="91" t="inlineStr">
        <is>
          <t>Mortgage_History.xlsx</t>
        </is>
      </c>
      <c r="N364" s="91" t="inlineStr">
        <is>
          <t>2026-10-15 20:14:07</t>
        </is>
      </c>
      <c r="O364" s="91" t="n"/>
      <c r="P364" s="91" t="inlineStr">
        <is>
          <t>HOME MORTGAGE|20260301|30469|PAYMENT#1</t>
        </is>
      </c>
      <c r="Q364" s="92">
        <f>IF(AND(G364=RptMonth,F364="Expense",N(E364)&lt;0),-E364+ROW()/10000000,"")</f>
        <v/>
      </c>
    </row>
    <row r="365">
      <c r="A365" s="86" t="n">
        <v>46081</v>
      </c>
      <c r="B365" s="87" t="inlineStr">
        <is>
          <t>High-Yield Savings</t>
        </is>
      </c>
      <c r="C365" s="87" t="inlineStr">
        <is>
          <t>INTEREST PAYMENT</t>
        </is>
      </c>
      <c r="D365" s="87" t="inlineStr">
        <is>
          <t>Interest &amp; Dividends</t>
        </is>
      </c>
      <c r="E365" s="88" t="n">
        <v>46.46</v>
      </c>
      <c r="F365" s="89">
        <f>IF(E365="","",IF(OR(D365="",D365="Uncategorized"),IF(E365&lt;0,"Expense","Income"),IFERROR(INDEX(Categories!$B$6:$B$65,MATCH(D365,Categories!$A$6:$A$65,0)),IF(E365&lt;0,"Expense","Income"))))</f>
        <v/>
      </c>
      <c r="G365" s="90">
        <f>IF(A365="","",DATE(YEAR(A365),MONTH(A365),1))</f>
        <v/>
      </c>
      <c r="H365" s="87" t="n"/>
      <c r="I365" s="87" t="n"/>
      <c r="J365" s="91" t="inlineStr">
        <is>
          <t>INTEREST PAYMENT</t>
        </is>
      </c>
      <c r="K365" s="91" t="inlineStr">
        <is>
          <t>Sample Bank</t>
        </is>
      </c>
      <c r="L365" s="91" t="inlineStr">
        <is>
          <t>Savings</t>
        </is>
      </c>
      <c r="M365" s="91" t="inlineStr">
        <is>
          <t>Savings.qfx</t>
        </is>
      </c>
      <c r="N365" s="91" t="inlineStr">
        <is>
          <t>2026-10-15 20:14:07</t>
        </is>
      </c>
      <c r="O365" s="91" t="inlineStr">
        <is>
          <t>773002026022801</t>
        </is>
      </c>
      <c r="P365" s="91" t="inlineStr">
        <is>
          <t>HIGH-YIELD SAVINGS|ID|773002026022801#1</t>
        </is>
      </c>
      <c r="Q365" s="92">
        <f>IF(AND(G365=RptMonth,F365="Expense",N(E365)&lt;0),-E365+ROW()/10000000,"")</f>
        <v/>
      </c>
    </row>
    <row r="366">
      <c r="A366" s="86" t="n">
        <v>46081</v>
      </c>
      <c r="B366" s="87" t="inlineStr">
        <is>
          <t>Rewards Visa</t>
        </is>
      </c>
      <c r="C366" s="87" t="inlineStr">
        <is>
          <t>H MART #112</t>
        </is>
      </c>
      <c r="D366" s="87" t="inlineStr">
        <is>
          <t>Groceries</t>
        </is>
      </c>
      <c r="E366" s="88" t="n">
        <v>-110.13</v>
      </c>
      <c r="F366" s="89">
        <f>IF(E366="","",IF(OR(D366="",D366="Uncategorized"),IF(E366&lt;0,"Expense","Income"),IFERROR(INDEX(Categories!$B$6:$B$65,MATCH(D366,Categories!$A$6:$A$65,0)),IF(E366&lt;0,"Expense","Income"))))</f>
        <v/>
      </c>
      <c r="G366" s="90">
        <f>IF(A366="","",DATE(YEAR(A366),MONTH(A366),1))</f>
        <v/>
      </c>
      <c r="H366" s="87" t="n"/>
      <c r="I366" s="87" t="n"/>
      <c r="J366" s="91" t="inlineStr">
        <is>
          <t>H MART #112</t>
        </is>
      </c>
      <c r="K366" s="91" t="inlineStr">
        <is>
          <t>Sample Card Co</t>
        </is>
      </c>
      <c r="L366" s="91" t="inlineStr">
        <is>
          <t>Credit Card</t>
        </is>
      </c>
      <c r="M366" s="91" t="inlineStr">
        <is>
          <t>Visa_Statement.csv</t>
        </is>
      </c>
      <c r="N366" s="91" t="inlineStr">
        <is>
          <t>2026-10-15 20:14:07</t>
        </is>
      </c>
      <c r="O366" s="91" t="n"/>
      <c r="P366" s="91" t="inlineStr">
        <is>
          <t>REWARDS VISA|20260228|-11013|HMART112#1</t>
        </is>
      </c>
      <c r="Q366" s="92">
        <f>IF(AND(G366=RptMonth,F366="Expense",N(E366)&lt;0),-E366+ROW()/10000000,"")</f>
        <v/>
      </c>
    </row>
    <row r="367">
      <c r="A367" s="86" t="n">
        <v>46081</v>
      </c>
      <c r="B367" s="87" t="inlineStr">
        <is>
          <t>Rewards Visa</t>
        </is>
      </c>
      <c r="C367" s="87" t="inlineStr">
        <is>
          <t>SWEETGREEN PALISADES</t>
        </is>
      </c>
      <c r="D367" s="87" t="inlineStr">
        <is>
          <t>Dining Out</t>
        </is>
      </c>
      <c r="E367" s="88" t="n">
        <v>-46.77</v>
      </c>
      <c r="F367" s="89">
        <f>IF(E367="","",IF(OR(D367="",D367="Uncategorized"),IF(E367&lt;0,"Expense","Income"),IFERROR(INDEX(Categories!$B$6:$B$65,MATCH(D367,Categories!$A$6:$A$65,0)),IF(E367&lt;0,"Expense","Income"))))</f>
        <v/>
      </c>
      <c r="G367" s="90">
        <f>IF(A367="","",DATE(YEAR(A367),MONTH(A367),1))</f>
        <v/>
      </c>
      <c r="H367" s="87" t="n"/>
      <c r="I367" s="87" t="n"/>
      <c r="J367" s="91" t="inlineStr">
        <is>
          <t>SWEETGREEN PALISADES</t>
        </is>
      </c>
      <c r="K367" s="91" t="inlineStr">
        <is>
          <t>Sample Card Co</t>
        </is>
      </c>
      <c r="L367" s="91" t="inlineStr">
        <is>
          <t>Credit Card</t>
        </is>
      </c>
      <c r="M367" s="91" t="inlineStr">
        <is>
          <t>Visa_Statement.csv</t>
        </is>
      </c>
      <c r="N367" s="91" t="inlineStr">
        <is>
          <t>2026-10-15 20:14:07</t>
        </is>
      </c>
      <c r="O367" s="91" t="n"/>
      <c r="P367" s="91" t="inlineStr">
        <is>
          <t>REWARDS VISA|20260228|-4677|SWEETGREENPALISADES#1</t>
        </is>
      </c>
      <c r="Q367" s="92">
        <f>IF(AND(G367=RptMonth,F367="Expense",N(E367)&lt;0),-E367+ROW()/10000000,"")</f>
        <v/>
      </c>
    </row>
    <row r="368">
      <c r="A368" s="86" t="n">
        <v>46080</v>
      </c>
      <c r="B368" s="87" t="inlineStr">
        <is>
          <t>Rewards Visa</t>
        </is>
      </c>
      <c r="C368" s="87" t="inlineStr">
        <is>
          <t>STARBUCKS STORE 08123</t>
        </is>
      </c>
      <c r="D368" s="87" t="inlineStr">
        <is>
          <t>Dining Out</t>
        </is>
      </c>
      <c r="E368" s="88" t="n">
        <v>-59.19</v>
      </c>
      <c r="F368" s="89">
        <f>IF(E368="","",IF(OR(D368="",D368="Uncategorized"),IF(E368&lt;0,"Expense","Income"),IFERROR(INDEX(Categories!$B$6:$B$65,MATCH(D368,Categories!$A$6:$A$65,0)),IF(E368&lt;0,"Expense","Income"))))</f>
        <v/>
      </c>
      <c r="G368" s="90">
        <f>IF(A368="","",DATE(YEAR(A368),MONTH(A368),1))</f>
        <v/>
      </c>
      <c r="H368" s="87" t="n"/>
      <c r="I368" s="87" t="n"/>
      <c r="J368" s="91" t="inlineStr">
        <is>
          <t>STARBUCKS STORE 08123</t>
        </is>
      </c>
      <c r="K368" s="91" t="inlineStr">
        <is>
          <t>Sample Card Co</t>
        </is>
      </c>
      <c r="L368" s="91" t="inlineStr">
        <is>
          <t>Credit Card</t>
        </is>
      </c>
      <c r="M368" s="91" t="inlineStr">
        <is>
          <t>Visa_Statement.csv</t>
        </is>
      </c>
      <c r="N368" s="91" t="inlineStr">
        <is>
          <t>2026-10-15 20:14:07</t>
        </is>
      </c>
      <c r="O368" s="91" t="n"/>
      <c r="P368" s="91" t="inlineStr">
        <is>
          <t>REWARDS VISA|20260227|-5919|STARBUCKSSTORE08123#1</t>
        </is>
      </c>
      <c r="Q368" s="92">
        <f>IF(AND(G368=RptMonth,F368="Expense",N(E368)&lt;0),-E368+ROW()/10000000,"")</f>
        <v/>
      </c>
    </row>
    <row r="369">
      <c r="A369" s="86" t="n">
        <v>46079</v>
      </c>
      <c r="B369" s="87" t="inlineStr">
        <is>
          <t>Rewards Visa</t>
        </is>
      </c>
      <c r="C369" s="87" t="inlineStr">
        <is>
          <t>BEST BUY 00412</t>
        </is>
      </c>
      <c r="D369" s="87" t="inlineStr">
        <is>
          <t>Shopping</t>
        </is>
      </c>
      <c r="E369" s="88" t="n">
        <v>-42.79</v>
      </c>
      <c r="F369" s="89">
        <f>IF(E369="","",IF(OR(D369="",D369="Uncategorized"),IF(E369&lt;0,"Expense","Income"),IFERROR(INDEX(Categories!$B$6:$B$65,MATCH(D369,Categories!$A$6:$A$65,0)),IF(E369&lt;0,"Expense","Income"))))</f>
        <v/>
      </c>
      <c r="G369" s="90">
        <f>IF(A369="","",DATE(YEAR(A369),MONTH(A369),1))</f>
        <v/>
      </c>
      <c r="H369" s="87" t="n"/>
      <c r="I369" s="87" t="n"/>
      <c r="J369" s="91" t="inlineStr">
        <is>
          <t>BEST BUY 00412</t>
        </is>
      </c>
      <c r="K369" s="91" t="inlineStr">
        <is>
          <t>Sample Card Co</t>
        </is>
      </c>
      <c r="L369" s="91" t="inlineStr">
        <is>
          <t>Credit Card</t>
        </is>
      </c>
      <c r="M369" s="91" t="inlineStr">
        <is>
          <t>Visa_Statement.csv</t>
        </is>
      </c>
      <c r="N369" s="91" t="inlineStr">
        <is>
          <t>2026-10-15 20:14:07</t>
        </is>
      </c>
      <c r="O369" s="91" t="n"/>
      <c r="P369" s="91" t="inlineStr">
        <is>
          <t>REWARDS VISA|20260226|-4279|BESTBUY00412#1</t>
        </is>
      </c>
      <c r="Q369" s="92">
        <f>IF(AND(G369=RptMonth,F369="Expense",N(E369)&lt;0),-E369+ROW()/10000000,"")</f>
        <v/>
      </c>
    </row>
    <row r="370">
      <c r="A370" s="86" t="n">
        <v>46078</v>
      </c>
      <c r="B370" s="87" t="inlineStr">
        <is>
          <t>Rewards Visa</t>
        </is>
      </c>
      <c r="C370" s="87" t="inlineStr">
        <is>
          <t>TARGET 00012345</t>
        </is>
      </c>
      <c r="D370" s="87" t="inlineStr">
        <is>
          <t>Shopping</t>
        </is>
      </c>
      <c r="E370" s="88" t="n">
        <v>-101.01</v>
      </c>
      <c r="F370" s="89">
        <f>IF(E370="","",IF(OR(D370="",D370="Uncategorized"),IF(E370&lt;0,"Expense","Income"),IFERROR(INDEX(Categories!$B$6:$B$65,MATCH(D370,Categories!$A$6:$A$65,0)),IF(E370&lt;0,"Expense","Income"))))</f>
        <v/>
      </c>
      <c r="G370" s="90">
        <f>IF(A370="","",DATE(YEAR(A370),MONTH(A370),1))</f>
        <v/>
      </c>
      <c r="H370" s="87" t="n"/>
      <c r="I370" s="87" t="n"/>
      <c r="J370" s="91" t="inlineStr">
        <is>
          <t>TARGET 00012345</t>
        </is>
      </c>
      <c r="K370" s="91" t="inlineStr">
        <is>
          <t>Sample Card Co</t>
        </is>
      </c>
      <c r="L370" s="91" t="inlineStr">
        <is>
          <t>Credit Card</t>
        </is>
      </c>
      <c r="M370" s="91" t="inlineStr">
        <is>
          <t>Visa_Statement.csv</t>
        </is>
      </c>
      <c r="N370" s="91" t="inlineStr">
        <is>
          <t>2026-10-15 20:14:07</t>
        </is>
      </c>
      <c r="O370" s="91" t="n"/>
      <c r="P370" s="91" t="inlineStr">
        <is>
          <t>REWARDS VISA|20260225|-10101|TARGET00012345#1</t>
        </is>
      </c>
      <c r="Q370" s="92">
        <f>IF(AND(G370=RptMonth,F370="Expense",N(E370)&lt;0),-E370+ROW()/10000000,"")</f>
        <v/>
      </c>
    </row>
    <row r="371">
      <c r="A371" s="86" t="n">
        <v>46078</v>
      </c>
      <c r="B371" s="87" t="inlineStr">
        <is>
          <t>Rewards Visa</t>
        </is>
      </c>
      <c r="C371" s="87" t="inlineStr">
        <is>
          <t>WHOLE FOODS MARKET #10312</t>
        </is>
      </c>
      <c r="D371" s="87" t="inlineStr">
        <is>
          <t>Groceries</t>
        </is>
      </c>
      <c r="E371" s="88" t="n">
        <v>-62.13</v>
      </c>
      <c r="F371" s="89">
        <f>IF(E371="","",IF(OR(D371="",D371="Uncategorized"),IF(E371&lt;0,"Expense","Income"),IFERROR(INDEX(Categories!$B$6:$B$65,MATCH(D371,Categories!$A$6:$A$65,0)),IF(E371&lt;0,"Expense","Income"))))</f>
        <v/>
      </c>
      <c r="G371" s="90">
        <f>IF(A371="","",DATE(YEAR(A371),MONTH(A371),1))</f>
        <v/>
      </c>
      <c r="H371" s="87" t="n"/>
      <c r="I371" s="87" t="n"/>
      <c r="J371" s="91" t="inlineStr">
        <is>
          <t>WHOLE FOODS MARKET #10312</t>
        </is>
      </c>
      <c r="K371" s="91" t="inlineStr">
        <is>
          <t>Sample Card Co</t>
        </is>
      </c>
      <c r="L371" s="91" t="inlineStr">
        <is>
          <t>Credit Card</t>
        </is>
      </c>
      <c r="M371" s="91" t="inlineStr">
        <is>
          <t>Visa_Statement.csv</t>
        </is>
      </c>
      <c r="N371" s="91" t="inlineStr">
        <is>
          <t>2026-10-15 20:14:07</t>
        </is>
      </c>
      <c r="O371" s="91" t="n"/>
      <c r="P371" s="91" t="inlineStr">
        <is>
          <t>REWARDS VISA|20260225|-6213|WHOLEFOODSMARKET10312#1</t>
        </is>
      </c>
      <c r="Q371" s="92">
        <f>IF(AND(G371=RptMonth,F371="Expense",N(E371)&lt;0),-E371+ROW()/10000000,"")</f>
        <v/>
      </c>
    </row>
    <row r="372">
      <c r="A372" s="86" t="n">
        <v>46077</v>
      </c>
      <c r="B372" s="87" t="inlineStr">
        <is>
          <t>Rewards Visa</t>
        </is>
      </c>
      <c r="C372" s="87" t="inlineStr">
        <is>
          <t>CVS/PHARMACY #02210</t>
        </is>
      </c>
      <c r="D372" s="87" t="inlineStr">
        <is>
          <t>Shopping</t>
        </is>
      </c>
      <c r="E372" s="88" t="n">
        <v>-21.35</v>
      </c>
      <c r="F372" s="89">
        <f>IF(E372="","",IF(OR(D372="",D372="Uncategorized"),IF(E372&lt;0,"Expense","Income"),IFERROR(INDEX(Categories!$B$6:$B$65,MATCH(D372,Categories!$A$6:$A$65,0)),IF(E372&lt;0,"Expense","Income"))))</f>
        <v/>
      </c>
      <c r="G372" s="90">
        <f>IF(A372="","",DATE(YEAR(A372),MONTH(A372),1))</f>
        <v/>
      </c>
      <c r="H372" s="87" t="n"/>
      <c r="I372" s="87" t="n"/>
      <c r="J372" s="91" t="inlineStr">
        <is>
          <t>CVS/PHARMACY #02210</t>
        </is>
      </c>
      <c r="K372" s="91" t="inlineStr">
        <is>
          <t>Sample Card Co</t>
        </is>
      </c>
      <c r="L372" s="91" t="inlineStr">
        <is>
          <t>Credit Card</t>
        </is>
      </c>
      <c r="M372" s="91" t="inlineStr">
        <is>
          <t>Visa_Statement.csv</t>
        </is>
      </c>
      <c r="N372" s="91" t="inlineStr">
        <is>
          <t>2026-10-15 20:14:07</t>
        </is>
      </c>
      <c r="O372" s="91" t="n"/>
      <c r="P372" s="91" t="inlineStr">
        <is>
          <t>REWARDS VISA|20260224|-2135|CVSPHARMACY02210#1</t>
        </is>
      </c>
      <c r="Q372" s="92">
        <f>IF(AND(G372=RptMonth,F372="Expense",N(E372)&lt;0),-E372+ROW()/10000000,"")</f>
        <v/>
      </c>
    </row>
    <row r="373">
      <c r="A373" s="86" t="n">
        <v>46077</v>
      </c>
      <c r="B373" s="87" t="inlineStr">
        <is>
          <t>Rewards Visa</t>
        </is>
      </c>
      <c r="C373" s="87" t="inlineStr">
        <is>
          <t>SUNOCO 0391</t>
        </is>
      </c>
      <c r="D373" s="87" t="inlineStr">
        <is>
          <t>Gas &amp; Fuel</t>
        </is>
      </c>
      <c r="E373" s="88" t="n">
        <v>-59.62</v>
      </c>
      <c r="F373" s="89">
        <f>IF(E373="","",IF(OR(D373="",D373="Uncategorized"),IF(E373&lt;0,"Expense","Income"),IFERROR(INDEX(Categories!$B$6:$B$65,MATCH(D373,Categories!$A$6:$A$65,0)),IF(E373&lt;0,"Expense","Income"))))</f>
        <v/>
      </c>
      <c r="G373" s="90">
        <f>IF(A373="","",DATE(YEAR(A373),MONTH(A373),1))</f>
        <v/>
      </c>
      <c r="H373" s="87" t="n"/>
      <c r="I373" s="87" t="n"/>
      <c r="J373" s="91" t="inlineStr">
        <is>
          <t>SUNOCO 0391</t>
        </is>
      </c>
      <c r="K373" s="91" t="inlineStr">
        <is>
          <t>Sample Card Co</t>
        </is>
      </c>
      <c r="L373" s="91" t="inlineStr">
        <is>
          <t>Credit Card</t>
        </is>
      </c>
      <c r="M373" s="91" t="inlineStr">
        <is>
          <t>Visa_Statement.csv</t>
        </is>
      </c>
      <c r="N373" s="91" t="inlineStr">
        <is>
          <t>2026-10-15 20:14:07</t>
        </is>
      </c>
      <c r="O373" s="91" t="n"/>
      <c r="P373" s="91" t="inlineStr">
        <is>
          <t>REWARDS VISA|20260224|-5962|SUNOCO0391#1</t>
        </is>
      </c>
      <c r="Q373" s="92">
        <f>IF(AND(G373=RptMonth,F373="Expense",N(E373)&lt;0),-E373+ROW()/10000000,"")</f>
        <v/>
      </c>
    </row>
    <row r="374">
      <c r="A374" s="86" t="n">
        <v>46077</v>
      </c>
      <c r="B374" s="87" t="inlineStr">
        <is>
          <t>Rewards Visa</t>
        </is>
      </c>
      <c r="C374" s="87" t="inlineStr">
        <is>
          <t>TICKETMASTER</t>
        </is>
      </c>
      <c r="D374" s="87" t="inlineStr">
        <is>
          <t>Entertainment</t>
        </is>
      </c>
      <c r="E374" s="88" t="n">
        <v>-53.55</v>
      </c>
      <c r="F374" s="89">
        <f>IF(E374="","",IF(OR(D374="",D374="Uncategorized"),IF(E374&lt;0,"Expense","Income"),IFERROR(INDEX(Categories!$B$6:$B$65,MATCH(D374,Categories!$A$6:$A$65,0)),IF(E374&lt;0,"Expense","Income"))))</f>
        <v/>
      </c>
      <c r="G374" s="90">
        <f>IF(A374="","",DATE(YEAR(A374),MONTH(A374),1))</f>
        <v/>
      </c>
      <c r="H374" s="87" t="n"/>
      <c r="I374" s="87" t="n"/>
      <c r="J374" s="91" t="inlineStr">
        <is>
          <t>TICKETMASTER</t>
        </is>
      </c>
      <c r="K374" s="91" t="inlineStr">
        <is>
          <t>Sample Card Co</t>
        </is>
      </c>
      <c r="L374" s="91" t="inlineStr">
        <is>
          <t>Credit Card</t>
        </is>
      </c>
      <c r="M374" s="91" t="inlineStr">
        <is>
          <t>Visa_Statement.csv</t>
        </is>
      </c>
      <c r="N374" s="91" t="inlineStr">
        <is>
          <t>2026-10-15 20:14:07</t>
        </is>
      </c>
      <c r="O374" s="91" t="n"/>
      <c r="P374" s="91" t="inlineStr">
        <is>
          <t>REWARDS VISA|20260224|-5355|TICKETMASTER#1</t>
        </is>
      </c>
      <c r="Q374" s="92">
        <f>IF(AND(G374=RptMonth,F374="Expense",N(E374)&lt;0),-E374+ROW()/10000000,"")</f>
        <v/>
      </c>
    </row>
    <row r="375">
      <c r="A375" s="86" t="n">
        <v>46074</v>
      </c>
      <c r="B375" s="87" t="inlineStr">
        <is>
          <t>Rewards Visa</t>
        </is>
      </c>
      <c r="C375" s="87" t="inlineStr">
        <is>
          <t>GREAT CLIPS #4410</t>
        </is>
      </c>
      <c r="D375" s="87" t="inlineStr">
        <is>
          <t>Personal Care</t>
        </is>
      </c>
      <c r="E375" s="88" t="n">
        <v>-31.33</v>
      </c>
      <c r="F375" s="89">
        <f>IF(E375="","",IF(OR(D375="",D375="Uncategorized"),IF(E375&lt;0,"Expense","Income"),IFERROR(INDEX(Categories!$B$6:$B$65,MATCH(D375,Categories!$A$6:$A$65,0)),IF(E375&lt;0,"Expense","Income"))))</f>
        <v/>
      </c>
      <c r="G375" s="90">
        <f>IF(A375="","",DATE(YEAR(A375),MONTH(A375),1))</f>
        <v/>
      </c>
      <c r="H375" s="87" t="n"/>
      <c r="I375" s="87" t="n"/>
      <c r="J375" s="91" t="inlineStr">
        <is>
          <t>GREAT CLIPS #4410</t>
        </is>
      </c>
      <c r="K375" s="91" t="inlineStr">
        <is>
          <t>Sample Card Co</t>
        </is>
      </c>
      <c r="L375" s="91" t="inlineStr">
        <is>
          <t>Credit Card</t>
        </is>
      </c>
      <c r="M375" s="91" t="inlineStr">
        <is>
          <t>Visa_Statement.csv</t>
        </is>
      </c>
      <c r="N375" s="91" t="inlineStr">
        <is>
          <t>2026-10-15 20:14:07</t>
        </is>
      </c>
      <c r="O375" s="91" t="n"/>
      <c r="P375" s="91" t="inlineStr">
        <is>
          <t>REWARDS VISA|20260221|-3133|GREATCLIPS4410#1</t>
        </is>
      </c>
      <c r="Q375" s="92">
        <f>IF(AND(G375=RptMonth,F375="Expense",N(E375)&lt;0),-E375+ROW()/10000000,"")</f>
        <v/>
      </c>
    </row>
    <row r="376">
      <c r="A376" s="86" t="n">
        <v>46074</v>
      </c>
      <c r="B376" s="87" t="inlineStr">
        <is>
          <t>Rewards Visa</t>
        </is>
      </c>
      <c r="C376" s="87" t="inlineStr">
        <is>
          <t>SHOPRITE #0234</t>
        </is>
      </c>
      <c r="D376" s="87" t="inlineStr">
        <is>
          <t>Groceries</t>
        </is>
      </c>
      <c r="E376" s="88" t="n">
        <v>-149.11</v>
      </c>
      <c r="F376" s="89">
        <f>IF(E376="","",IF(OR(D376="",D376="Uncategorized"),IF(E376&lt;0,"Expense","Income"),IFERROR(INDEX(Categories!$B$6:$B$65,MATCH(D376,Categories!$A$6:$A$65,0)),IF(E376&lt;0,"Expense","Income"))))</f>
        <v/>
      </c>
      <c r="G376" s="90">
        <f>IF(A376="","",DATE(YEAR(A376),MONTH(A376),1))</f>
        <v/>
      </c>
      <c r="H376" s="87" t="n"/>
      <c r="I376" s="87" t="n"/>
      <c r="J376" s="91" t="inlineStr">
        <is>
          <t>SHOPRITE #0234</t>
        </is>
      </c>
      <c r="K376" s="91" t="inlineStr">
        <is>
          <t>Sample Card Co</t>
        </is>
      </c>
      <c r="L376" s="91" t="inlineStr">
        <is>
          <t>Credit Card</t>
        </is>
      </c>
      <c r="M376" s="91" t="inlineStr">
        <is>
          <t>Visa_Statement.csv</t>
        </is>
      </c>
      <c r="N376" s="91" t="inlineStr">
        <is>
          <t>2026-10-15 20:14:07</t>
        </is>
      </c>
      <c r="O376" s="91" t="n"/>
      <c r="P376" s="91" t="inlineStr">
        <is>
          <t>REWARDS VISA|20260221|-14911|SHOPRITE0234#1</t>
        </is>
      </c>
      <c r="Q376" s="92">
        <f>IF(AND(G376=RptMonth,F376="Expense",N(E376)&lt;0),-E376+ROW()/10000000,"")</f>
        <v/>
      </c>
    </row>
    <row r="377">
      <c r="A377" s="86" t="n">
        <v>46073</v>
      </c>
      <c r="B377" s="87" t="inlineStr">
        <is>
          <t>Everyday Checking</t>
        </is>
      </c>
      <c r="C377" s="87" t="inlineStr">
        <is>
          <t>ACME CORP PAYROLL DIR DEP</t>
        </is>
      </c>
      <c r="D377" s="87" t="inlineStr">
        <is>
          <t>Salary</t>
        </is>
      </c>
      <c r="E377" s="88" t="n">
        <v>3352.18</v>
      </c>
      <c r="F377" s="89">
        <f>IF(E377="","",IF(OR(D377="",D377="Uncategorized"),IF(E377&lt;0,"Expense","Income"),IFERROR(INDEX(Categories!$B$6:$B$65,MATCH(D377,Categories!$A$6:$A$65,0)),IF(E377&lt;0,"Expense","Income"))))</f>
        <v/>
      </c>
      <c r="G377" s="90">
        <f>IF(A377="","",DATE(YEAR(A377),MONTH(A377),1))</f>
        <v/>
      </c>
      <c r="H377" s="87" t="n"/>
      <c r="I377" s="87" t="n"/>
      <c r="J377" s="91" t="inlineStr">
        <is>
          <t>ACME CORP PAYROLL DIR DEP</t>
        </is>
      </c>
      <c r="K377" s="91" t="inlineStr">
        <is>
          <t>Sample Bank</t>
        </is>
      </c>
      <c r="L377" s="91" t="inlineStr">
        <is>
          <t>Checking</t>
        </is>
      </c>
      <c r="M377" s="91" t="inlineStr">
        <is>
          <t>Checking_Activity.csv</t>
        </is>
      </c>
      <c r="N377" s="91" t="inlineStr">
        <is>
          <t>2026-10-15 20:14:07</t>
        </is>
      </c>
      <c r="O377" s="91" t="n"/>
      <c r="P377" s="91" t="inlineStr">
        <is>
          <t>EVERYDAY CHECKING|20260220|335218|ACMECORPPAYROLLDIRDEP#1</t>
        </is>
      </c>
      <c r="Q377" s="92">
        <f>IF(AND(G377=RptMonth,F377="Expense",N(E377)&lt;0),-E377+ROW()/10000000,"")</f>
        <v/>
      </c>
    </row>
    <row r="378">
      <c r="A378" s="86" t="n">
        <v>46073</v>
      </c>
      <c r="B378" s="87" t="inlineStr">
        <is>
          <t>Everyday Checking</t>
        </is>
      </c>
      <c r="C378" s="87" t="inlineStr">
        <is>
          <t>CREDIT CARD PAYMENT REWARDS VISA</t>
        </is>
      </c>
      <c r="D378" s="87" t="inlineStr">
        <is>
          <t>Credit Card Payment</t>
        </is>
      </c>
      <c r="E378" s="88" t="n">
        <v>-1620.12</v>
      </c>
      <c r="F378" s="89">
        <f>IF(E378="","",IF(OR(D378="",D378="Uncategorized"),IF(E378&lt;0,"Expense","Income"),IFERROR(INDEX(Categories!$B$6:$B$65,MATCH(D378,Categories!$A$6:$A$65,0)),IF(E378&lt;0,"Expense","Income"))))</f>
        <v/>
      </c>
      <c r="G378" s="90">
        <f>IF(A378="","",DATE(YEAR(A378),MONTH(A378),1))</f>
        <v/>
      </c>
      <c r="H378" s="87" t="n"/>
      <c r="I378" s="87" t="n"/>
      <c r="J378" s="91" t="inlineStr">
        <is>
          <t>CREDIT CARD PAYMENT REWARDS VISA</t>
        </is>
      </c>
      <c r="K378" s="91" t="inlineStr">
        <is>
          <t>Sample Bank</t>
        </is>
      </c>
      <c r="L378" s="91" t="inlineStr">
        <is>
          <t>Checking</t>
        </is>
      </c>
      <c r="M378" s="91" t="inlineStr">
        <is>
          <t>Checking_Activity.csv</t>
        </is>
      </c>
      <c r="N378" s="91" t="inlineStr">
        <is>
          <t>2026-10-15 20:14:07</t>
        </is>
      </c>
      <c r="O378" s="91" t="n"/>
      <c r="P378" s="91" t="inlineStr">
        <is>
          <t>EVERYDAY CHECKING|20260220|-162012|CREDITCARDPAYMENTREWARDSVISA#1</t>
        </is>
      </c>
      <c r="Q378" s="92">
        <f>IF(AND(G378=RptMonth,F378="Expense",N(E378)&lt;0),-E378+ROW()/10000000,"")</f>
        <v/>
      </c>
    </row>
    <row r="379">
      <c r="A379" s="86" t="n">
        <v>46073</v>
      </c>
      <c r="B379" s="87" t="inlineStr">
        <is>
          <t>Rewards Visa</t>
        </is>
      </c>
      <c r="C379" s="87" t="inlineStr">
        <is>
          <t>PAYMENT THANK YOU</t>
        </is>
      </c>
      <c r="D379" s="87" t="inlineStr">
        <is>
          <t>Credit Card Payment</t>
        </is>
      </c>
      <c r="E379" s="88" t="n">
        <v>1620.12</v>
      </c>
      <c r="F379" s="89">
        <f>IF(E379="","",IF(OR(D379="",D379="Uncategorized"),IF(E379&lt;0,"Expense","Income"),IFERROR(INDEX(Categories!$B$6:$B$65,MATCH(D379,Categories!$A$6:$A$65,0)),IF(E379&lt;0,"Expense","Income"))))</f>
        <v/>
      </c>
      <c r="G379" s="90">
        <f>IF(A379="","",DATE(YEAR(A379),MONTH(A379),1))</f>
        <v/>
      </c>
      <c r="H379" s="87" t="n"/>
      <c r="I379" s="87" t="n"/>
      <c r="J379" s="91" t="inlineStr">
        <is>
          <t>PAYMENT THANK YOU</t>
        </is>
      </c>
      <c r="K379" s="91" t="inlineStr">
        <is>
          <t>Sample Card Co</t>
        </is>
      </c>
      <c r="L379" s="91" t="inlineStr">
        <is>
          <t>Credit Card</t>
        </is>
      </c>
      <c r="M379" s="91" t="inlineStr">
        <is>
          <t>Visa_Statement.csv</t>
        </is>
      </c>
      <c r="N379" s="91" t="inlineStr">
        <is>
          <t>2026-10-15 20:14:07</t>
        </is>
      </c>
      <c r="O379" s="91" t="n"/>
      <c r="P379" s="91" t="inlineStr">
        <is>
          <t>REWARDS VISA|20260220|162012|PAYMENTTHANKYOU#1</t>
        </is>
      </c>
      <c r="Q379" s="92">
        <f>IF(AND(G379=RptMonth,F379="Expense",N(E379)&lt;0),-E379+ROW()/10000000,"")</f>
        <v/>
      </c>
    </row>
    <row r="380">
      <c r="A380" s="86" t="n">
        <v>46073</v>
      </c>
      <c r="B380" s="87" t="inlineStr">
        <is>
          <t>Rewards Visa</t>
        </is>
      </c>
      <c r="C380" s="87" t="inlineStr">
        <is>
          <t>SHELL OIL 57444</t>
        </is>
      </c>
      <c r="D380" s="87" t="inlineStr">
        <is>
          <t>Gas &amp; Fuel</t>
        </is>
      </c>
      <c r="E380" s="88" t="n">
        <v>-45.22</v>
      </c>
      <c r="F380" s="89">
        <f>IF(E380="","",IF(OR(D380="",D380="Uncategorized"),IF(E380&lt;0,"Expense","Income"),IFERROR(INDEX(Categories!$B$6:$B$65,MATCH(D380,Categories!$A$6:$A$65,0)),IF(E380&lt;0,"Expense","Income"))))</f>
        <v/>
      </c>
      <c r="G380" s="90">
        <f>IF(A380="","",DATE(YEAR(A380),MONTH(A380),1))</f>
        <v/>
      </c>
      <c r="H380" s="87" t="n"/>
      <c r="I380" s="87" t="n"/>
      <c r="J380" s="91" t="inlineStr">
        <is>
          <t>SHELL OIL 57444</t>
        </is>
      </c>
      <c r="K380" s="91" t="inlineStr">
        <is>
          <t>Sample Card Co</t>
        </is>
      </c>
      <c r="L380" s="91" t="inlineStr">
        <is>
          <t>Credit Card</t>
        </is>
      </c>
      <c r="M380" s="91" t="inlineStr">
        <is>
          <t>Visa_Statement.csv</t>
        </is>
      </c>
      <c r="N380" s="91" t="inlineStr">
        <is>
          <t>2026-10-15 20:14:07</t>
        </is>
      </c>
      <c r="O380" s="91" t="n"/>
      <c r="P380" s="91" t="inlineStr">
        <is>
          <t>REWARDS VISA|20260220|-4522|SHELLOIL57444#1</t>
        </is>
      </c>
      <c r="Q380" s="92">
        <f>IF(AND(G380=RptMonth,F380="Expense",N(E380)&lt;0),-E380+ROW()/10000000,"")</f>
        <v/>
      </c>
    </row>
    <row r="381">
      <c r="A381" s="86" t="n">
        <v>46072</v>
      </c>
      <c r="B381" s="87" t="inlineStr">
        <is>
          <t>Rewards Visa</t>
        </is>
      </c>
      <c r="C381" s="87" t="inlineStr">
        <is>
          <t>HOME DEPOT #0911</t>
        </is>
      </c>
      <c r="D381" s="87" t="inlineStr">
        <is>
          <t>Home Improvement</t>
        </is>
      </c>
      <c r="E381" s="88" t="n">
        <v>-150.4</v>
      </c>
      <c r="F381" s="89">
        <f>IF(E381="","",IF(OR(D381="",D381="Uncategorized"),IF(E381&lt;0,"Expense","Income"),IFERROR(INDEX(Categories!$B$6:$B$65,MATCH(D381,Categories!$A$6:$A$65,0)),IF(E381&lt;0,"Expense","Income"))))</f>
        <v/>
      </c>
      <c r="G381" s="90">
        <f>IF(A381="","",DATE(YEAR(A381),MONTH(A381),1))</f>
        <v/>
      </c>
      <c r="H381" s="87" t="n"/>
      <c r="I381" s="87" t="n"/>
      <c r="J381" s="91" t="inlineStr">
        <is>
          <t>HOME DEPOT #0911</t>
        </is>
      </c>
      <c r="K381" s="91" t="inlineStr">
        <is>
          <t>Sample Card Co</t>
        </is>
      </c>
      <c r="L381" s="91" t="inlineStr">
        <is>
          <t>Credit Card</t>
        </is>
      </c>
      <c r="M381" s="91" t="inlineStr">
        <is>
          <t>Visa_Statement.csv</t>
        </is>
      </c>
      <c r="N381" s="91" t="inlineStr">
        <is>
          <t>2026-10-15 20:14:07</t>
        </is>
      </c>
      <c r="O381" s="91" t="n"/>
      <c r="P381" s="91" t="inlineStr">
        <is>
          <t>REWARDS VISA|20260219|-15040|HOMEDEPOT0911#1</t>
        </is>
      </c>
      <c r="Q381" s="92">
        <f>IF(AND(G381=RptMonth,F381="Expense",N(E381)&lt;0),-E381+ROW()/10000000,"")</f>
        <v/>
      </c>
    </row>
    <row r="382">
      <c r="A382" s="86" t="n">
        <v>46072</v>
      </c>
      <c r="B382" s="87" t="inlineStr">
        <is>
          <t>Rewards Visa</t>
        </is>
      </c>
      <c r="C382" s="87" t="inlineStr">
        <is>
          <t>SWEETGREEN PALISADES</t>
        </is>
      </c>
      <c r="D382" s="87" t="inlineStr">
        <is>
          <t>Dining Out</t>
        </is>
      </c>
      <c r="E382" s="88" t="n">
        <v>-8</v>
      </c>
      <c r="F382" s="89">
        <f>IF(E382="","",IF(OR(D382="",D382="Uncategorized"),IF(E382&lt;0,"Expense","Income"),IFERROR(INDEX(Categories!$B$6:$B$65,MATCH(D382,Categories!$A$6:$A$65,0)),IF(E382&lt;0,"Expense","Income"))))</f>
        <v/>
      </c>
      <c r="G382" s="90">
        <f>IF(A382="","",DATE(YEAR(A382),MONTH(A382),1))</f>
        <v/>
      </c>
      <c r="H382" s="87" t="n"/>
      <c r="I382" s="87" t="n"/>
      <c r="J382" s="91" t="inlineStr">
        <is>
          <t>SWEETGREEN PALISADES</t>
        </is>
      </c>
      <c r="K382" s="91" t="inlineStr">
        <is>
          <t>Sample Card Co</t>
        </is>
      </c>
      <c r="L382" s="91" t="inlineStr">
        <is>
          <t>Credit Card</t>
        </is>
      </c>
      <c r="M382" s="91" t="inlineStr">
        <is>
          <t>Visa_Statement.csv</t>
        </is>
      </c>
      <c r="N382" s="91" t="inlineStr">
        <is>
          <t>2026-10-15 20:14:07</t>
        </is>
      </c>
      <c r="O382" s="91" t="n"/>
      <c r="P382" s="91" t="inlineStr">
        <is>
          <t>REWARDS VISA|20260219|-800|SWEETGREENPALISADES#1</t>
        </is>
      </c>
      <c r="Q382" s="92">
        <f>IF(AND(G382=RptMonth,F382="Expense",N(E382)&lt;0),-E382+ROW()/10000000,"")</f>
        <v/>
      </c>
    </row>
    <row r="383">
      <c r="A383" s="86" t="n">
        <v>46071</v>
      </c>
      <c r="B383" s="87" t="inlineStr">
        <is>
          <t>Everyday Checking</t>
        </is>
      </c>
      <c r="C383" s="87" t="inlineStr">
        <is>
          <t>SAMPLE LOAN SERVICER STUDENT LOAN</t>
        </is>
      </c>
      <c r="D383" s="87" t="inlineStr">
        <is>
          <t>Loan Payments</t>
        </is>
      </c>
      <c r="E383" s="88" t="n">
        <v>-260</v>
      </c>
      <c r="F383" s="89">
        <f>IF(E383="","",IF(OR(D383="",D383="Uncategorized"),IF(E383&lt;0,"Expense","Income"),IFERROR(INDEX(Categories!$B$6:$B$65,MATCH(D383,Categories!$A$6:$A$65,0)),IF(E383&lt;0,"Expense","Income"))))</f>
        <v/>
      </c>
      <c r="G383" s="90">
        <f>IF(A383="","",DATE(YEAR(A383),MONTH(A383),1))</f>
        <v/>
      </c>
      <c r="H383" s="87" t="n"/>
      <c r="I383" s="87" t="n"/>
      <c r="J383" s="91" t="inlineStr">
        <is>
          <t>SAMPLE LOAN SERVICER STUDENT LOAN</t>
        </is>
      </c>
      <c r="K383" s="91" t="inlineStr">
        <is>
          <t>Sample Bank</t>
        </is>
      </c>
      <c r="L383" s="91" t="inlineStr">
        <is>
          <t>Checking</t>
        </is>
      </c>
      <c r="M383" s="91" t="inlineStr">
        <is>
          <t>Checking_Activity.csv</t>
        </is>
      </c>
      <c r="N383" s="91" t="inlineStr">
        <is>
          <t>2026-10-15 20:14:07</t>
        </is>
      </c>
      <c r="O383" s="91" t="n"/>
      <c r="P383" s="91" t="inlineStr">
        <is>
          <t>EVERYDAY CHECKING|20260218|-26000|SAMPLELOANSERVICERSTUDENTLOAN#1</t>
        </is>
      </c>
      <c r="Q383" s="92">
        <f>IF(AND(G383=RptMonth,F383="Expense",N(E383)&lt;0),-E383+ROW()/10000000,"")</f>
        <v/>
      </c>
    </row>
    <row r="384">
      <c r="A384" s="86" t="n">
        <v>46070</v>
      </c>
      <c r="B384" s="87" t="inlineStr">
        <is>
          <t>Rewards Visa</t>
        </is>
      </c>
      <c r="C384" s="87" t="inlineStr">
        <is>
          <t>SHELL OIL 57444</t>
        </is>
      </c>
      <c r="D384" s="87" t="inlineStr">
        <is>
          <t>Gas &amp; Fuel</t>
        </is>
      </c>
      <c r="E384" s="88" t="n">
        <v>-59.57</v>
      </c>
      <c r="F384" s="89">
        <f>IF(E384="","",IF(OR(D384="",D384="Uncategorized"),IF(E384&lt;0,"Expense","Income"),IFERROR(INDEX(Categories!$B$6:$B$65,MATCH(D384,Categories!$A$6:$A$65,0)),IF(E384&lt;0,"Expense","Income"))))</f>
        <v/>
      </c>
      <c r="G384" s="90">
        <f>IF(A384="","",DATE(YEAR(A384),MONTH(A384),1))</f>
        <v/>
      </c>
      <c r="H384" s="87" t="n"/>
      <c r="I384" s="87" t="n"/>
      <c r="J384" s="91" t="inlineStr">
        <is>
          <t>SHELL OIL 57444</t>
        </is>
      </c>
      <c r="K384" s="91" t="inlineStr">
        <is>
          <t>Sample Card Co</t>
        </is>
      </c>
      <c r="L384" s="91" t="inlineStr">
        <is>
          <t>Credit Card</t>
        </is>
      </c>
      <c r="M384" s="91" t="inlineStr">
        <is>
          <t>Visa_Statement.csv</t>
        </is>
      </c>
      <c r="N384" s="91" t="inlineStr">
        <is>
          <t>2026-10-15 20:14:07</t>
        </is>
      </c>
      <c r="O384" s="91" t="n"/>
      <c r="P384" s="91" t="inlineStr">
        <is>
          <t>REWARDS VISA|20260217|-5957|SHELLOIL57444#1</t>
        </is>
      </c>
      <c r="Q384" s="92">
        <f>IF(AND(G384=RptMonth,F384="Expense",N(E384)&lt;0),-E384+ROW()/10000000,"")</f>
        <v/>
      </c>
    </row>
    <row r="385">
      <c r="A385" s="86" t="n">
        <v>46069</v>
      </c>
      <c r="B385" s="87" t="inlineStr">
        <is>
          <t>Rewards Visa</t>
        </is>
      </c>
      <c r="C385" s="87" t="inlineStr">
        <is>
          <t>PLANET FITNESS</t>
        </is>
      </c>
      <c r="D385" s="87" t="inlineStr">
        <is>
          <t>Health &amp; Fitness</t>
        </is>
      </c>
      <c r="E385" s="88" t="n">
        <v>-24.99</v>
      </c>
      <c r="F385" s="89">
        <f>IF(E385="","",IF(OR(D385="",D385="Uncategorized"),IF(E385&lt;0,"Expense","Income"),IFERROR(INDEX(Categories!$B$6:$B$65,MATCH(D385,Categories!$A$6:$A$65,0)),IF(E385&lt;0,"Expense","Income"))))</f>
        <v/>
      </c>
      <c r="G385" s="90">
        <f>IF(A385="","",DATE(YEAR(A385),MONTH(A385),1))</f>
        <v/>
      </c>
      <c r="H385" s="87" t="n"/>
      <c r="I385" s="87" t="n"/>
      <c r="J385" s="91" t="inlineStr">
        <is>
          <t>PLANET FITNESS</t>
        </is>
      </c>
      <c r="K385" s="91" t="inlineStr">
        <is>
          <t>Sample Card Co</t>
        </is>
      </c>
      <c r="L385" s="91" t="inlineStr">
        <is>
          <t>Credit Card</t>
        </is>
      </c>
      <c r="M385" s="91" t="inlineStr">
        <is>
          <t>Visa_Statement.csv</t>
        </is>
      </c>
      <c r="N385" s="91" t="inlineStr">
        <is>
          <t>2026-10-15 20:14:07</t>
        </is>
      </c>
      <c r="O385" s="91" t="n"/>
      <c r="P385" s="91" t="inlineStr">
        <is>
          <t>REWARDS VISA|20260216|-2499|PLANETFITNESS#1</t>
        </is>
      </c>
      <c r="Q385" s="92">
        <f>IF(AND(G385=RptMonth,F385="Expense",N(E385)&lt;0),-E385+ROW()/10000000,"")</f>
        <v/>
      </c>
    </row>
    <row r="386">
      <c r="A386" s="86" t="n">
        <v>46069</v>
      </c>
      <c r="B386" s="87" t="inlineStr">
        <is>
          <t>Rewards Visa</t>
        </is>
      </c>
      <c r="C386" s="87" t="inlineStr">
        <is>
          <t>STARBUCKS STORE 08123</t>
        </is>
      </c>
      <c r="D386" s="87" t="inlineStr">
        <is>
          <t>Dining Out</t>
        </is>
      </c>
      <c r="E386" s="88" t="n">
        <v>-34.26</v>
      </c>
      <c r="F386" s="89">
        <f>IF(E386="","",IF(OR(D386="",D386="Uncategorized"),IF(E386&lt;0,"Expense","Income"),IFERROR(INDEX(Categories!$B$6:$B$65,MATCH(D386,Categories!$A$6:$A$65,0)),IF(E386&lt;0,"Expense","Income"))))</f>
        <v/>
      </c>
      <c r="G386" s="90">
        <f>IF(A386="","",DATE(YEAR(A386),MONTH(A386),1))</f>
        <v/>
      </c>
      <c r="H386" s="87" t="n"/>
      <c r="I386" s="87" t="n"/>
      <c r="J386" s="91" t="inlineStr">
        <is>
          <t>STARBUCKS STORE 08123</t>
        </is>
      </c>
      <c r="K386" s="91" t="inlineStr">
        <is>
          <t>Sample Card Co</t>
        </is>
      </c>
      <c r="L386" s="91" t="inlineStr">
        <is>
          <t>Credit Card</t>
        </is>
      </c>
      <c r="M386" s="91" t="inlineStr">
        <is>
          <t>Visa_Statement.csv</t>
        </is>
      </c>
      <c r="N386" s="91" t="inlineStr">
        <is>
          <t>2026-10-15 20:14:07</t>
        </is>
      </c>
      <c r="O386" s="91" t="n"/>
      <c r="P386" s="91" t="inlineStr">
        <is>
          <t>REWARDS VISA|20260216|-3426|STARBUCKSSTORE08123#1</t>
        </is>
      </c>
      <c r="Q386" s="92">
        <f>IF(AND(G386=RptMonth,F386="Expense",N(E386)&lt;0),-E386+ROW()/10000000,"")</f>
        <v/>
      </c>
    </row>
    <row r="387">
      <c r="A387" s="86" t="n">
        <v>46068</v>
      </c>
      <c r="B387" s="87" t="inlineStr">
        <is>
          <t>Everyday Checking</t>
        </is>
      </c>
      <c r="C387" s="87" t="inlineStr">
        <is>
          <t>XFINITY INTERNET</t>
        </is>
      </c>
      <c r="D387" s="87" t="inlineStr">
        <is>
          <t>Phone &amp; Internet</t>
        </is>
      </c>
      <c r="E387" s="88" t="n">
        <v>-79.98999999999999</v>
      </c>
      <c r="F387" s="89">
        <f>IF(E387="","",IF(OR(D387="",D387="Uncategorized"),IF(E387&lt;0,"Expense","Income"),IFERROR(INDEX(Categories!$B$6:$B$65,MATCH(D387,Categories!$A$6:$A$65,0)),IF(E387&lt;0,"Expense","Income"))))</f>
        <v/>
      </c>
      <c r="G387" s="90">
        <f>IF(A387="","",DATE(YEAR(A387),MONTH(A387),1))</f>
        <v/>
      </c>
      <c r="H387" s="87" t="n"/>
      <c r="I387" s="87" t="n"/>
      <c r="J387" s="91" t="inlineStr">
        <is>
          <t>XFINITY INTERNET</t>
        </is>
      </c>
      <c r="K387" s="91" t="inlineStr">
        <is>
          <t>Sample Bank</t>
        </is>
      </c>
      <c r="L387" s="91" t="inlineStr">
        <is>
          <t>Checking</t>
        </is>
      </c>
      <c r="M387" s="91" t="inlineStr">
        <is>
          <t>Checking_Activity.csv</t>
        </is>
      </c>
      <c r="N387" s="91" t="inlineStr">
        <is>
          <t>2026-10-15 20:14:07</t>
        </is>
      </c>
      <c r="O387" s="91" t="n"/>
      <c r="P387" s="91" t="inlineStr">
        <is>
          <t>EVERYDAY CHECKING|20260215|-7999|XFINITYINTERNET#1</t>
        </is>
      </c>
      <c r="Q387" s="92">
        <f>IF(AND(G387=RptMonth,F387="Expense",N(E387)&lt;0),-E387+ROW()/10000000,"")</f>
        <v/>
      </c>
    </row>
    <row r="388">
      <c r="A388" s="86" t="n">
        <v>46067</v>
      </c>
      <c r="B388" s="87" t="inlineStr">
        <is>
          <t>Everyday Checking</t>
        </is>
      </c>
      <c r="C388" s="87" t="inlineStr">
        <is>
          <t>CITY WATER UTILITY</t>
        </is>
      </c>
      <c r="D388" s="87" t="inlineStr">
        <is>
          <t>Utilities</t>
        </is>
      </c>
      <c r="E388" s="88" t="n">
        <v>-58.97</v>
      </c>
      <c r="F388" s="89">
        <f>IF(E388="","",IF(OR(D388="",D388="Uncategorized"),IF(E388&lt;0,"Expense","Income"),IFERROR(INDEX(Categories!$B$6:$B$65,MATCH(D388,Categories!$A$6:$A$65,0)),IF(E388&lt;0,"Expense","Income"))))</f>
        <v/>
      </c>
      <c r="G388" s="90">
        <f>IF(A388="","",DATE(YEAR(A388),MONTH(A388),1))</f>
        <v/>
      </c>
      <c r="H388" s="87" t="n"/>
      <c r="I388" s="87" t="n"/>
      <c r="J388" s="91" t="inlineStr">
        <is>
          <t>CITY WATER UTILITY</t>
        </is>
      </c>
      <c r="K388" s="91" t="inlineStr">
        <is>
          <t>Sample Bank</t>
        </is>
      </c>
      <c r="L388" s="91" t="inlineStr">
        <is>
          <t>Checking</t>
        </is>
      </c>
      <c r="M388" s="91" t="inlineStr">
        <is>
          <t>Checking_Activity.csv</t>
        </is>
      </c>
      <c r="N388" s="91" t="inlineStr">
        <is>
          <t>2026-10-15 20:14:07</t>
        </is>
      </c>
      <c r="O388" s="91" t="n"/>
      <c r="P388" s="91" t="inlineStr">
        <is>
          <t>EVERYDAY CHECKING|20260214|-5897|CITYWATERUTILITY#1</t>
        </is>
      </c>
      <c r="Q388" s="92">
        <f>IF(AND(G388=RptMonth,F388="Expense",N(E388)&lt;0),-E388+ROW()/10000000,"")</f>
        <v/>
      </c>
    </row>
    <row r="389">
      <c r="A389" s="86" t="n">
        <v>46067</v>
      </c>
      <c r="B389" s="87" t="inlineStr">
        <is>
          <t>Rewards Visa</t>
        </is>
      </c>
      <c r="C389" s="87" t="inlineStr">
        <is>
          <t>SHOPRITE #0234</t>
        </is>
      </c>
      <c r="D389" s="87" t="inlineStr">
        <is>
          <t>Groceries</t>
        </is>
      </c>
      <c r="E389" s="88" t="n">
        <v>-143.78</v>
      </c>
      <c r="F389" s="89">
        <f>IF(E389="","",IF(OR(D389="",D389="Uncategorized"),IF(E389&lt;0,"Expense","Income"),IFERROR(INDEX(Categories!$B$6:$B$65,MATCH(D389,Categories!$A$6:$A$65,0)),IF(E389&lt;0,"Expense","Income"))))</f>
        <v/>
      </c>
      <c r="G389" s="90">
        <f>IF(A389="","",DATE(YEAR(A389),MONTH(A389),1))</f>
        <v/>
      </c>
      <c r="H389" s="87" t="n"/>
      <c r="I389" s="87" t="n"/>
      <c r="J389" s="91" t="inlineStr">
        <is>
          <t>SHOPRITE #0234</t>
        </is>
      </c>
      <c r="K389" s="91" t="inlineStr">
        <is>
          <t>Sample Card Co</t>
        </is>
      </c>
      <c r="L389" s="91" t="inlineStr">
        <is>
          <t>Credit Card</t>
        </is>
      </c>
      <c r="M389" s="91" t="inlineStr">
        <is>
          <t>Visa_Statement.csv</t>
        </is>
      </c>
      <c r="N389" s="91" t="inlineStr">
        <is>
          <t>2026-10-15 20:14:07</t>
        </is>
      </c>
      <c r="O389" s="91" t="n"/>
      <c r="P389" s="91" t="inlineStr">
        <is>
          <t>REWARDS VISA|20260214|-14378|SHOPRITE0234#1</t>
        </is>
      </c>
      <c r="Q389" s="92">
        <f>IF(AND(G389=RptMonth,F389="Expense",N(E389)&lt;0),-E389+ROW()/10000000,"")</f>
        <v/>
      </c>
    </row>
    <row r="390">
      <c r="A390" s="86" t="n">
        <v>46066</v>
      </c>
      <c r="B390" s="87" t="inlineStr">
        <is>
          <t>Everyday Checking</t>
        </is>
      </c>
      <c r="C390" s="87" t="inlineStr">
        <is>
          <t>CHECK 1042</t>
        </is>
      </c>
      <c r="D390" s="87" t="inlineStr">
        <is>
          <t>Uncategorized</t>
        </is>
      </c>
      <c r="E390" s="88" t="n">
        <v>-168.96</v>
      </c>
      <c r="F390" s="89">
        <f>IF(E390="","",IF(OR(D390="",D390="Uncategorized"),IF(E390&lt;0,"Expense","Income"),IFERROR(INDEX(Categories!$B$6:$B$65,MATCH(D390,Categories!$A$6:$A$65,0)),IF(E390&lt;0,"Expense","Income"))))</f>
        <v/>
      </c>
      <c r="G390" s="90">
        <f>IF(A390="","",DATE(YEAR(A390),MONTH(A390),1))</f>
        <v/>
      </c>
      <c r="H390" s="87" t="n"/>
      <c r="I390" s="87" t="inlineStr">
        <is>
          <t>1042</t>
        </is>
      </c>
      <c r="J390" s="91" t="inlineStr">
        <is>
          <t>CHECK 1042</t>
        </is>
      </c>
      <c r="K390" s="91" t="inlineStr">
        <is>
          <t>Sample Bank</t>
        </is>
      </c>
      <c r="L390" s="91" t="inlineStr">
        <is>
          <t>Checking</t>
        </is>
      </c>
      <c r="M390" s="91" t="inlineStr">
        <is>
          <t>Checking_Activity.csv</t>
        </is>
      </c>
      <c r="N390" s="91" t="inlineStr">
        <is>
          <t>2026-10-15 20:14:07</t>
        </is>
      </c>
      <c r="O390" s="91" t="n"/>
      <c r="P390" s="91" t="inlineStr">
        <is>
          <t>EVERYDAY CHECKING|20260213|-16896|CHECK1042#1</t>
        </is>
      </c>
      <c r="Q390" s="92">
        <f>IF(AND(G390=RptMonth,F390="Expense",N(E390)&lt;0),-E390+ROW()/10000000,"")</f>
        <v/>
      </c>
    </row>
    <row r="391">
      <c r="A391" s="86" t="n">
        <v>46065</v>
      </c>
      <c r="B391" s="87" t="inlineStr">
        <is>
          <t>Everyday Checking</t>
        </is>
      </c>
      <c r="C391" s="87" t="inlineStr">
        <is>
          <t>VERIZON WIRELESS</t>
        </is>
      </c>
      <c r="D391" s="87" t="inlineStr">
        <is>
          <t>Phone &amp; Internet</t>
        </is>
      </c>
      <c r="E391" s="88" t="n">
        <v>-95</v>
      </c>
      <c r="F391" s="89">
        <f>IF(E391="","",IF(OR(D391="",D391="Uncategorized"),IF(E391&lt;0,"Expense","Income"),IFERROR(INDEX(Categories!$B$6:$B$65,MATCH(D391,Categories!$A$6:$A$65,0)),IF(E391&lt;0,"Expense","Income"))))</f>
        <v/>
      </c>
      <c r="G391" s="90">
        <f>IF(A391="","",DATE(YEAR(A391),MONTH(A391),1))</f>
        <v/>
      </c>
      <c r="H391" s="87" t="n"/>
      <c r="I391" s="87" t="n"/>
      <c r="J391" s="91" t="inlineStr">
        <is>
          <t>VERIZON WIRELESS</t>
        </is>
      </c>
      <c r="K391" s="91" t="inlineStr">
        <is>
          <t>Sample Bank</t>
        </is>
      </c>
      <c r="L391" s="91" t="inlineStr">
        <is>
          <t>Checking</t>
        </is>
      </c>
      <c r="M391" s="91" t="inlineStr">
        <is>
          <t>Checking_Activity.csv</t>
        </is>
      </c>
      <c r="N391" s="91" t="inlineStr">
        <is>
          <t>2026-10-15 20:14:07</t>
        </is>
      </c>
      <c r="O391" s="91" t="n"/>
      <c r="P391" s="91" t="inlineStr">
        <is>
          <t>EVERYDAY CHECKING|20260212|-9500|VERIZONWIRELESS#1</t>
        </is>
      </c>
      <c r="Q391" s="92">
        <f>IF(AND(G391=RptMonth,F391="Expense",N(E391)&lt;0),-E391+ROW()/10000000,"")</f>
        <v/>
      </c>
    </row>
    <row r="392">
      <c r="A392" s="86" t="n">
        <v>46065</v>
      </c>
      <c r="B392" s="87" t="inlineStr">
        <is>
          <t>Rewards Visa</t>
        </is>
      </c>
      <c r="C392" s="87" t="inlineStr">
        <is>
          <t>STARBUCKS STORE 08123</t>
        </is>
      </c>
      <c r="D392" s="87" t="inlineStr">
        <is>
          <t>Dining Out</t>
        </is>
      </c>
      <c r="E392" s="88" t="n">
        <v>-38.67</v>
      </c>
      <c r="F392" s="89">
        <f>IF(E392="","",IF(OR(D392="",D392="Uncategorized"),IF(E392&lt;0,"Expense","Income"),IFERROR(INDEX(Categories!$B$6:$B$65,MATCH(D392,Categories!$A$6:$A$65,0)),IF(E392&lt;0,"Expense","Income"))))</f>
        <v/>
      </c>
      <c r="G392" s="90">
        <f>IF(A392="","",DATE(YEAR(A392),MONTH(A392),1))</f>
        <v/>
      </c>
      <c r="H392" s="87" t="n"/>
      <c r="I392" s="87" t="n"/>
      <c r="J392" s="91" t="inlineStr">
        <is>
          <t>STARBUCKS STORE 08123</t>
        </is>
      </c>
      <c r="K392" s="91" t="inlineStr">
        <is>
          <t>Sample Card Co</t>
        </is>
      </c>
      <c r="L392" s="91" t="inlineStr">
        <is>
          <t>Credit Card</t>
        </is>
      </c>
      <c r="M392" s="91" t="inlineStr">
        <is>
          <t>Visa_Statement.csv</t>
        </is>
      </c>
      <c r="N392" s="91" t="inlineStr">
        <is>
          <t>2026-10-15 20:14:07</t>
        </is>
      </c>
      <c r="O392" s="91" t="n"/>
      <c r="P392" s="91" t="inlineStr">
        <is>
          <t>REWARDS VISA|20260212|-3867|STARBUCKSSTORE08123#1</t>
        </is>
      </c>
      <c r="Q392" s="92">
        <f>IF(AND(G392=RptMonth,F392="Expense",N(E392)&lt;0),-E392+ROW()/10000000,"")</f>
        <v/>
      </c>
    </row>
    <row r="393">
      <c r="A393" s="86" t="n">
        <v>46064</v>
      </c>
      <c r="B393" s="87" t="inlineStr">
        <is>
          <t>Rewards Visa</t>
        </is>
      </c>
      <c r="C393" s="87" t="inlineStr">
        <is>
          <t>APPLE.COM/BILL</t>
        </is>
      </c>
      <c r="D393" s="87" t="inlineStr">
        <is>
          <t>Subscriptions</t>
        </is>
      </c>
      <c r="E393" s="88" t="n">
        <v>-2.99</v>
      </c>
      <c r="F393" s="89">
        <f>IF(E393="","",IF(OR(D393="",D393="Uncategorized"),IF(E393&lt;0,"Expense","Income"),IFERROR(INDEX(Categories!$B$6:$B$65,MATCH(D393,Categories!$A$6:$A$65,0)),IF(E393&lt;0,"Expense","Income"))))</f>
        <v/>
      </c>
      <c r="G393" s="90">
        <f>IF(A393="","",DATE(YEAR(A393),MONTH(A393),1))</f>
        <v/>
      </c>
      <c r="H393" s="87" t="n"/>
      <c r="I393" s="87" t="n"/>
      <c r="J393" s="91" t="inlineStr">
        <is>
          <t>APPLE.COM/BILL</t>
        </is>
      </c>
      <c r="K393" s="91" t="inlineStr">
        <is>
          <t>Sample Card Co</t>
        </is>
      </c>
      <c r="L393" s="91" t="inlineStr">
        <is>
          <t>Credit Card</t>
        </is>
      </c>
      <c r="M393" s="91" t="inlineStr">
        <is>
          <t>Visa_Statement.csv</t>
        </is>
      </c>
      <c r="N393" s="91" t="inlineStr">
        <is>
          <t>2026-10-15 20:14:07</t>
        </is>
      </c>
      <c r="O393" s="91" t="n"/>
      <c r="P393" s="91" t="inlineStr">
        <is>
          <t>REWARDS VISA|20260211|-299|APPLECOMBILL#1</t>
        </is>
      </c>
      <c r="Q393" s="92">
        <f>IF(AND(G393=RptMonth,F393="Expense",N(E393)&lt;0),-E393+ROW()/10000000,"")</f>
        <v/>
      </c>
    </row>
    <row r="394">
      <c r="A394" s="86" t="n">
        <v>46064</v>
      </c>
      <c r="B394" s="87" t="inlineStr">
        <is>
          <t>Rewards Visa</t>
        </is>
      </c>
      <c r="C394" s="87" t="inlineStr">
        <is>
          <t>WHOLE FOODS MARKET #10312</t>
        </is>
      </c>
      <c r="D394" s="87" t="inlineStr">
        <is>
          <t>Groceries</t>
        </is>
      </c>
      <c r="E394" s="88" t="n">
        <v>-30.75</v>
      </c>
      <c r="F394" s="89">
        <f>IF(E394="","",IF(OR(D394="",D394="Uncategorized"),IF(E394&lt;0,"Expense","Income"),IFERROR(INDEX(Categories!$B$6:$B$65,MATCH(D394,Categories!$A$6:$A$65,0)),IF(E394&lt;0,"Expense","Income"))))</f>
        <v/>
      </c>
      <c r="G394" s="90">
        <f>IF(A394="","",DATE(YEAR(A394),MONTH(A394),1))</f>
        <v/>
      </c>
      <c r="H394" s="87" t="n"/>
      <c r="I394" s="87" t="n"/>
      <c r="J394" s="91" t="inlineStr">
        <is>
          <t>WHOLE FOODS MARKET #10312</t>
        </is>
      </c>
      <c r="K394" s="91" t="inlineStr">
        <is>
          <t>Sample Card Co</t>
        </is>
      </c>
      <c r="L394" s="91" t="inlineStr">
        <is>
          <t>Credit Card</t>
        </is>
      </c>
      <c r="M394" s="91" t="inlineStr">
        <is>
          <t>Visa_Statement.csv</t>
        </is>
      </c>
      <c r="N394" s="91" t="inlineStr">
        <is>
          <t>2026-10-15 20:14:07</t>
        </is>
      </c>
      <c r="O394" s="91" t="n"/>
      <c r="P394" s="91" t="inlineStr">
        <is>
          <t>REWARDS VISA|20260211|-3075|WHOLEFOODSMARKET10312#1</t>
        </is>
      </c>
      <c r="Q394" s="92">
        <f>IF(AND(G394=RptMonth,F394="Expense",N(E394)&lt;0),-E394+ROW()/10000000,"")</f>
        <v/>
      </c>
    </row>
    <row r="395">
      <c r="A395" s="86" t="n">
        <v>46063</v>
      </c>
      <c r="B395" s="87" t="inlineStr">
        <is>
          <t>Everyday Checking</t>
        </is>
      </c>
      <c r="C395" s="87" t="inlineStr">
        <is>
          <t>SAMPLE AUTO FINANCE PMT</t>
        </is>
      </c>
      <c r="D395" s="87" t="inlineStr">
        <is>
          <t>Auto Payment</t>
        </is>
      </c>
      <c r="E395" s="88" t="n">
        <v>-385</v>
      </c>
      <c r="F395" s="89">
        <f>IF(E395="","",IF(OR(D395="",D395="Uncategorized"),IF(E395&lt;0,"Expense","Income"),IFERROR(INDEX(Categories!$B$6:$B$65,MATCH(D395,Categories!$A$6:$A$65,0)),IF(E395&lt;0,"Expense","Income"))))</f>
        <v/>
      </c>
      <c r="G395" s="90">
        <f>IF(A395="","",DATE(YEAR(A395),MONTH(A395),1))</f>
        <v/>
      </c>
      <c r="H395" s="87" t="n"/>
      <c r="I395" s="87" t="n"/>
      <c r="J395" s="91" t="inlineStr">
        <is>
          <t>SAMPLE AUTO FINANCE PMT</t>
        </is>
      </c>
      <c r="K395" s="91" t="inlineStr">
        <is>
          <t>Sample Bank</t>
        </is>
      </c>
      <c r="L395" s="91" t="inlineStr">
        <is>
          <t>Checking</t>
        </is>
      </c>
      <c r="M395" s="91" t="inlineStr">
        <is>
          <t>Checking_Activity.csv</t>
        </is>
      </c>
      <c r="N395" s="91" t="inlineStr">
        <is>
          <t>2026-10-15 20:14:07</t>
        </is>
      </c>
      <c r="O395" s="91" t="n"/>
      <c r="P395" s="91" t="inlineStr">
        <is>
          <t>EVERYDAY CHECKING|20260210|-38500|SAMPLEAUTOFINANCEPMT#1</t>
        </is>
      </c>
      <c r="Q395" s="92">
        <f>IF(AND(G395=RptMonth,F395="Expense",N(E395)&lt;0),-E395+ROW()/10000000,"")</f>
        <v/>
      </c>
    </row>
    <row r="396">
      <c r="A396" s="86" t="n">
        <v>46063</v>
      </c>
      <c r="B396" s="87" t="inlineStr">
        <is>
          <t>Rewards Visa</t>
        </is>
      </c>
      <c r="C396" s="87" t="inlineStr">
        <is>
          <t>EXXONMOBIL 4471</t>
        </is>
      </c>
      <c r="D396" s="87" t="inlineStr">
        <is>
          <t>Gas &amp; Fuel</t>
        </is>
      </c>
      <c r="E396" s="88" t="n">
        <v>-60</v>
      </c>
      <c r="F396" s="89">
        <f>IF(E396="","",IF(OR(D396="",D396="Uncategorized"),IF(E396&lt;0,"Expense","Income"),IFERROR(INDEX(Categories!$B$6:$B$65,MATCH(D396,Categories!$A$6:$A$65,0)),IF(E396&lt;0,"Expense","Income"))))</f>
        <v/>
      </c>
      <c r="G396" s="90">
        <f>IF(A396="","",DATE(YEAR(A396),MONTH(A396),1))</f>
        <v/>
      </c>
      <c r="H396" s="87" t="n"/>
      <c r="I396" s="87" t="n"/>
      <c r="J396" s="91" t="inlineStr">
        <is>
          <t>EXXONMOBIL 4471</t>
        </is>
      </c>
      <c r="K396" s="91" t="inlineStr">
        <is>
          <t>Sample Card Co</t>
        </is>
      </c>
      <c r="L396" s="91" t="inlineStr">
        <is>
          <t>Credit Card</t>
        </is>
      </c>
      <c r="M396" s="91" t="inlineStr">
        <is>
          <t>Visa_Statement.csv</t>
        </is>
      </c>
      <c r="N396" s="91" t="inlineStr">
        <is>
          <t>2026-10-15 20:14:07</t>
        </is>
      </c>
      <c r="O396" s="91" t="n"/>
      <c r="P396" s="91" t="inlineStr">
        <is>
          <t>REWARDS VISA|20260210|-6000|EXXONMOBIL4471#1</t>
        </is>
      </c>
      <c r="Q396" s="92">
        <f>IF(AND(G396=RptMonth,F396="Expense",N(E396)&lt;0),-E396+ROW()/10000000,"")</f>
        <v/>
      </c>
    </row>
    <row r="397">
      <c r="A397" s="86" t="n">
        <v>46062</v>
      </c>
      <c r="B397" s="87" t="inlineStr">
        <is>
          <t>Everyday Checking</t>
        </is>
      </c>
      <c r="C397" s="87" t="inlineStr">
        <is>
          <t>NJ NATURAL GAS PAYMENT</t>
        </is>
      </c>
      <c r="D397" s="87" t="inlineStr">
        <is>
          <t>Utilities</t>
        </is>
      </c>
      <c r="E397" s="88" t="n">
        <v>-143.14</v>
      </c>
      <c r="F397" s="89">
        <f>IF(E397="","",IF(OR(D397="",D397="Uncategorized"),IF(E397&lt;0,"Expense","Income"),IFERROR(INDEX(Categories!$B$6:$B$65,MATCH(D397,Categories!$A$6:$A$65,0)),IF(E397&lt;0,"Expense","Income"))))</f>
        <v/>
      </c>
      <c r="G397" s="90">
        <f>IF(A397="","",DATE(YEAR(A397),MONTH(A397),1))</f>
        <v/>
      </c>
      <c r="H397" s="87" t="n"/>
      <c r="I397" s="87" t="n"/>
      <c r="J397" s="91" t="inlineStr">
        <is>
          <t>NJ NATURAL GAS PAYMENT</t>
        </is>
      </c>
      <c r="K397" s="91" t="inlineStr">
        <is>
          <t>Sample Bank</t>
        </is>
      </c>
      <c r="L397" s="91" t="inlineStr">
        <is>
          <t>Checking</t>
        </is>
      </c>
      <c r="M397" s="91" t="inlineStr">
        <is>
          <t>Checking_Activity.csv</t>
        </is>
      </c>
      <c r="N397" s="91" t="inlineStr">
        <is>
          <t>2026-10-15 20:14:07</t>
        </is>
      </c>
      <c r="O397" s="91" t="n"/>
      <c r="P397" s="91" t="inlineStr">
        <is>
          <t>EVERYDAY CHECKING|20260209|-14314|NJNATURALGASPAYMENT#1</t>
        </is>
      </c>
      <c r="Q397" s="92">
        <f>IF(AND(G397=RptMonth,F397="Expense",N(E397)&lt;0),-E397+ROW()/10000000,"")</f>
        <v/>
      </c>
    </row>
    <row r="398">
      <c r="A398" s="86" t="n">
        <v>46062</v>
      </c>
      <c r="B398" s="87" t="inlineStr">
        <is>
          <t>Rewards Visa</t>
        </is>
      </c>
      <c r="C398" s="87" t="inlineStr">
        <is>
          <t>PARKING METER</t>
        </is>
      </c>
      <c r="D398" s="87" t="inlineStr">
        <is>
          <t>Transportation</t>
        </is>
      </c>
      <c r="E398" s="88" t="n">
        <v>-29.66</v>
      </c>
      <c r="F398" s="89">
        <f>IF(E398="","",IF(OR(D398="",D398="Uncategorized"),IF(E398&lt;0,"Expense","Income"),IFERROR(INDEX(Categories!$B$6:$B$65,MATCH(D398,Categories!$A$6:$A$65,0)),IF(E398&lt;0,"Expense","Income"))))</f>
        <v/>
      </c>
      <c r="G398" s="90">
        <f>IF(A398="","",DATE(YEAR(A398),MONTH(A398),1))</f>
        <v/>
      </c>
      <c r="H398" s="87" t="n"/>
      <c r="I398" s="87" t="n"/>
      <c r="J398" s="91" t="inlineStr">
        <is>
          <t>PARKING METER</t>
        </is>
      </c>
      <c r="K398" s="91" t="inlineStr">
        <is>
          <t>Sample Card Co</t>
        </is>
      </c>
      <c r="L398" s="91" t="inlineStr">
        <is>
          <t>Credit Card</t>
        </is>
      </c>
      <c r="M398" s="91" t="inlineStr">
        <is>
          <t>Visa_Statement.csv</t>
        </is>
      </c>
      <c r="N398" s="91" t="inlineStr">
        <is>
          <t>2026-10-15 20:14:07</t>
        </is>
      </c>
      <c r="O398" s="91" t="n"/>
      <c r="P398" s="91" t="inlineStr">
        <is>
          <t>REWARDS VISA|20260209|-2966|PARKINGMETER#1</t>
        </is>
      </c>
      <c r="Q398" s="92">
        <f>IF(AND(G398=RptMonth,F398="Expense",N(E398)&lt;0),-E398+ROW()/10000000,"")</f>
        <v/>
      </c>
    </row>
    <row r="399">
      <c r="A399" s="86" t="n">
        <v>46062</v>
      </c>
      <c r="B399" s="87" t="inlineStr">
        <is>
          <t>Rewards Visa</t>
        </is>
      </c>
      <c r="C399" s="87" t="inlineStr">
        <is>
          <t>STARBUCKS STORE 08123</t>
        </is>
      </c>
      <c r="D399" s="87" t="inlineStr">
        <is>
          <t>Dining Out</t>
        </is>
      </c>
      <c r="E399" s="88" t="n">
        <v>-52.62</v>
      </c>
      <c r="F399" s="89">
        <f>IF(E399="","",IF(OR(D399="",D399="Uncategorized"),IF(E399&lt;0,"Expense","Income"),IFERROR(INDEX(Categories!$B$6:$B$65,MATCH(D399,Categories!$A$6:$A$65,0)),IF(E399&lt;0,"Expense","Income"))))</f>
        <v/>
      </c>
      <c r="G399" s="90">
        <f>IF(A399="","",DATE(YEAR(A399),MONTH(A399),1))</f>
        <v/>
      </c>
      <c r="H399" s="87" t="n"/>
      <c r="I399" s="87" t="n"/>
      <c r="J399" s="91" t="inlineStr">
        <is>
          <t>STARBUCKS STORE 08123</t>
        </is>
      </c>
      <c r="K399" s="91" t="inlineStr">
        <is>
          <t>Sample Card Co</t>
        </is>
      </c>
      <c r="L399" s="91" t="inlineStr">
        <is>
          <t>Credit Card</t>
        </is>
      </c>
      <c r="M399" s="91" t="inlineStr">
        <is>
          <t>Visa_Statement.csv</t>
        </is>
      </c>
      <c r="N399" s="91" t="inlineStr">
        <is>
          <t>2026-10-15 20:14:07</t>
        </is>
      </c>
      <c r="O399" s="91" t="n"/>
      <c r="P399" s="91" t="inlineStr">
        <is>
          <t>REWARDS VISA|20260209|-5262|STARBUCKSSTORE08123#1</t>
        </is>
      </c>
      <c r="Q399" s="92">
        <f>IF(AND(G399=RptMonth,F399="Expense",N(E399)&lt;0),-E399+ROW()/10000000,"")</f>
        <v/>
      </c>
    </row>
    <row r="400">
      <c r="A400" s="86" t="n">
        <v>46062</v>
      </c>
      <c r="B400" s="87" t="inlineStr">
        <is>
          <t>Rewards Visa</t>
        </is>
      </c>
      <c r="C400" s="87" t="inlineStr">
        <is>
          <t>TARGET 00012345</t>
        </is>
      </c>
      <c r="D400" s="87" t="inlineStr">
        <is>
          <t>Shopping</t>
        </is>
      </c>
      <c r="E400" s="88" t="n">
        <v>-100.29</v>
      </c>
      <c r="F400" s="89">
        <f>IF(E400="","",IF(OR(D400="",D400="Uncategorized"),IF(E400&lt;0,"Expense","Income"),IFERROR(INDEX(Categories!$B$6:$B$65,MATCH(D400,Categories!$A$6:$A$65,0)),IF(E400&lt;0,"Expense","Income"))))</f>
        <v/>
      </c>
      <c r="G400" s="90">
        <f>IF(A400="","",DATE(YEAR(A400),MONTH(A400),1))</f>
        <v/>
      </c>
      <c r="H400" s="87" t="n"/>
      <c r="I400" s="87" t="n"/>
      <c r="J400" s="91" t="inlineStr">
        <is>
          <t>TARGET 00012345</t>
        </is>
      </c>
      <c r="K400" s="91" t="inlineStr">
        <is>
          <t>Sample Card Co</t>
        </is>
      </c>
      <c r="L400" s="91" t="inlineStr">
        <is>
          <t>Credit Card</t>
        </is>
      </c>
      <c r="M400" s="91" t="inlineStr">
        <is>
          <t>Visa_Statement.csv</t>
        </is>
      </c>
      <c r="N400" s="91" t="inlineStr">
        <is>
          <t>2026-10-15 20:14:07</t>
        </is>
      </c>
      <c r="O400" s="91" t="n"/>
      <c r="P400" s="91" t="inlineStr">
        <is>
          <t>REWARDS VISA|20260209|-10029|TARGET00012345#1</t>
        </is>
      </c>
      <c r="Q400" s="92">
        <f>IF(AND(G400=RptMonth,F400="Expense",N(E400)&lt;0),-E400+ROW()/10000000,"")</f>
        <v/>
      </c>
    </row>
    <row r="401">
      <c r="A401" s="86" t="n">
        <v>46061</v>
      </c>
      <c r="B401" s="87" t="inlineStr">
        <is>
          <t>Everyday Checking</t>
        </is>
      </c>
      <c r="C401" s="87" t="inlineStr">
        <is>
          <t>PSEG ELECTRIC BILL</t>
        </is>
      </c>
      <c r="D401" s="87" t="inlineStr">
        <is>
          <t>Utilities</t>
        </is>
      </c>
      <c r="E401" s="88" t="n">
        <v>-110.09</v>
      </c>
      <c r="F401" s="89">
        <f>IF(E401="","",IF(OR(D401="",D401="Uncategorized"),IF(E401&lt;0,"Expense","Income"),IFERROR(INDEX(Categories!$B$6:$B$65,MATCH(D401,Categories!$A$6:$A$65,0)),IF(E401&lt;0,"Expense","Income"))))</f>
        <v/>
      </c>
      <c r="G401" s="90">
        <f>IF(A401="","",DATE(YEAR(A401),MONTH(A401),1))</f>
        <v/>
      </c>
      <c r="H401" s="87" t="n"/>
      <c r="I401" s="87" t="n"/>
      <c r="J401" s="91" t="inlineStr">
        <is>
          <t>PSEG ELECTRIC BILL</t>
        </is>
      </c>
      <c r="K401" s="91" t="inlineStr">
        <is>
          <t>Sample Bank</t>
        </is>
      </c>
      <c r="L401" s="91" t="inlineStr">
        <is>
          <t>Checking</t>
        </is>
      </c>
      <c r="M401" s="91" t="inlineStr">
        <is>
          <t>Checking_Activity.csv</t>
        </is>
      </c>
      <c r="N401" s="91" t="inlineStr">
        <is>
          <t>2026-10-15 20:14:07</t>
        </is>
      </c>
      <c r="O401" s="91" t="n"/>
      <c r="P401" s="91" t="inlineStr">
        <is>
          <t>EVERYDAY CHECKING|20260208|-11009|PSEGELECTRICBILL#1</t>
        </is>
      </c>
      <c r="Q401" s="92">
        <f>IF(AND(G401=RptMonth,F401="Expense",N(E401)&lt;0),-E401+ROW()/10000000,"")</f>
        <v/>
      </c>
    </row>
    <row r="402">
      <c r="A402" s="86" t="n">
        <v>46061</v>
      </c>
      <c r="B402" s="87" t="inlineStr">
        <is>
          <t>Rewards Visa</t>
        </is>
      </c>
      <c r="C402" s="87" t="inlineStr">
        <is>
          <t>LOCAL PIZZERIA</t>
        </is>
      </c>
      <c r="D402" s="87" t="inlineStr">
        <is>
          <t>Dining Out</t>
        </is>
      </c>
      <c r="E402" s="88" t="n">
        <v>-40.1</v>
      </c>
      <c r="F402" s="89">
        <f>IF(E402="","",IF(OR(D402="",D402="Uncategorized"),IF(E402&lt;0,"Expense","Income"),IFERROR(INDEX(Categories!$B$6:$B$65,MATCH(D402,Categories!$A$6:$A$65,0)),IF(E402&lt;0,"Expense","Income"))))</f>
        <v/>
      </c>
      <c r="G402" s="90">
        <f>IF(A402="","",DATE(YEAR(A402),MONTH(A402),1))</f>
        <v/>
      </c>
      <c r="H402" s="87" t="n"/>
      <c r="I402" s="87" t="n"/>
      <c r="J402" s="91" t="inlineStr">
        <is>
          <t>LOCAL PIZZERIA</t>
        </is>
      </c>
      <c r="K402" s="91" t="inlineStr">
        <is>
          <t>Sample Card Co</t>
        </is>
      </c>
      <c r="L402" s="91" t="inlineStr">
        <is>
          <t>Credit Card</t>
        </is>
      </c>
      <c r="M402" s="91" t="inlineStr">
        <is>
          <t>Visa_Statement.csv</t>
        </is>
      </c>
      <c r="N402" s="91" t="inlineStr">
        <is>
          <t>2026-10-15 20:14:07</t>
        </is>
      </c>
      <c r="O402" s="91" t="n"/>
      <c r="P402" s="91" t="inlineStr">
        <is>
          <t>REWARDS VISA|20260208|-4010|LOCALPIZZERIA#1</t>
        </is>
      </c>
      <c r="Q402" s="92">
        <f>IF(AND(G402=RptMonth,F402="Expense",N(E402)&lt;0),-E402+ROW()/10000000,"")</f>
        <v/>
      </c>
    </row>
    <row r="403">
      <c r="A403" s="86" t="n">
        <v>46060</v>
      </c>
      <c r="B403" s="87" t="inlineStr">
        <is>
          <t>Rewards Visa</t>
        </is>
      </c>
      <c r="C403" s="87" t="inlineStr">
        <is>
          <t>SPOTIFY USA</t>
        </is>
      </c>
      <c r="D403" s="87" t="inlineStr">
        <is>
          <t>Subscriptions</t>
        </is>
      </c>
      <c r="E403" s="88" t="n">
        <v>-11.99</v>
      </c>
      <c r="F403" s="89">
        <f>IF(E403="","",IF(OR(D403="",D403="Uncategorized"),IF(E403&lt;0,"Expense","Income"),IFERROR(INDEX(Categories!$B$6:$B$65,MATCH(D403,Categories!$A$6:$A$65,0)),IF(E403&lt;0,"Expense","Income"))))</f>
        <v/>
      </c>
      <c r="G403" s="90">
        <f>IF(A403="","",DATE(YEAR(A403),MONTH(A403),1))</f>
        <v/>
      </c>
      <c r="H403" s="87" t="n"/>
      <c r="I403" s="87" t="n"/>
      <c r="J403" s="91" t="inlineStr">
        <is>
          <t>SPOTIFY USA</t>
        </is>
      </c>
      <c r="K403" s="91" t="inlineStr">
        <is>
          <t>Sample Card Co</t>
        </is>
      </c>
      <c r="L403" s="91" t="inlineStr">
        <is>
          <t>Credit Card</t>
        </is>
      </c>
      <c r="M403" s="91" t="inlineStr">
        <is>
          <t>Visa_Statement.csv</t>
        </is>
      </c>
      <c r="N403" s="91" t="inlineStr">
        <is>
          <t>2026-10-15 20:14:07</t>
        </is>
      </c>
      <c r="O403" s="91" t="n"/>
      <c r="P403" s="91" t="inlineStr">
        <is>
          <t>REWARDS VISA|20260207|-1199|SPOTIFYUSA#1</t>
        </is>
      </c>
      <c r="Q403" s="92">
        <f>IF(AND(G403=RptMonth,F403="Expense",N(E403)&lt;0),-E403+ROW()/10000000,"")</f>
        <v/>
      </c>
    </row>
    <row r="404">
      <c r="A404" s="86" t="n">
        <v>46060</v>
      </c>
      <c r="B404" s="87" t="inlineStr">
        <is>
          <t>Rewards Visa</t>
        </is>
      </c>
      <c r="C404" s="87" t="inlineStr">
        <is>
          <t>TRADER JOE'S #548</t>
        </is>
      </c>
      <c r="D404" s="87" t="inlineStr">
        <is>
          <t>Groceries</t>
        </is>
      </c>
      <c r="E404" s="88" t="n">
        <v>-129.62</v>
      </c>
      <c r="F404" s="89">
        <f>IF(E404="","",IF(OR(D404="",D404="Uncategorized"),IF(E404&lt;0,"Expense","Income"),IFERROR(INDEX(Categories!$B$6:$B$65,MATCH(D404,Categories!$A$6:$A$65,0)),IF(E404&lt;0,"Expense","Income"))))</f>
        <v/>
      </c>
      <c r="G404" s="90">
        <f>IF(A404="","",DATE(YEAR(A404),MONTH(A404),1))</f>
        <v/>
      </c>
      <c r="H404" s="87" t="n"/>
      <c r="I404" s="87" t="n"/>
      <c r="J404" s="91" t="inlineStr">
        <is>
          <t>TRADER JOE'S #548</t>
        </is>
      </c>
      <c r="K404" s="91" t="inlineStr">
        <is>
          <t>Sample Card Co</t>
        </is>
      </c>
      <c r="L404" s="91" t="inlineStr">
        <is>
          <t>Credit Card</t>
        </is>
      </c>
      <c r="M404" s="91" t="inlineStr">
        <is>
          <t>Visa_Statement.csv</t>
        </is>
      </c>
      <c r="N404" s="91" t="inlineStr">
        <is>
          <t>2026-10-15 20:14:07</t>
        </is>
      </c>
      <c r="O404" s="91" t="n"/>
      <c r="P404" s="91" t="inlineStr">
        <is>
          <t>REWARDS VISA|20260207|-12962|TRADERJOES548#1</t>
        </is>
      </c>
      <c r="Q404" s="92">
        <f>IF(AND(G404=RptMonth,F404="Expense",N(E404)&lt;0),-E404+ROW()/10000000,"")</f>
        <v/>
      </c>
    </row>
    <row r="405">
      <c r="A405" s="86" t="n">
        <v>46059</v>
      </c>
      <c r="B405" s="87" t="inlineStr">
        <is>
          <t>Everyday Checking</t>
        </is>
      </c>
      <c r="C405" s="87" t="inlineStr">
        <is>
          <t>ACME CORP PAYROLL DIR DEP</t>
        </is>
      </c>
      <c r="D405" s="87" t="inlineStr">
        <is>
          <t>Salary</t>
        </is>
      </c>
      <c r="E405" s="88" t="n">
        <v>3352.18</v>
      </c>
      <c r="F405" s="89">
        <f>IF(E405="","",IF(OR(D405="",D405="Uncategorized"),IF(E405&lt;0,"Expense","Income"),IFERROR(INDEX(Categories!$B$6:$B$65,MATCH(D405,Categories!$A$6:$A$65,0)),IF(E405&lt;0,"Expense","Income"))))</f>
        <v/>
      </c>
      <c r="G405" s="90">
        <f>IF(A405="","",DATE(YEAR(A405),MONTH(A405),1))</f>
        <v/>
      </c>
      <c r="H405" s="87" t="n"/>
      <c r="I405" s="87" t="n"/>
      <c r="J405" s="91" t="inlineStr">
        <is>
          <t>ACME CORP PAYROLL DIR DEP</t>
        </is>
      </c>
      <c r="K405" s="91" t="inlineStr">
        <is>
          <t>Sample Bank</t>
        </is>
      </c>
      <c r="L405" s="91" t="inlineStr">
        <is>
          <t>Checking</t>
        </is>
      </c>
      <c r="M405" s="91" t="inlineStr">
        <is>
          <t>Checking_Activity.csv</t>
        </is>
      </c>
      <c r="N405" s="91" t="inlineStr">
        <is>
          <t>2026-10-15 20:14:07</t>
        </is>
      </c>
      <c r="O405" s="91" t="n"/>
      <c r="P405" s="91" t="inlineStr">
        <is>
          <t>EVERYDAY CHECKING|20260206|335218|ACMECORPPAYROLLDIRDEP#1</t>
        </is>
      </c>
      <c r="Q405" s="92">
        <f>IF(AND(G405=RptMonth,F405="Expense",N(E405)&lt;0),-E405+ROW()/10000000,"")</f>
        <v/>
      </c>
    </row>
    <row r="406">
      <c r="A406" s="86" t="n">
        <v>46059</v>
      </c>
      <c r="B406" s="87" t="inlineStr">
        <is>
          <t>Rewards Visa</t>
        </is>
      </c>
      <c r="C406" s="87" t="inlineStr">
        <is>
          <t>SHELL OIL 57444</t>
        </is>
      </c>
      <c r="D406" s="87" t="inlineStr">
        <is>
          <t>Gas &amp; Fuel</t>
        </is>
      </c>
      <c r="E406" s="88" t="n">
        <v>-57.89</v>
      </c>
      <c r="F406" s="89">
        <f>IF(E406="","",IF(OR(D406="",D406="Uncategorized"),IF(E406&lt;0,"Expense","Income"),IFERROR(INDEX(Categories!$B$6:$B$65,MATCH(D406,Categories!$A$6:$A$65,0)),IF(E406&lt;0,"Expense","Income"))))</f>
        <v/>
      </c>
      <c r="G406" s="90">
        <f>IF(A406="","",DATE(YEAR(A406),MONTH(A406),1))</f>
        <v/>
      </c>
      <c r="H406" s="87" t="n"/>
      <c r="I406" s="87" t="n"/>
      <c r="J406" s="91" t="inlineStr">
        <is>
          <t>SHELL OIL 57444</t>
        </is>
      </c>
      <c r="K406" s="91" t="inlineStr">
        <is>
          <t>Sample Card Co</t>
        </is>
      </c>
      <c r="L406" s="91" t="inlineStr">
        <is>
          <t>Credit Card</t>
        </is>
      </c>
      <c r="M406" s="91" t="inlineStr">
        <is>
          <t>Visa_Statement.csv</t>
        </is>
      </c>
      <c r="N406" s="91" t="inlineStr">
        <is>
          <t>2026-10-15 20:14:07</t>
        </is>
      </c>
      <c r="O406" s="91" t="n"/>
      <c r="P406" s="91" t="inlineStr">
        <is>
          <t>REWARDS VISA|20260206|-5789|SHELLOIL57444#1</t>
        </is>
      </c>
      <c r="Q406" s="92">
        <f>IF(AND(G406=RptMonth,F406="Expense",N(E406)&lt;0),-E406+ROW()/10000000,"")</f>
        <v/>
      </c>
    </row>
    <row r="407">
      <c r="A407" s="86" t="n">
        <v>46058</v>
      </c>
      <c r="B407" s="87" t="inlineStr">
        <is>
          <t>Everyday Checking</t>
        </is>
      </c>
      <c r="C407" s="87" t="inlineStr">
        <is>
          <t>ONLINE TRANSFER TO HIGH-YIELD SAVINGS</t>
        </is>
      </c>
      <c r="D407" s="87" t="inlineStr">
        <is>
          <t>Transfer</t>
        </is>
      </c>
      <c r="E407" s="88" t="n">
        <v>-500</v>
      </c>
      <c r="F407" s="89">
        <f>IF(E407="","",IF(OR(D407="",D407="Uncategorized"),IF(E407&lt;0,"Expense","Income"),IFERROR(INDEX(Categories!$B$6:$B$65,MATCH(D407,Categories!$A$6:$A$65,0)),IF(E407&lt;0,"Expense","Income"))))</f>
        <v/>
      </c>
      <c r="G407" s="90">
        <f>IF(A407="","",DATE(YEAR(A407),MONTH(A407),1))</f>
        <v/>
      </c>
      <c r="H407" s="87" t="n"/>
      <c r="I407" s="87" t="n"/>
      <c r="J407" s="91" t="inlineStr">
        <is>
          <t>ONLINE TRANSFER TO HIGH-YIELD SAVINGS</t>
        </is>
      </c>
      <c r="K407" s="91" t="inlineStr">
        <is>
          <t>Sample Bank</t>
        </is>
      </c>
      <c r="L407" s="91" t="inlineStr">
        <is>
          <t>Checking</t>
        </is>
      </c>
      <c r="M407" s="91" t="inlineStr">
        <is>
          <t>Checking_Activity.csv</t>
        </is>
      </c>
      <c r="N407" s="91" t="inlineStr">
        <is>
          <t>2026-10-15 20:14:07</t>
        </is>
      </c>
      <c r="O407" s="91" t="n"/>
      <c r="P407" s="91" t="inlineStr">
        <is>
          <t>EVERYDAY CHECKING|20260205|-50000|ONLINETRANSFERTOHIGHYIELDSAVINGS#1</t>
        </is>
      </c>
      <c r="Q407" s="92">
        <f>IF(AND(G407=RptMonth,F407="Expense",N(E407)&lt;0),-E407+ROW()/10000000,"")</f>
        <v/>
      </c>
    </row>
    <row r="408">
      <c r="A408" s="86" t="n">
        <v>46058</v>
      </c>
      <c r="B408" s="87" t="inlineStr">
        <is>
          <t>High-Yield Savings</t>
        </is>
      </c>
      <c r="C408" s="87" t="inlineStr">
        <is>
          <t>ONLINE TRANSFER FROM EVERYDAY CHECKING</t>
        </is>
      </c>
      <c r="D408" s="87" t="inlineStr">
        <is>
          <t>Transfer</t>
        </is>
      </c>
      <c r="E408" s="88" t="n">
        <v>500</v>
      </c>
      <c r="F408" s="89">
        <f>IF(E408="","",IF(OR(D408="",D408="Uncategorized"),IF(E408&lt;0,"Expense","Income"),IFERROR(INDEX(Categories!$B$6:$B$65,MATCH(D408,Categories!$A$6:$A$65,0)),IF(E408&lt;0,"Expense","Income"))))</f>
        <v/>
      </c>
      <c r="G408" s="90">
        <f>IF(A408="","",DATE(YEAR(A408),MONTH(A408),1))</f>
        <v/>
      </c>
      <c r="H408" s="87" t="n"/>
      <c r="I408" s="87" t="n"/>
      <c r="J408" s="91" t="inlineStr">
        <is>
          <t>ONLINE TRANSFER FROM EVERYDAY CHECKING</t>
        </is>
      </c>
      <c r="K408" s="91" t="inlineStr">
        <is>
          <t>Sample Bank</t>
        </is>
      </c>
      <c r="L408" s="91" t="inlineStr">
        <is>
          <t>Savings</t>
        </is>
      </c>
      <c r="M408" s="91" t="inlineStr">
        <is>
          <t>Savings.qfx</t>
        </is>
      </c>
      <c r="N408" s="91" t="inlineStr">
        <is>
          <t>2026-10-15 20:14:07</t>
        </is>
      </c>
      <c r="O408" s="91" t="inlineStr">
        <is>
          <t>773002026020501</t>
        </is>
      </c>
      <c r="P408" s="91" t="inlineStr">
        <is>
          <t>HIGH-YIELD SAVINGS|ID|773002026020501#1</t>
        </is>
      </c>
      <c r="Q408" s="92">
        <f>IF(AND(G408=RptMonth,F408="Expense",N(E408)&lt;0),-E408+ROW()/10000000,"")</f>
        <v/>
      </c>
    </row>
    <row r="409">
      <c r="A409" s="86" t="n">
        <v>46057</v>
      </c>
      <c r="B409" s="87" t="inlineStr">
        <is>
          <t>Rewards Visa</t>
        </is>
      </c>
      <c r="C409" s="87" t="inlineStr">
        <is>
          <t>SHOPRITE #0234</t>
        </is>
      </c>
      <c r="D409" s="87" t="inlineStr">
        <is>
          <t>Groceries</t>
        </is>
      </c>
      <c r="E409" s="88" t="n">
        <v>-28.58</v>
      </c>
      <c r="F409" s="89">
        <f>IF(E409="","",IF(OR(D409="",D409="Uncategorized"),IF(E409&lt;0,"Expense","Income"),IFERROR(INDEX(Categories!$B$6:$B$65,MATCH(D409,Categories!$A$6:$A$65,0)),IF(E409&lt;0,"Expense","Income"))))</f>
        <v/>
      </c>
      <c r="G409" s="90">
        <f>IF(A409="","",DATE(YEAR(A409),MONTH(A409),1))</f>
        <v/>
      </c>
      <c r="H409" s="87" t="n"/>
      <c r="I409" s="87" t="n"/>
      <c r="J409" s="91" t="inlineStr">
        <is>
          <t>SHOPRITE #0234</t>
        </is>
      </c>
      <c r="K409" s="91" t="inlineStr">
        <is>
          <t>Sample Card Co</t>
        </is>
      </c>
      <c r="L409" s="91" t="inlineStr">
        <is>
          <t>Credit Card</t>
        </is>
      </c>
      <c r="M409" s="91" t="inlineStr">
        <is>
          <t>Visa_Statement.csv</t>
        </is>
      </c>
      <c r="N409" s="91" t="inlineStr">
        <is>
          <t>2026-10-15 20:14:07</t>
        </is>
      </c>
      <c r="O409" s="91" t="n"/>
      <c r="P409" s="91" t="inlineStr">
        <is>
          <t>REWARDS VISA|20260204|-2858|SHOPRITE0234#1</t>
        </is>
      </c>
      <c r="Q409" s="92">
        <f>IF(AND(G409=RptMonth,F409="Expense",N(E409)&lt;0),-E409+ROW()/10000000,"")</f>
        <v/>
      </c>
    </row>
    <row r="410">
      <c r="A410" s="86" t="n">
        <v>46056</v>
      </c>
      <c r="B410" s="87" t="inlineStr">
        <is>
          <t>Everyday Checking</t>
        </is>
      </c>
      <c r="C410" s="87" t="inlineStr">
        <is>
          <t>GEICO AUTO INSURANCE</t>
        </is>
      </c>
      <c r="D410" s="87" t="inlineStr">
        <is>
          <t>Insurance</t>
        </is>
      </c>
      <c r="E410" s="88" t="n">
        <v>-142.5</v>
      </c>
      <c r="F410" s="89">
        <f>IF(E410="","",IF(OR(D410="",D410="Uncategorized"),IF(E410&lt;0,"Expense","Income"),IFERROR(INDEX(Categories!$B$6:$B$65,MATCH(D410,Categories!$A$6:$A$65,0)),IF(E410&lt;0,"Expense","Income"))))</f>
        <v/>
      </c>
      <c r="G410" s="90">
        <f>IF(A410="","",DATE(YEAR(A410),MONTH(A410),1))</f>
        <v/>
      </c>
      <c r="H410" s="87" t="n"/>
      <c r="I410" s="87" t="n"/>
      <c r="J410" s="91" t="inlineStr">
        <is>
          <t>GEICO AUTO INSURANCE</t>
        </is>
      </c>
      <c r="K410" s="91" t="inlineStr">
        <is>
          <t>Sample Bank</t>
        </is>
      </c>
      <c r="L410" s="91" t="inlineStr">
        <is>
          <t>Checking</t>
        </is>
      </c>
      <c r="M410" s="91" t="inlineStr">
        <is>
          <t>Checking_Activity.csv</t>
        </is>
      </c>
      <c r="N410" s="91" t="inlineStr">
        <is>
          <t>2026-10-15 20:14:07</t>
        </is>
      </c>
      <c r="O410" s="91" t="n"/>
      <c r="P410" s="91" t="inlineStr">
        <is>
          <t>EVERYDAY CHECKING|20260203|-14250|GEICOAUTOINSURANCE#1</t>
        </is>
      </c>
      <c r="Q410" s="92">
        <f>IF(AND(G410=RptMonth,F410="Expense",N(E410)&lt;0),-E410+ROW()/10000000,"")</f>
        <v/>
      </c>
    </row>
    <row r="411">
      <c r="A411" s="86" t="n">
        <v>46056</v>
      </c>
      <c r="B411" s="87" t="inlineStr">
        <is>
          <t>Rewards Visa</t>
        </is>
      </c>
      <c r="C411" s="87" t="inlineStr">
        <is>
          <t>AMAZON.COM REFUND</t>
        </is>
      </c>
      <c r="D411" s="87" t="inlineStr">
        <is>
          <t>Refunds &amp; Reimbursements</t>
        </is>
      </c>
      <c r="E411" s="88" t="n">
        <v>32.99</v>
      </c>
      <c r="F411" s="89">
        <f>IF(E411="","",IF(OR(D411="",D411="Uncategorized"),IF(E411&lt;0,"Expense","Income"),IFERROR(INDEX(Categories!$B$6:$B$65,MATCH(D411,Categories!$A$6:$A$65,0)),IF(E411&lt;0,"Expense","Income"))))</f>
        <v/>
      </c>
      <c r="G411" s="90">
        <f>IF(A411="","",DATE(YEAR(A411),MONTH(A411),1))</f>
        <v/>
      </c>
      <c r="H411" s="87" t="n"/>
      <c r="I411" s="87" t="n"/>
      <c r="J411" s="91" t="inlineStr">
        <is>
          <t>AMAZON.COM REFUND</t>
        </is>
      </c>
      <c r="K411" s="91" t="inlineStr">
        <is>
          <t>Sample Card Co</t>
        </is>
      </c>
      <c r="L411" s="91" t="inlineStr">
        <is>
          <t>Credit Card</t>
        </is>
      </c>
      <c r="M411" s="91" t="inlineStr">
        <is>
          <t>Visa_Statement.csv</t>
        </is>
      </c>
      <c r="N411" s="91" t="inlineStr">
        <is>
          <t>2026-10-15 20:14:07</t>
        </is>
      </c>
      <c r="O411" s="91" t="n"/>
      <c r="P411" s="91" t="inlineStr">
        <is>
          <t>REWARDS VISA|20260203|3299|AMAZONCOMREFUND#1</t>
        </is>
      </c>
      <c r="Q411" s="92">
        <f>IF(AND(G411=RptMonth,F411="Expense",N(E411)&lt;0),-E411+ROW()/10000000,"")</f>
        <v/>
      </c>
    </row>
    <row r="412">
      <c r="A412" s="86" t="n">
        <v>46056</v>
      </c>
      <c r="B412" s="87" t="inlineStr">
        <is>
          <t>Rewards Visa</t>
        </is>
      </c>
      <c r="C412" s="87" t="inlineStr">
        <is>
          <t>SUNOCO 0391</t>
        </is>
      </c>
      <c r="D412" s="87" t="inlineStr">
        <is>
          <t>Gas &amp; Fuel</t>
        </is>
      </c>
      <c r="E412" s="88" t="n">
        <v>-47.38</v>
      </c>
      <c r="F412" s="89">
        <f>IF(E412="","",IF(OR(D412="",D412="Uncategorized"),IF(E412&lt;0,"Expense","Income"),IFERROR(INDEX(Categories!$B$6:$B$65,MATCH(D412,Categories!$A$6:$A$65,0)),IF(E412&lt;0,"Expense","Income"))))</f>
        <v/>
      </c>
      <c r="G412" s="90">
        <f>IF(A412="","",DATE(YEAR(A412),MONTH(A412),1))</f>
        <v/>
      </c>
      <c r="H412" s="87" t="n"/>
      <c r="I412" s="87" t="n"/>
      <c r="J412" s="91" t="inlineStr">
        <is>
          <t>SUNOCO 0391</t>
        </is>
      </c>
      <c r="K412" s="91" t="inlineStr">
        <is>
          <t>Sample Card Co</t>
        </is>
      </c>
      <c r="L412" s="91" t="inlineStr">
        <is>
          <t>Credit Card</t>
        </is>
      </c>
      <c r="M412" s="91" t="inlineStr">
        <is>
          <t>Visa_Statement.csv</t>
        </is>
      </c>
      <c r="N412" s="91" t="inlineStr">
        <is>
          <t>2026-10-15 20:14:07</t>
        </is>
      </c>
      <c r="O412" s="91" t="n"/>
      <c r="P412" s="91" t="inlineStr">
        <is>
          <t>REWARDS VISA|20260203|-4738|SUNOCO0391#1</t>
        </is>
      </c>
      <c r="Q412" s="92">
        <f>IF(AND(G412=RptMonth,F412="Expense",N(E412)&lt;0),-E412+ROW()/10000000,"")</f>
        <v/>
      </c>
    </row>
    <row r="413">
      <c r="A413" s="86" t="n">
        <v>46055</v>
      </c>
      <c r="B413" s="87" t="inlineStr">
        <is>
          <t>Rewards Visa</t>
        </is>
      </c>
      <c r="C413" s="87" t="inlineStr">
        <is>
          <t>NETFLIX.COM</t>
        </is>
      </c>
      <c r="D413" s="87" t="inlineStr">
        <is>
          <t>Subscriptions</t>
        </is>
      </c>
      <c r="E413" s="88" t="n">
        <v>-15.49</v>
      </c>
      <c r="F413" s="89">
        <f>IF(E413="","",IF(OR(D413="",D413="Uncategorized"),IF(E413&lt;0,"Expense","Income"),IFERROR(INDEX(Categories!$B$6:$B$65,MATCH(D413,Categories!$A$6:$A$65,0)),IF(E413&lt;0,"Expense","Income"))))</f>
        <v/>
      </c>
      <c r="G413" s="90">
        <f>IF(A413="","",DATE(YEAR(A413),MONTH(A413),1))</f>
        <v/>
      </c>
      <c r="H413" s="87" t="n"/>
      <c r="I413" s="87" t="n"/>
      <c r="J413" s="91" t="inlineStr">
        <is>
          <t>NETFLIX.COM</t>
        </is>
      </c>
      <c r="K413" s="91" t="inlineStr">
        <is>
          <t>Sample Card Co</t>
        </is>
      </c>
      <c r="L413" s="91" t="inlineStr">
        <is>
          <t>Credit Card</t>
        </is>
      </c>
      <c r="M413" s="91" t="inlineStr">
        <is>
          <t>Visa_Statement.csv</t>
        </is>
      </c>
      <c r="N413" s="91" t="inlineStr">
        <is>
          <t>2026-10-15 20:14:07</t>
        </is>
      </c>
      <c r="O413" s="91" t="n"/>
      <c r="P413" s="91" t="inlineStr">
        <is>
          <t>REWARDS VISA|20260202|-1549|NETFLIXCOM#1</t>
        </is>
      </c>
      <c r="Q413" s="92">
        <f>IF(AND(G413=RptMonth,F413="Expense",N(E413)&lt;0),-E413+ROW()/10000000,"")</f>
        <v/>
      </c>
    </row>
    <row r="414">
      <c r="A414" s="86" t="n">
        <v>46055</v>
      </c>
      <c r="B414" s="87" t="inlineStr">
        <is>
          <t>Rewards Visa</t>
        </is>
      </c>
      <c r="C414" s="87" t="inlineStr">
        <is>
          <t>TARGET 00012345</t>
        </is>
      </c>
      <c r="D414" s="87" t="inlineStr">
        <is>
          <t>Shopping</t>
        </is>
      </c>
      <c r="E414" s="88" t="n">
        <v>-42.86</v>
      </c>
      <c r="F414" s="89">
        <f>IF(E414="","",IF(OR(D414="",D414="Uncategorized"),IF(E414&lt;0,"Expense","Income"),IFERROR(INDEX(Categories!$B$6:$B$65,MATCH(D414,Categories!$A$6:$A$65,0)),IF(E414&lt;0,"Expense","Income"))))</f>
        <v/>
      </c>
      <c r="G414" s="90">
        <f>IF(A414="","",DATE(YEAR(A414),MONTH(A414),1))</f>
        <v/>
      </c>
      <c r="H414" s="87" t="n"/>
      <c r="I414" s="87" t="n"/>
      <c r="J414" s="91" t="inlineStr">
        <is>
          <t>TARGET 00012345</t>
        </is>
      </c>
      <c r="K414" s="91" t="inlineStr">
        <is>
          <t>Sample Card Co</t>
        </is>
      </c>
      <c r="L414" s="91" t="inlineStr">
        <is>
          <t>Credit Card</t>
        </is>
      </c>
      <c r="M414" s="91" t="inlineStr">
        <is>
          <t>Visa_Statement.csv</t>
        </is>
      </c>
      <c r="N414" s="91" t="inlineStr">
        <is>
          <t>2026-10-15 20:14:07</t>
        </is>
      </c>
      <c r="O414" s="91" t="n"/>
      <c r="P414" s="91" t="inlineStr">
        <is>
          <t>REWARDS VISA|20260202|-4286|TARGET00012345#1</t>
        </is>
      </c>
      <c r="Q414" s="92">
        <f>IF(AND(G414=RptMonth,F414="Expense",N(E414)&lt;0),-E414+ROW()/10000000,"")</f>
        <v/>
      </c>
    </row>
    <row r="415">
      <c r="A415" s="86" t="n">
        <v>46054</v>
      </c>
      <c r="B415" s="87" t="inlineStr">
        <is>
          <t>Everyday Checking</t>
        </is>
      </c>
      <c r="C415" s="87" t="inlineStr">
        <is>
          <t>SAMPLE MORTGAGE CO PAYMENT</t>
        </is>
      </c>
      <c r="D415" s="87" t="inlineStr">
        <is>
          <t>Mortgage / Rent</t>
        </is>
      </c>
      <c r="E415" s="88" t="n">
        <v>-2450</v>
      </c>
      <c r="F415" s="89">
        <f>IF(E415="","",IF(OR(D415="",D415="Uncategorized"),IF(E415&lt;0,"Expense","Income"),IFERROR(INDEX(Categories!$B$6:$B$65,MATCH(D415,Categories!$A$6:$A$65,0)),IF(E415&lt;0,"Expense","Income"))))</f>
        <v/>
      </c>
      <c r="G415" s="90">
        <f>IF(A415="","",DATE(YEAR(A415),MONTH(A415),1))</f>
        <v/>
      </c>
      <c r="H415" s="87" t="inlineStr">
        <is>
          <t>Includes escrow for taxes and insurance</t>
        </is>
      </c>
      <c r="I415" s="87" t="n"/>
      <c r="J415" s="91" t="inlineStr">
        <is>
          <t>SAMPLE MORTGAGE CO PAYMENT</t>
        </is>
      </c>
      <c r="K415" s="91" t="inlineStr">
        <is>
          <t>Sample Bank</t>
        </is>
      </c>
      <c r="L415" s="91" t="inlineStr">
        <is>
          <t>Checking</t>
        </is>
      </c>
      <c r="M415" s="91" t="inlineStr">
        <is>
          <t>Checking_Activity.csv</t>
        </is>
      </c>
      <c r="N415" s="91" t="inlineStr">
        <is>
          <t>2026-10-15 20:14:07</t>
        </is>
      </c>
      <c r="O415" s="91" t="n"/>
      <c r="P415" s="91" t="inlineStr">
        <is>
          <t>EVERYDAY CHECKING|20260201|-245000|SAMPLEMORTGAGECOPAYMENT#1</t>
        </is>
      </c>
      <c r="Q415" s="92">
        <f>IF(AND(G415=RptMonth,F415="Expense",N(E415)&lt;0),-E415+ROW()/10000000,"")</f>
        <v/>
      </c>
    </row>
    <row r="416">
      <c r="A416" s="86" t="n">
        <v>46054</v>
      </c>
      <c r="B416" s="87" t="inlineStr">
        <is>
          <t>Home Mortgage</t>
        </is>
      </c>
      <c r="C416" s="87" t="inlineStr">
        <is>
          <t>Payment</t>
        </is>
      </c>
      <c r="D416" s="87" t="inlineStr">
        <is>
          <t>Transfer</t>
        </is>
      </c>
      <c r="E416" s="88" t="n">
        <v>303.11</v>
      </c>
      <c r="F416" s="89">
        <f>IF(E416="","",IF(OR(D416="",D416="Uncategorized"),IF(E416&lt;0,"Expense","Income"),IFERROR(INDEX(Categories!$B$6:$B$65,MATCH(D416,Categories!$A$6:$A$65,0)),IF(E416&lt;0,"Expense","Income"))))</f>
        <v/>
      </c>
      <c r="G416" s="90">
        <f>IF(A416="","",DATE(YEAR(A416),MONTH(A416),1))</f>
        <v/>
      </c>
      <c r="H416" s="87" t="n"/>
      <c r="I416" s="87" t="n"/>
      <c r="J416" s="91" t="inlineStr">
        <is>
          <t>Payment</t>
        </is>
      </c>
      <c r="K416" s="91" t="inlineStr">
        <is>
          <t>Sample Mortgage Co</t>
        </is>
      </c>
      <c r="L416" s="91" t="inlineStr">
        <is>
          <t>Mortgage</t>
        </is>
      </c>
      <c r="M416" s="91" t="inlineStr">
        <is>
          <t>Mortgage_History.xlsx</t>
        </is>
      </c>
      <c r="N416" s="91" t="inlineStr">
        <is>
          <t>2026-10-15 20:14:07</t>
        </is>
      </c>
      <c r="O416" s="91" t="n"/>
      <c r="P416" s="91" t="inlineStr">
        <is>
          <t>HOME MORTGAGE|20260201|30311|PAYMENT#1</t>
        </is>
      </c>
      <c r="Q416" s="92">
        <f>IF(AND(G416=RptMonth,F416="Expense",N(E416)&lt;0),-E416+ROW()/10000000,"")</f>
        <v/>
      </c>
    </row>
    <row r="417">
      <c r="A417" s="86" t="n">
        <v>46054</v>
      </c>
      <c r="B417" s="87" t="inlineStr">
        <is>
          <t>Rewards Visa</t>
        </is>
      </c>
      <c r="C417" s="87" t="inlineStr">
        <is>
          <t>LOCAL PIZZERIA</t>
        </is>
      </c>
      <c r="D417" s="87" t="inlineStr">
        <is>
          <t>Dining Out</t>
        </is>
      </c>
      <c r="E417" s="88" t="n">
        <v>-18.84</v>
      </c>
      <c r="F417" s="89">
        <f>IF(E417="","",IF(OR(D417="",D417="Uncategorized"),IF(E417&lt;0,"Expense","Income"),IFERROR(INDEX(Categories!$B$6:$B$65,MATCH(D417,Categories!$A$6:$A$65,0)),IF(E417&lt;0,"Expense","Income"))))</f>
        <v/>
      </c>
      <c r="G417" s="90">
        <f>IF(A417="","",DATE(YEAR(A417),MONTH(A417),1))</f>
        <v/>
      </c>
      <c r="H417" s="87" t="n"/>
      <c r="I417" s="87" t="n"/>
      <c r="J417" s="91" t="inlineStr">
        <is>
          <t>LOCAL PIZZERIA</t>
        </is>
      </c>
      <c r="K417" s="91" t="inlineStr">
        <is>
          <t>Sample Card Co</t>
        </is>
      </c>
      <c r="L417" s="91" t="inlineStr">
        <is>
          <t>Credit Card</t>
        </is>
      </c>
      <c r="M417" s="91" t="inlineStr">
        <is>
          <t>Visa_Statement.csv</t>
        </is>
      </c>
      <c r="N417" s="91" t="inlineStr">
        <is>
          <t>2026-10-15 20:14:07</t>
        </is>
      </c>
      <c r="O417" s="91" t="n"/>
      <c r="P417" s="91" t="inlineStr">
        <is>
          <t>REWARDS VISA|20260201|-1884|LOCALPIZZERIA#1</t>
        </is>
      </c>
      <c r="Q417" s="92">
        <f>IF(AND(G417=RptMonth,F417="Expense",N(E417)&lt;0),-E417+ROW()/10000000,"")</f>
        <v/>
      </c>
    </row>
    <row r="418">
      <c r="A418" s="86" t="n">
        <v>46053</v>
      </c>
      <c r="B418" s="87" t="inlineStr">
        <is>
          <t>Rewards Visa</t>
        </is>
      </c>
      <c r="C418" s="87" t="inlineStr">
        <is>
          <t>WHOLE FOODS MARKET #10312</t>
        </is>
      </c>
      <c r="D418" s="87" t="inlineStr">
        <is>
          <t>Groceries</t>
        </is>
      </c>
      <c r="E418" s="88" t="n">
        <v>-144.72</v>
      </c>
      <c r="F418" s="89">
        <f>IF(E418="","",IF(OR(D418="",D418="Uncategorized"),IF(E418&lt;0,"Expense","Income"),IFERROR(INDEX(Categories!$B$6:$B$65,MATCH(D418,Categories!$A$6:$A$65,0)),IF(E418&lt;0,"Expense","Income"))))</f>
        <v/>
      </c>
      <c r="G418" s="90">
        <f>IF(A418="","",DATE(YEAR(A418),MONTH(A418),1))</f>
        <v/>
      </c>
      <c r="H418" s="87" t="n"/>
      <c r="I418" s="87" t="n"/>
      <c r="J418" s="91" t="inlineStr">
        <is>
          <t>WHOLE FOODS MARKET #10312</t>
        </is>
      </c>
      <c r="K418" s="91" t="inlineStr">
        <is>
          <t>Sample Card Co</t>
        </is>
      </c>
      <c r="L418" s="91" t="inlineStr">
        <is>
          <t>Credit Card</t>
        </is>
      </c>
      <c r="M418" s="91" t="inlineStr">
        <is>
          <t>Visa_Statement.csv</t>
        </is>
      </c>
      <c r="N418" s="91" t="inlineStr">
        <is>
          <t>2026-10-15 20:14:07</t>
        </is>
      </c>
      <c r="O418" s="91" t="n"/>
      <c r="P418" s="91" t="inlineStr">
        <is>
          <t>REWARDS VISA|20260131|-14472|WHOLEFOODSMARKET10312#1</t>
        </is>
      </c>
      <c r="Q418" s="92">
        <f>IF(AND(G418=RptMonth,F418="Expense",N(E418)&lt;0),-E418+ROW()/10000000,"")</f>
        <v/>
      </c>
    </row>
    <row r="419">
      <c r="A419" s="86" t="n">
        <v>46052</v>
      </c>
      <c r="B419" s="87" t="inlineStr">
        <is>
          <t>Rewards Visa</t>
        </is>
      </c>
      <c r="C419" s="87" t="inlineStr">
        <is>
          <t>SUNOCO 0391</t>
        </is>
      </c>
      <c r="D419" s="87" t="inlineStr">
        <is>
          <t>Gas &amp; Fuel</t>
        </is>
      </c>
      <c r="E419" s="88" t="n">
        <v>-49.26</v>
      </c>
      <c r="F419" s="89">
        <f>IF(E419="","",IF(OR(D419="",D419="Uncategorized"),IF(E419&lt;0,"Expense","Income"),IFERROR(INDEX(Categories!$B$6:$B$65,MATCH(D419,Categories!$A$6:$A$65,0)),IF(E419&lt;0,"Expense","Income"))))</f>
        <v/>
      </c>
      <c r="G419" s="90">
        <f>IF(A419="","",DATE(YEAR(A419),MONTH(A419),1))</f>
        <v/>
      </c>
      <c r="H419" s="87" t="n"/>
      <c r="I419" s="87" t="n"/>
      <c r="J419" s="91" t="inlineStr">
        <is>
          <t>SUNOCO 0391</t>
        </is>
      </c>
      <c r="K419" s="91" t="inlineStr">
        <is>
          <t>Sample Card Co</t>
        </is>
      </c>
      <c r="L419" s="91" t="inlineStr">
        <is>
          <t>Credit Card</t>
        </is>
      </c>
      <c r="M419" s="91" t="inlineStr">
        <is>
          <t>Visa_Statement.csv</t>
        </is>
      </c>
      <c r="N419" s="91" t="inlineStr">
        <is>
          <t>2026-10-15 20:14:07</t>
        </is>
      </c>
      <c r="O419" s="91" t="n"/>
      <c r="P419" s="91" t="inlineStr">
        <is>
          <t>REWARDS VISA|20260130|-4926|SUNOCO0391#1</t>
        </is>
      </c>
      <c r="Q419" s="92">
        <f>IF(AND(G419=RptMonth,F419="Expense",N(E419)&lt;0),-E419+ROW()/10000000,"")</f>
        <v/>
      </c>
    </row>
    <row r="420">
      <c r="A420" s="86" t="n">
        <v>46052</v>
      </c>
      <c r="B420" s="87" t="inlineStr">
        <is>
          <t>Rewards Visa</t>
        </is>
      </c>
      <c r="C420" s="87" t="inlineStr">
        <is>
          <t>SUSHI KOO</t>
        </is>
      </c>
      <c r="D420" s="87" t="inlineStr">
        <is>
          <t>Dining Out</t>
        </is>
      </c>
      <c r="E420" s="88" t="n">
        <v>-22.61</v>
      </c>
      <c r="F420" s="89">
        <f>IF(E420="","",IF(OR(D420="",D420="Uncategorized"),IF(E420&lt;0,"Expense","Income"),IFERROR(INDEX(Categories!$B$6:$B$65,MATCH(D420,Categories!$A$6:$A$65,0)),IF(E420&lt;0,"Expense","Income"))))</f>
        <v/>
      </c>
      <c r="G420" s="90">
        <f>IF(A420="","",DATE(YEAR(A420),MONTH(A420),1))</f>
        <v/>
      </c>
      <c r="H420" s="87" t="n"/>
      <c r="I420" s="87" t="n"/>
      <c r="J420" s="91" t="inlineStr">
        <is>
          <t>SUSHI KOO</t>
        </is>
      </c>
      <c r="K420" s="91" t="inlineStr">
        <is>
          <t>Sample Card Co</t>
        </is>
      </c>
      <c r="L420" s="91" t="inlineStr">
        <is>
          <t>Credit Card</t>
        </is>
      </c>
      <c r="M420" s="91" t="inlineStr">
        <is>
          <t>Visa_Statement.csv</t>
        </is>
      </c>
      <c r="N420" s="91" t="inlineStr">
        <is>
          <t>2026-10-15 20:14:07</t>
        </is>
      </c>
      <c r="O420" s="91" t="n"/>
      <c r="P420" s="91" t="inlineStr">
        <is>
          <t>REWARDS VISA|20260130|-2261|SUSHIKOO#1</t>
        </is>
      </c>
      <c r="Q420" s="92">
        <f>IF(AND(G420=RptMonth,F420="Expense",N(E420)&lt;0),-E420+ROW()/10000000,"")</f>
        <v/>
      </c>
    </row>
    <row r="421">
      <c r="A421" s="86" t="n">
        <v>46050</v>
      </c>
      <c r="B421" s="87" t="inlineStr">
        <is>
          <t>High-Yield Savings</t>
        </is>
      </c>
      <c r="C421" s="87" t="inlineStr">
        <is>
          <t>INTEREST PAYMENT</t>
        </is>
      </c>
      <c r="D421" s="87" t="inlineStr">
        <is>
          <t>Interest &amp; Dividends</t>
        </is>
      </c>
      <c r="E421" s="88" t="n">
        <v>51.34</v>
      </c>
      <c r="F421" s="89">
        <f>IF(E421="","",IF(OR(D421="",D421="Uncategorized"),IF(E421&lt;0,"Expense","Income"),IFERROR(INDEX(Categories!$B$6:$B$65,MATCH(D421,Categories!$A$6:$A$65,0)),IF(E421&lt;0,"Expense","Income"))))</f>
        <v/>
      </c>
      <c r="G421" s="90">
        <f>IF(A421="","",DATE(YEAR(A421),MONTH(A421),1))</f>
        <v/>
      </c>
      <c r="H421" s="87" t="n"/>
      <c r="I421" s="87" t="n"/>
      <c r="J421" s="91" t="inlineStr">
        <is>
          <t>INTEREST PAYMENT</t>
        </is>
      </c>
      <c r="K421" s="91" t="inlineStr">
        <is>
          <t>Sample Bank</t>
        </is>
      </c>
      <c r="L421" s="91" t="inlineStr">
        <is>
          <t>Savings</t>
        </is>
      </c>
      <c r="M421" s="91" t="inlineStr">
        <is>
          <t>Savings.qfx</t>
        </is>
      </c>
      <c r="N421" s="91" t="inlineStr">
        <is>
          <t>2026-10-15 20:14:07</t>
        </is>
      </c>
      <c r="O421" s="91" t="inlineStr">
        <is>
          <t>773002026012801</t>
        </is>
      </c>
      <c r="P421" s="91" t="inlineStr">
        <is>
          <t>HIGH-YIELD SAVINGS|ID|773002026012801#1</t>
        </is>
      </c>
      <c r="Q421" s="92">
        <f>IF(AND(G421=RptMonth,F421="Expense",N(E421)&lt;0),-E421+ROW()/10000000,"")</f>
        <v/>
      </c>
    </row>
    <row r="422">
      <c r="A422" s="86" t="n">
        <v>46047</v>
      </c>
      <c r="B422" s="87" t="inlineStr">
        <is>
          <t>Rewards Visa</t>
        </is>
      </c>
      <c r="C422" s="87" t="inlineStr">
        <is>
          <t>AMC THEATRES 0221</t>
        </is>
      </c>
      <c r="D422" s="87" t="inlineStr">
        <is>
          <t>Entertainment</t>
        </is>
      </c>
      <c r="E422" s="88" t="n">
        <v>-69.13</v>
      </c>
      <c r="F422" s="89">
        <f>IF(E422="","",IF(OR(D422="",D422="Uncategorized"),IF(E422&lt;0,"Expense","Income"),IFERROR(INDEX(Categories!$B$6:$B$65,MATCH(D422,Categories!$A$6:$A$65,0)),IF(E422&lt;0,"Expense","Income"))))</f>
        <v/>
      </c>
      <c r="G422" s="90">
        <f>IF(A422="","",DATE(YEAR(A422),MONTH(A422),1))</f>
        <v/>
      </c>
      <c r="H422" s="87" t="n"/>
      <c r="I422" s="87" t="n"/>
      <c r="J422" s="91" t="inlineStr">
        <is>
          <t>AMC THEATRES 0221</t>
        </is>
      </c>
      <c r="K422" s="91" t="inlineStr">
        <is>
          <t>Sample Card Co</t>
        </is>
      </c>
      <c r="L422" s="91" t="inlineStr">
        <is>
          <t>Credit Card</t>
        </is>
      </c>
      <c r="M422" s="91" t="inlineStr">
        <is>
          <t>Visa_Statement.csv</t>
        </is>
      </c>
      <c r="N422" s="91" t="inlineStr">
        <is>
          <t>2026-10-15 20:14:07</t>
        </is>
      </c>
      <c r="O422" s="91" t="n"/>
      <c r="P422" s="91" t="inlineStr">
        <is>
          <t>REWARDS VISA|20260125|-6913|AMCTHEATRES0221#1</t>
        </is>
      </c>
      <c r="Q422" s="92">
        <f>IF(AND(G422=RptMonth,F422="Expense",N(E422)&lt;0),-E422+ROW()/10000000,"")</f>
        <v/>
      </c>
    </row>
    <row r="423">
      <c r="A423" s="86" t="n">
        <v>46046</v>
      </c>
      <c r="B423" s="87" t="inlineStr">
        <is>
          <t>Rewards Visa</t>
        </is>
      </c>
      <c r="C423" s="87" t="inlineStr">
        <is>
          <t>STARBUCKS STORE 08123</t>
        </is>
      </c>
      <c r="D423" s="87" t="inlineStr">
        <is>
          <t>Dining Out</t>
        </is>
      </c>
      <c r="E423" s="88" t="n">
        <v>-14.35</v>
      </c>
      <c r="F423" s="89">
        <f>IF(E423="","",IF(OR(D423="",D423="Uncategorized"),IF(E423&lt;0,"Expense","Income"),IFERROR(INDEX(Categories!$B$6:$B$65,MATCH(D423,Categories!$A$6:$A$65,0)),IF(E423&lt;0,"Expense","Income"))))</f>
        <v/>
      </c>
      <c r="G423" s="90">
        <f>IF(A423="","",DATE(YEAR(A423),MONTH(A423),1))</f>
        <v/>
      </c>
      <c r="H423" s="87" t="n"/>
      <c r="I423" s="87" t="n"/>
      <c r="J423" s="91" t="inlineStr">
        <is>
          <t>STARBUCKS STORE 08123</t>
        </is>
      </c>
      <c r="K423" s="91" t="inlineStr">
        <is>
          <t>Sample Card Co</t>
        </is>
      </c>
      <c r="L423" s="91" t="inlineStr">
        <is>
          <t>Credit Card</t>
        </is>
      </c>
      <c r="M423" s="91" t="inlineStr">
        <is>
          <t>Visa_Statement.csv</t>
        </is>
      </c>
      <c r="N423" s="91" t="inlineStr">
        <is>
          <t>2026-10-15 20:14:07</t>
        </is>
      </c>
      <c r="O423" s="91" t="n"/>
      <c r="P423" s="91" t="inlineStr">
        <is>
          <t>REWARDS VISA|20260124|-1435|STARBUCKSSTORE08123#1</t>
        </is>
      </c>
      <c r="Q423" s="92">
        <f>IF(AND(G423=RptMonth,F423="Expense",N(E423)&lt;0),-E423+ROW()/10000000,"")</f>
        <v/>
      </c>
    </row>
    <row r="424">
      <c r="A424" s="86" t="n">
        <v>46046</v>
      </c>
      <c r="B424" s="87" t="inlineStr">
        <is>
          <t>Rewards Visa</t>
        </is>
      </c>
      <c r="C424" s="87" t="inlineStr">
        <is>
          <t>TRADER JOE'S #548</t>
        </is>
      </c>
      <c r="D424" s="87" t="inlineStr">
        <is>
          <t>Groceries</t>
        </is>
      </c>
      <c r="E424" s="88" t="n">
        <v>-122.45</v>
      </c>
      <c r="F424" s="89">
        <f>IF(E424="","",IF(OR(D424="",D424="Uncategorized"),IF(E424&lt;0,"Expense","Income"),IFERROR(INDEX(Categories!$B$6:$B$65,MATCH(D424,Categories!$A$6:$A$65,0)),IF(E424&lt;0,"Expense","Income"))))</f>
        <v/>
      </c>
      <c r="G424" s="90">
        <f>IF(A424="","",DATE(YEAR(A424),MONTH(A424),1))</f>
        <v/>
      </c>
      <c r="H424" s="87" t="n"/>
      <c r="I424" s="87" t="n"/>
      <c r="J424" s="91" t="inlineStr">
        <is>
          <t>TRADER JOE'S #548</t>
        </is>
      </c>
      <c r="K424" s="91" t="inlineStr">
        <is>
          <t>Sample Card Co</t>
        </is>
      </c>
      <c r="L424" s="91" t="inlineStr">
        <is>
          <t>Credit Card</t>
        </is>
      </c>
      <c r="M424" s="91" t="inlineStr">
        <is>
          <t>Visa_Statement.csv</t>
        </is>
      </c>
      <c r="N424" s="91" t="inlineStr">
        <is>
          <t>2026-10-15 20:14:07</t>
        </is>
      </c>
      <c r="O424" s="91" t="n"/>
      <c r="P424" s="91" t="inlineStr">
        <is>
          <t>REWARDS VISA|20260124|-12245|TRADERJOES548#1</t>
        </is>
      </c>
      <c r="Q424" s="92">
        <f>IF(AND(G424=RptMonth,F424="Expense",N(E424)&lt;0),-E424+ROW()/10000000,"")</f>
        <v/>
      </c>
    </row>
    <row r="425">
      <c r="A425" s="86" t="n">
        <v>46045</v>
      </c>
      <c r="B425" s="87" t="inlineStr">
        <is>
          <t>Everyday Checking</t>
        </is>
      </c>
      <c r="C425" s="87" t="inlineStr">
        <is>
          <t>ACME CORP PAYROLL DIR DEP</t>
        </is>
      </c>
      <c r="D425" s="87" t="inlineStr">
        <is>
          <t>Salary</t>
        </is>
      </c>
      <c r="E425" s="88" t="n">
        <v>3352.18</v>
      </c>
      <c r="F425" s="89">
        <f>IF(E425="","",IF(OR(D425="",D425="Uncategorized"),IF(E425&lt;0,"Expense","Income"),IFERROR(INDEX(Categories!$B$6:$B$65,MATCH(D425,Categories!$A$6:$A$65,0)),IF(E425&lt;0,"Expense","Income"))))</f>
        <v/>
      </c>
      <c r="G425" s="90">
        <f>IF(A425="","",DATE(YEAR(A425),MONTH(A425),1))</f>
        <v/>
      </c>
      <c r="H425" s="87" t="n"/>
      <c r="I425" s="87" t="n"/>
      <c r="J425" s="91" t="inlineStr">
        <is>
          <t>ACME CORP PAYROLL DIR DEP</t>
        </is>
      </c>
      <c r="K425" s="91" t="inlineStr">
        <is>
          <t>Sample Bank</t>
        </is>
      </c>
      <c r="L425" s="91" t="inlineStr">
        <is>
          <t>Checking</t>
        </is>
      </c>
      <c r="M425" s="91" t="inlineStr">
        <is>
          <t>Checking_Activity.csv</t>
        </is>
      </c>
      <c r="N425" s="91" t="inlineStr">
        <is>
          <t>2026-10-15 20:14:07</t>
        </is>
      </c>
      <c r="O425" s="91" t="n"/>
      <c r="P425" s="91" t="inlineStr">
        <is>
          <t>EVERYDAY CHECKING|20260123|335218|ACMECORPPAYROLLDIRDEP#1</t>
        </is>
      </c>
      <c r="Q425" s="92">
        <f>IF(AND(G425=RptMonth,F425="Expense",N(E425)&lt;0),-E425+ROW()/10000000,"")</f>
        <v/>
      </c>
    </row>
    <row r="426">
      <c r="A426" s="86" t="n">
        <v>46045</v>
      </c>
      <c r="B426" s="87" t="inlineStr">
        <is>
          <t>Rewards Visa</t>
        </is>
      </c>
      <c r="C426" s="87" t="inlineStr">
        <is>
          <t>PARKING METER</t>
        </is>
      </c>
      <c r="D426" s="87" t="inlineStr">
        <is>
          <t>Transportation</t>
        </is>
      </c>
      <c r="E426" s="88" t="n">
        <v>-18.32</v>
      </c>
      <c r="F426" s="89">
        <f>IF(E426="","",IF(OR(D426="",D426="Uncategorized"),IF(E426&lt;0,"Expense","Income"),IFERROR(INDEX(Categories!$B$6:$B$65,MATCH(D426,Categories!$A$6:$A$65,0)),IF(E426&lt;0,"Expense","Income"))))</f>
        <v/>
      </c>
      <c r="G426" s="90">
        <f>IF(A426="","",DATE(YEAR(A426),MONTH(A426),1))</f>
        <v/>
      </c>
      <c r="H426" s="87" t="n"/>
      <c r="I426" s="87" t="n"/>
      <c r="J426" s="91" t="inlineStr">
        <is>
          <t>PARKING METER</t>
        </is>
      </c>
      <c r="K426" s="91" t="inlineStr">
        <is>
          <t>Sample Card Co</t>
        </is>
      </c>
      <c r="L426" s="91" t="inlineStr">
        <is>
          <t>Credit Card</t>
        </is>
      </c>
      <c r="M426" s="91" t="inlineStr">
        <is>
          <t>Visa_Statement.csv</t>
        </is>
      </c>
      <c r="N426" s="91" t="inlineStr">
        <is>
          <t>2026-10-15 20:14:07</t>
        </is>
      </c>
      <c r="O426" s="91" t="n"/>
      <c r="P426" s="91" t="inlineStr">
        <is>
          <t>REWARDS VISA|20260123|-1832|PARKINGMETER#1</t>
        </is>
      </c>
      <c r="Q426" s="92">
        <f>IF(AND(G426=RptMonth,F426="Expense",N(E426)&lt;0),-E426+ROW()/10000000,"")</f>
        <v/>
      </c>
    </row>
    <row r="427">
      <c r="A427" s="86" t="n">
        <v>46043</v>
      </c>
      <c r="B427" s="87" t="inlineStr">
        <is>
          <t>Rewards Visa</t>
        </is>
      </c>
      <c r="C427" s="87" t="inlineStr">
        <is>
          <t>GREAT CLIPS #4410</t>
        </is>
      </c>
      <c r="D427" s="87" t="inlineStr">
        <is>
          <t>Personal Care</t>
        </is>
      </c>
      <c r="E427" s="88" t="n">
        <v>-27.68</v>
      </c>
      <c r="F427" s="89">
        <f>IF(E427="","",IF(OR(D427="",D427="Uncategorized"),IF(E427&lt;0,"Expense","Income"),IFERROR(INDEX(Categories!$B$6:$B$65,MATCH(D427,Categories!$A$6:$A$65,0)),IF(E427&lt;0,"Expense","Income"))))</f>
        <v/>
      </c>
      <c r="G427" s="90">
        <f>IF(A427="","",DATE(YEAR(A427),MONTH(A427),1))</f>
        <v/>
      </c>
      <c r="H427" s="87" t="n"/>
      <c r="I427" s="87" t="n"/>
      <c r="J427" s="91" t="inlineStr">
        <is>
          <t>GREAT CLIPS #4410</t>
        </is>
      </c>
      <c r="K427" s="91" t="inlineStr">
        <is>
          <t>Sample Card Co</t>
        </is>
      </c>
      <c r="L427" s="91" t="inlineStr">
        <is>
          <t>Credit Card</t>
        </is>
      </c>
      <c r="M427" s="91" t="inlineStr">
        <is>
          <t>Visa_Statement.csv</t>
        </is>
      </c>
      <c r="N427" s="91" t="inlineStr">
        <is>
          <t>2026-10-15 20:14:07</t>
        </is>
      </c>
      <c r="O427" s="91" t="n"/>
      <c r="P427" s="91" t="inlineStr">
        <is>
          <t>REWARDS VISA|20260121|-2768|GREATCLIPS4410#1</t>
        </is>
      </c>
      <c r="Q427" s="92">
        <f>IF(AND(G427=RptMonth,F427="Expense",N(E427)&lt;0),-E427+ROW()/10000000,"")</f>
        <v/>
      </c>
    </row>
    <row r="428">
      <c r="A428" s="86" t="n">
        <v>46042</v>
      </c>
      <c r="B428" s="87" t="inlineStr">
        <is>
          <t>Everyday Checking</t>
        </is>
      </c>
      <c r="C428" s="87" t="inlineStr">
        <is>
          <t>CREDIT CARD PAYMENT REWARDS VISA</t>
        </is>
      </c>
      <c r="D428" s="87" t="inlineStr">
        <is>
          <t>Credit Card Payment</t>
        </is>
      </c>
      <c r="E428" s="88" t="n">
        <v>-1771.42</v>
      </c>
      <c r="F428" s="89">
        <f>IF(E428="","",IF(OR(D428="",D428="Uncategorized"),IF(E428&lt;0,"Expense","Income"),IFERROR(INDEX(Categories!$B$6:$B$65,MATCH(D428,Categories!$A$6:$A$65,0)),IF(E428&lt;0,"Expense","Income"))))</f>
        <v/>
      </c>
      <c r="G428" s="90">
        <f>IF(A428="","",DATE(YEAR(A428),MONTH(A428),1))</f>
        <v/>
      </c>
      <c r="H428" s="87" t="n"/>
      <c r="I428" s="87" t="n"/>
      <c r="J428" s="91" t="inlineStr">
        <is>
          <t>CREDIT CARD PAYMENT REWARDS VISA</t>
        </is>
      </c>
      <c r="K428" s="91" t="inlineStr">
        <is>
          <t>Sample Bank</t>
        </is>
      </c>
      <c r="L428" s="91" t="inlineStr">
        <is>
          <t>Checking</t>
        </is>
      </c>
      <c r="M428" s="91" t="inlineStr">
        <is>
          <t>Checking_Activity.csv</t>
        </is>
      </c>
      <c r="N428" s="91" t="inlineStr">
        <is>
          <t>2026-10-15 20:14:07</t>
        </is>
      </c>
      <c r="O428" s="91" t="n"/>
      <c r="P428" s="91" t="inlineStr">
        <is>
          <t>EVERYDAY CHECKING|20260120|-177142|CREDITCARDPAYMENTREWARDSVISA#1</t>
        </is>
      </c>
      <c r="Q428" s="92">
        <f>IF(AND(G428=RptMonth,F428="Expense",N(E428)&lt;0),-E428+ROW()/10000000,"")</f>
        <v/>
      </c>
    </row>
    <row r="429">
      <c r="A429" s="86" t="n">
        <v>46042</v>
      </c>
      <c r="B429" s="87" t="inlineStr">
        <is>
          <t>Rewards Visa</t>
        </is>
      </c>
      <c r="C429" s="87" t="inlineStr">
        <is>
          <t>PAYMENT THANK YOU</t>
        </is>
      </c>
      <c r="D429" s="87" t="inlineStr">
        <is>
          <t>Credit Card Payment</t>
        </is>
      </c>
      <c r="E429" s="88" t="n">
        <v>1771.42</v>
      </c>
      <c r="F429" s="89">
        <f>IF(E429="","",IF(OR(D429="",D429="Uncategorized"),IF(E429&lt;0,"Expense","Income"),IFERROR(INDEX(Categories!$B$6:$B$65,MATCH(D429,Categories!$A$6:$A$65,0)),IF(E429&lt;0,"Expense","Income"))))</f>
        <v/>
      </c>
      <c r="G429" s="90">
        <f>IF(A429="","",DATE(YEAR(A429),MONTH(A429),1))</f>
        <v/>
      </c>
      <c r="H429" s="87" t="n"/>
      <c r="I429" s="87" t="n"/>
      <c r="J429" s="91" t="inlineStr">
        <is>
          <t>PAYMENT THANK YOU</t>
        </is>
      </c>
      <c r="K429" s="91" t="inlineStr">
        <is>
          <t>Sample Card Co</t>
        </is>
      </c>
      <c r="L429" s="91" t="inlineStr">
        <is>
          <t>Credit Card</t>
        </is>
      </c>
      <c r="M429" s="91" t="inlineStr">
        <is>
          <t>Visa_Statement.csv</t>
        </is>
      </c>
      <c r="N429" s="91" t="inlineStr">
        <is>
          <t>2026-10-15 20:14:07</t>
        </is>
      </c>
      <c r="O429" s="91" t="n"/>
      <c r="P429" s="91" t="inlineStr">
        <is>
          <t>REWARDS VISA|20260120|177142|PAYMENTTHANKYOU#1</t>
        </is>
      </c>
      <c r="Q429" s="92">
        <f>IF(AND(G429=RptMonth,F429="Expense",N(E429)&lt;0),-E429+ROW()/10000000,"")</f>
        <v/>
      </c>
    </row>
    <row r="430">
      <c r="A430" s="86" t="n">
        <v>46042</v>
      </c>
      <c r="B430" s="87" t="inlineStr">
        <is>
          <t>Rewards Visa</t>
        </is>
      </c>
      <c r="C430" s="87" t="inlineStr">
        <is>
          <t>SUNOCO 0391</t>
        </is>
      </c>
      <c r="D430" s="87" t="inlineStr">
        <is>
          <t>Gas &amp; Fuel</t>
        </is>
      </c>
      <c r="E430" s="88" t="n">
        <v>-55.86</v>
      </c>
      <c r="F430" s="89">
        <f>IF(E430="","",IF(OR(D430="",D430="Uncategorized"),IF(E430&lt;0,"Expense","Income"),IFERROR(INDEX(Categories!$B$6:$B$65,MATCH(D430,Categories!$A$6:$A$65,0)),IF(E430&lt;0,"Expense","Income"))))</f>
        <v/>
      </c>
      <c r="G430" s="90">
        <f>IF(A430="","",DATE(YEAR(A430),MONTH(A430),1))</f>
        <v/>
      </c>
      <c r="H430" s="87" t="n"/>
      <c r="I430" s="87" t="n"/>
      <c r="J430" s="91" t="inlineStr">
        <is>
          <t>SUNOCO 0391</t>
        </is>
      </c>
      <c r="K430" s="91" t="inlineStr">
        <is>
          <t>Sample Card Co</t>
        </is>
      </c>
      <c r="L430" s="91" t="inlineStr">
        <is>
          <t>Credit Card</t>
        </is>
      </c>
      <c r="M430" s="91" t="inlineStr">
        <is>
          <t>Visa_Statement.csv</t>
        </is>
      </c>
      <c r="N430" s="91" t="inlineStr">
        <is>
          <t>2026-10-15 20:14:07</t>
        </is>
      </c>
      <c r="O430" s="91" t="n"/>
      <c r="P430" s="91" t="inlineStr">
        <is>
          <t>REWARDS VISA|20260120|-5586|SUNOCO0391#1</t>
        </is>
      </c>
      <c r="Q430" s="92">
        <f>IF(AND(G430=RptMonth,F430="Expense",N(E430)&lt;0),-E430+ROW()/10000000,"")</f>
        <v/>
      </c>
    </row>
    <row r="431">
      <c r="A431" s="86" t="n">
        <v>46041</v>
      </c>
      <c r="B431" s="87" t="inlineStr">
        <is>
          <t>Rewards Visa</t>
        </is>
      </c>
      <c r="C431" s="87" t="inlineStr">
        <is>
          <t>HOME DEPOT #0911</t>
        </is>
      </c>
      <c r="D431" s="87" t="inlineStr">
        <is>
          <t>Home Improvement</t>
        </is>
      </c>
      <c r="E431" s="88" t="n">
        <v>-47.52</v>
      </c>
      <c r="F431" s="89">
        <f>IF(E431="","",IF(OR(D431="",D431="Uncategorized"),IF(E431&lt;0,"Expense","Income"),IFERROR(INDEX(Categories!$B$6:$B$65,MATCH(D431,Categories!$A$6:$A$65,0)),IF(E431&lt;0,"Expense","Income"))))</f>
        <v/>
      </c>
      <c r="G431" s="90">
        <f>IF(A431="","",DATE(YEAR(A431),MONTH(A431),1))</f>
        <v/>
      </c>
      <c r="H431" s="87" t="n"/>
      <c r="I431" s="87" t="n"/>
      <c r="J431" s="91" t="inlineStr">
        <is>
          <t>HOME DEPOT #0911</t>
        </is>
      </c>
      <c r="K431" s="91" t="inlineStr">
        <is>
          <t>Sample Card Co</t>
        </is>
      </c>
      <c r="L431" s="91" t="inlineStr">
        <is>
          <t>Credit Card</t>
        </is>
      </c>
      <c r="M431" s="91" t="inlineStr">
        <is>
          <t>Visa_Statement.csv</t>
        </is>
      </c>
      <c r="N431" s="91" t="inlineStr">
        <is>
          <t>2026-10-15 20:14:07</t>
        </is>
      </c>
      <c r="O431" s="91" t="n"/>
      <c r="P431" s="91" t="inlineStr">
        <is>
          <t>REWARDS VISA|20260119|-4752|HOMEDEPOT0911#1</t>
        </is>
      </c>
      <c r="Q431" s="92">
        <f>IF(AND(G431=RptMonth,F431="Expense",N(E431)&lt;0),-E431+ROW()/10000000,"")</f>
        <v/>
      </c>
    </row>
    <row r="432">
      <c r="A432" s="86" t="n">
        <v>46040</v>
      </c>
      <c r="B432" s="87" t="inlineStr">
        <is>
          <t>Everyday Checking</t>
        </is>
      </c>
      <c r="C432" s="87" t="inlineStr">
        <is>
          <t>ATM WITHDRAWAL 1234 MAIN ST</t>
        </is>
      </c>
      <c r="D432" s="87" t="inlineStr">
        <is>
          <t>Cash &amp; ATM</t>
        </is>
      </c>
      <c r="E432" s="88" t="n">
        <v>-60</v>
      </c>
      <c r="F432" s="89">
        <f>IF(E432="","",IF(OR(D432="",D432="Uncategorized"),IF(E432&lt;0,"Expense","Income"),IFERROR(INDEX(Categories!$B$6:$B$65,MATCH(D432,Categories!$A$6:$A$65,0)),IF(E432&lt;0,"Expense","Income"))))</f>
        <v/>
      </c>
      <c r="G432" s="90">
        <f>IF(A432="","",DATE(YEAR(A432),MONTH(A432),1))</f>
        <v/>
      </c>
      <c r="H432" s="87" t="n"/>
      <c r="I432" s="87" t="n"/>
      <c r="J432" s="91" t="inlineStr">
        <is>
          <t>ATM WITHDRAWAL 1234 MAIN ST</t>
        </is>
      </c>
      <c r="K432" s="91" t="inlineStr">
        <is>
          <t>Sample Bank</t>
        </is>
      </c>
      <c r="L432" s="91" t="inlineStr">
        <is>
          <t>Checking</t>
        </is>
      </c>
      <c r="M432" s="91" t="inlineStr">
        <is>
          <t>Checking_Activity.csv</t>
        </is>
      </c>
      <c r="N432" s="91" t="inlineStr">
        <is>
          <t>2026-10-15 20:14:07</t>
        </is>
      </c>
      <c r="O432" s="91" t="n"/>
      <c r="P432" s="91" t="inlineStr">
        <is>
          <t>EVERYDAY CHECKING|20260118|-6000|ATMWITHDRAWAL1234MAINST#1</t>
        </is>
      </c>
      <c r="Q432" s="92">
        <f>IF(AND(G432=RptMonth,F432="Expense",N(E432)&lt;0),-E432+ROW()/10000000,"")</f>
        <v/>
      </c>
    </row>
    <row r="433">
      <c r="A433" s="86" t="n">
        <v>46040</v>
      </c>
      <c r="B433" s="87" t="inlineStr">
        <is>
          <t>Everyday Checking</t>
        </is>
      </c>
      <c r="C433" s="87" t="inlineStr">
        <is>
          <t>SAMPLE LOAN SERVICER STUDENT LOAN</t>
        </is>
      </c>
      <c r="D433" s="87" t="inlineStr">
        <is>
          <t>Loan Payments</t>
        </is>
      </c>
      <c r="E433" s="88" t="n">
        <v>-260</v>
      </c>
      <c r="F433" s="89">
        <f>IF(E433="","",IF(OR(D433="",D433="Uncategorized"),IF(E433&lt;0,"Expense","Income"),IFERROR(INDEX(Categories!$B$6:$B$65,MATCH(D433,Categories!$A$6:$A$65,0)),IF(E433&lt;0,"Expense","Income"))))</f>
        <v/>
      </c>
      <c r="G433" s="90">
        <f>IF(A433="","",DATE(YEAR(A433),MONTH(A433),1))</f>
        <v/>
      </c>
      <c r="H433" s="87" t="n"/>
      <c r="I433" s="87" t="n"/>
      <c r="J433" s="91" t="inlineStr">
        <is>
          <t>SAMPLE LOAN SERVICER STUDENT LOAN</t>
        </is>
      </c>
      <c r="K433" s="91" t="inlineStr">
        <is>
          <t>Sample Bank</t>
        </is>
      </c>
      <c r="L433" s="91" t="inlineStr">
        <is>
          <t>Checking</t>
        </is>
      </c>
      <c r="M433" s="91" t="inlineStr">
        <is>
          <t>Checking_Activity.csv</t>
        </is>
      </c>
      <c r="N433" s="91" t="inlineStr">
        <is>
          <t>2026-10-15 20:14:07</t>
        </is>
      </c>
      <c r="O433" s="91" t="n"/>
      <c r="P433" s="91" t="inlineStr">
        <is>
          <t>EVERYDAY CHECKING|20260118|-26000|SAMPLELOANSERVICERSTUDENTLOAN#1</t>
        </is>
      </c>
      <c r="Q433" s="92">
        <f>IF(AND(G433=RptMonth,F433="Expense",N(E433)&lt;0),-E433+ROW()/10000000,"")</f>
        <v/>
      </c>
    </row>
    <row r="434">
      <c r="A434" s="86" t="n">
        <v>46040</v>
      </c>
      <c r="B434" s="87" t="inlineStr">
        <is>
          <t>Rewards Visa</t>
        </is>
      </c>
      <c r="C434" s="87" t="inlineStr">
        <is>
          <t>BOWLING LANES</t>
        </is>
      </c>
      <c r="D434" s="87" t="inlineStr">
        <is>
          <t>Entertainment</t>
        </is>
      </c>
      <c r="E434" s="88" t="n">
        <v>-50.5</v>
      </c>
      <c r="F434" s="89">
        <f>IF(E434="","",IF(OR(D434="",D434="Uncategorized"),IF(E434&lt;0,"Expense","Income"),IFERROR(INDEX(Categories!$B$6:$B$65,MATCH(D434,Categories!$A$6:$A$65,0)),IF(E434&lt;0,"Expense","Income"))))</f>
        <v/>
      </c>
      <c r="G434" s="90">
        <f>IF(A434="","",DATE(YEAR(A434),MONTH(A434),1))</f>
        <v/>
      </c>
      <c r="H434" s="87" t="n"/>
      <c r="I434" s="87" t="n"/>
      <c r="J434" s="91" t="inlineStr">
        <is>
          <t>BOWLING LANES</t>
        </is>
      </c>
      <c r="K434" s="91" t="inlineStr">
        <is>
          <t>Sample Card Co</t>
        </is>
      </c>
      <c r="L434" s="91" t="inlineStr">
        <is>
          <t>Credit Card</t>
        </is>
      </c>
      <c r="M434" s="91" t="inlineStr">
        <is>
          <t>Visa_Statement.csv</t>
        </is>
      </c>
      <c r="N434" s="91" t="inlineStr">
        <is>
          <t>2026-10-15 20:14:07</t>
        </is>
      </c>
      <c r="O434" s="91" t="n"/>
      <c r="P434" s="91" t="inlineStr">
        <is>
          <t>REWARDS VISA|20260118|-5050|BOWLINGLANES#1</t>
        </is>
      </c>
      <c r="Q434" s="92">
        <f>IF(AND(G434=RptMonth,F434="Expense",N(E434)&lt;0),-E434+ROW()/10000000,"")</f>
        <v/>
      </c>
    </row>
    <row r="435">
      <c r="A435" s="86" t="n">
        <v>46040</v>
      </c>
      <c r="B435" s="87" t="inlineStr">
        <is>
          <t>Rewards Visa</t>
        </is>
      </c>
      <c r="C435" s="87" t="inlineStr">
        <is>
          <t>TARGET 00012345</t>
        </is>
      </c>
      <c r="D435" s="87" t="inlineStr">
        <is>
          <t>Shopping</t>
        </is>
      </c>
      <c r="E435" s="88" t="n">
        <v>-28.04</v>
      </c>
      <c r="F435" s="89">
        <f>IF(E435="","",IF(OR(D435="",D435="Uncategorized"),IF(E435&lt;0,"Expense","Income"),IFERROR(INDEX(Categories!$B$6:$B$65,MATCH(D435,Categories!$A$6:$A$65,0)),IF(E435&lt;0,"Expense","Income"))))</f>
        <v/>
      </c>
      <c r="G435" s="90">
        <f>IF(A435="","",DATE(YEAR(A435),MONTH(A435),1))</f>
        <v/>
      </c>
      <c r="H435" s="87" t="n"/>
      <c r="I435" s="87" t="n"/>
      <c r="J435" s="91" t="inlineStr">
        <is>
          <t>TARGET 00012345</t>
        </is>
      </c>
      <c r="K435" s="91" t="inlineStr">
        <is>
          <t>Sample Card Co</t>
        </is>
      </c>
      <c r="L435" s="91" t="inlineStr">
        <is>
          <t>Credit Card</t>
        </is>
      </c>
      <c r="M435" s="91" t="inlineStr">
        <is>
          <t>Visa_Statement.csv</t>
        </is>
      </c>
      <c r="N435" s="91" t="inlineStr">
        <is>
          <t>2026-10-15 20:14:07</t>
        </is>
      </c>
      <c r="O435" s="91" t="n"/>
      <c r="P435" s="91" t="inlineStr">
        <is>
          <t>REWARDS VISA|20260118|-2804|TARGET00012345#1</t>
        </is>
      </c>
      <c r="Q435" s="92">
        <f>IF(AND(G435=RptMonth,F435="Expense",N(E435)&lt;0),-E435+ROW()/10000000,"")</f>
        <v/>
      </c>
    </row>
    <row r="436">
      <c r="A436" s="86" t="n">
        <v>46039</v>
      </c>
      <c r="B436" s="87" t="inlineStr">
        <is>
          <t>Rewards Visa</t>
        </is>
      </c>
      <c r="C436" s="87" t="inlineStr">
        <is>
          <t>SHOPRITE #0234</t>
        </is>
      </c>
      <c r="D436" s="87" t="inlineStr">
        <is>
          <t>Groceries</t>
        </is>
      </c>
      <c r="E436" s="88" t="n">
        <v>-89.45</v>
      </c>
      <c r="F436" s="89">
        <f>IF(E436="","",IF(OR(D436="",D436="Uncategorized"),IF(E436&lt;0,"Expense","Income"),IFERROR(INDEX(Categories!$B$6:$B$65,MATCH(D436,Categories!$A$6:$A$65,0)),IF(E436&lt;0,"Expense","Income"))))</f>
        <v/>
      </c>
      <c r="G436" s="90">
        <f>IF(A436="","",DATE(YEAR(A436),MONTH(A436),1))</f>
        <v/>
      </c>
      <c r="H436" s="87" t="n"/>
      <c r="I436" s="87" t="n"/>
      <c r="J436" s="91" t="inlineStr">
        <is>
          <t>SHOPRITE #0234</t>
        </is>
      </c>
      <c r="K436" s="91" t="inlineStr">
        <is>
          <t>Sample Card Co</t>
        </is>
      </c>
      <c r="L436" s="91" t="inlineStr">
        <is>
          <t>Credit Card</t>
        </is>
      </c>
      <c r="M436" s="91" t="inlineStr">
        <is>
          <t>Visa_Statement.csv</t>
        </is>
      </c>
      <c r="N436" s="91" t="inlineStr">
        <is>
          <t>2026-10-15 20:14:07</t>
        </is>
      </c>
      <c r="O436" s="91" t="n"/>
      <c r="P436" s="91" t="inlineStr">
        <is>
          <t>REWARDS VISA|20260117|-8945|SHOPRITE0234#1</t>
        </is>
      </c>
      <c r="Q436" s="92">
        <f>IF(AND(G436=RptMonth,F436="Expense",N(E436)&lt;0),-E436+ROW()/10000000,"")</f>
        <v/>
      </c>
    </row>
    <row r="437">
      <c r="A437" s="86" t="n">
        <v>46038</v>
      </c>
      <c r="B437" s="87" t="inlineStr">
        <is>
          <t>Rewards Visa</t>
        </is>
      </c>
      <c r="C437" s="87" t="inlineStr">
        <is>
          <t>PLANET FITNESS</t>
        </is>
      </c>
      <c r="D437" s="87" t="inlineStr">
        <is>
          <t>Health &amp; Fitness</t>
        </is>
      </c>
      <c r="E437" s="88" t="n">
        <v>-24.99</v>
      </c>
      <c r="F437" s="89">
        <f>IF(E437="","",IF(OR(D437="",D437="Uncategorized"),IF(E437&lt;0,"Expense","Income"),IFERROR(INDEX(Categories!$B$6:$B$65,MATCH(D437,Categories!$A$6:$A$65,0)),IF(E437&lt;0,"Expense","Income"))))</f>
        <v/>
      </c>
      <c r="G437" s="90">
        <f>IF(A437="","",DATE(YEAR(A437),MONTH(A437),1))</f>
        <v/>
      </c>
      <c r="H437" s="87" t="n"/>
      <c r="I437" s="87" t="n"/>
      <c r="J437" s="91" t="inlineStr">
        <is>
          <t>PLANET FITNESS</t>
        </is>
      </c>
      <c r="K437" s="91" t="inlineStr">
        <is>
          <t>Sample Card Co</t>
        </is>
      </c>
      <c r="L437" s="91" t="inlineStr">
        <is>
          <t>Credit Card</t>
        </is>
      </c>
      <c r="M437" s="91" t="inlineStr">
        <is>
          <t>Visa_Statement.csv</t>
        </is>
      </c>
      <c r="N437" s="91" t="inlineStr">
        <is>
          <t>2026-10-15 20:14:07</t>
        </is>
      </c>
      <c r="O437" s="91" t="n"/>
      <c r="P437" s="91" t="inlineStr">
        <is>
          <t>REWARDS VISA|20260116|-2499|PLANETFITNESS#1</t>
        </is>
      </c>
      <c r="Q437" s="92">
        <f>IF(AND(G437=RptMonth,F437="Expense",N(E437)&lt;0),-E437+ROW()/10000000,"")</f>
        <v/>
      </c>
    </row>
    <row r="438">
      <c r="A438" s="86" t="n">
        <v>46037</v>
      </c>
      <c r="B438" s="87" t="inlineStr">
        <is>
          <t>Everyday Checking</t>
        </is>
      </c>
      <c r="C438" s="87" t="inlineStr">
        <is>
          <t>XFINITY INTERNET</t>
        </is>
      </c>
      <c r="D438" s="87" t="inlineStr">
        <is>
          <t>Phone &amp; Internet</t>
        </is>
      </c>
      <c r="E438" s="88" t="n">
        <v>-79.98999999999999</v>
      </c>
      <c r="F438" s="89">
        <f>IF(E438="","",IF(OR(D438="",D438="Uncategorized"),IF(E438&lt;0,"Expense","Income"),IFERROR(INDEX(Categories!$B$6:$B$65,MATCH(D438,Categories!$A$6:$A$65,0)),IF(E438&lt;0,"Expense","Income"))))</f>
        <v/>
      </c>
      <c r="G438" s="90">
        <f>IF(A438="","",DATE(YEAR(A438),MONTH(A438),1))</f>
        <v/>
      </c>
      <c r="H438" s="87" t="n"/>
      <c r="I438" s="87" t="n"/>
      <c r="J438" s="91" t="inlineStr">
        <is>
          <t>XFINITY INTERNET</t>
        </is>
      </c>
      <c r="K438" s="91" t="inlineStr">
        <is>
          <t>Sample Bank</t>
        </is>
      </c>
      <c r="L438" s="91" t="inlineStr">
        <is>
          <t>Checking</t>
        </is>
      </c>
      <c r="M438" s="91" t="inlineStr">
        <is>
          <t>Checking_Activity.csv</t>
        </is>
      </c>
      <c r="N438" s="91" t="inlineStr">
        <is>
          <t>2026-10-15 20:14:07</t>
        </is>
      </c>
      <c r="O438" s="91" t="n"/>
      <c r="P438" s="91" t="inlineStr">
        <is>
          <t>EVERYDAY CHECKING|20260115|-7999|XFINITYINTERNET#1</t>
        </is>
      </c>
      <c r="Q438" s="92">
        <f>IF(AND(G438=RptMonth,F438="Expense",N(E438)&lt;0),-E438+ROW()/10000000,"")</f>
        <v/>
      </c>
    </row>
    <row r="439">
      <c r="A439" s="86" t="n">
        <v>46035</v>
      </c>
      <c r="B439" s="87" t="inlineStr">
        <is>
          <t>Rewards Visa</t>
        </is>
      </c>
      <c r="C439" s="87" t="inlineStr">
        <is>
          <t>OLD NAVY ONLINE</t>
        </is>
      </c>
      <c r="D439" s="87" t="inlineStr">
        <is>
          <t>Shopping</t>
        </is>
      </c>
      <c r="E439" s="88" t="n">
        <v>-103.99</v>
      </c>
      <c r="F439" s="89">
        <f>IF(E439="","",IF(OR(D439="",D439="Uncategorized"),IF(E439&lt;0,"Expense","Income"),IFERROR(INDEX(Categories!$B$6:$B$65,MATCH(D439,Categories!$A$6:$A$65,0)),IF(E439&lt;0,"Expense","Income"))))</f>
        <v/>
      </c>
      <c r="G439" s="90">
        <f>IF(A439="","",DATE(YEAR(A439),MONTH(A439),1))</f>
        <v/>
      </c>
      <c r="H439" s="87" t="n"/>
      <c r="I439" s="87" t="n"/>
      <c r="J439" s="91" t="inlineStr">
        <is>
          <t>OLD NAVY ONLINE</t>
        </is>
      </c>
      <c r="K439" s="91" t="inlineStr">
        <is>
          <t>Sample Card Co</t>
        </is>
      </c>
      <c r="L439" s="91" t="inlineStr">
        <is>
          <t>Credit Card</t>
        </is>
      </c>
      <c r="M439" s="91" t="inlineStr">
        <is>
          <t>Visa_Statement.csv</t>
        </is>
      </c>
      <c r="N439" s="91" t="inlineStr">
        <is>
          <t>2026-10-15 20:14:07</t>
        </is>
      </c>
      <c r="O439" s="91" t="n"/>
      <c r="P439" s="91" t="inlineStr">
        <is>
          <t>REWARDS VISA|20260113|-10399|OLDNAVYONLINE#1</t>
        </is>
      </c>
      <c r="Q439" s="92">
        <f>IF(AND(G439=RptMonth,F439="Expense",N(E439)&lt;0),-E439+ROW()/10000000,"")</f>
        <v/>
      </c>
    </row>
    <row r="440">
      <c r="A440" s="86" t="n">
        <v>46034</v>
      </c>
      <c r="B440" s="87" t="inlineStr">
        <is>
          <t>Everyday Checking</t>
        </is>
      </c>
      <c r="C440" s="87" t="inlineStr">
        <is>
          <t>VERIZON WIRELESS</t>
        </is>
      </c>
      <c r="D440" s="87" t="inlineStr">
        <is>
          <t>Phone &amp; Internet</t>
        </is>
      </c>
      <c r="E440" s="88" t="n">
        <v>-95</v>
      </c>
      <c r="F440" s="89">
        <f>IF(E440="","",IF(OR(D440="",D440="Uncategorized"),IF(E440&lt;0,"Expense","Income"),IFERROR(INDEX(Categories!$B$6:$B$65,MATCH(D440,Categories!$A$6:$A$65,0)),IF(E440&lt;0,"Expense","Income"))))</f>
        <v/>
      </c>
      <c r="G440" s="90">
        <f>IF(A440="","",DATE(YEAR(A440),MONTH(A440),1))</f>
        <v/>
      </c>
      <c r="H440" s="87" t="n"/>
      <c r="I440" s="87" t="n"/>
      <c r="J440" s="91" t="inlineStr">
        <is>
          <t>VERIZON WIRELESS</t>
        </is>
      </c>
      <c r="K440" s="91" t="inlineStr">
        <is>
          <t>Sample Bank</t>
        </is>
      </c>
      <c r="L440" s="91" t="inlineStr">
        <is>
          <t>Checking</t>
        </is>
      </c>
      <c r="M440" s="91" t="inlineStr">
        <is>
          <t>Checking_Activity.csv</t>
        </is>
      </c>
      <c r="N440" s="91" t="inlineStr">
        <is>
          <t>2026-10-15 20:14:07</t>
        </is>
      </c>
      <c r="O440" s="91" t="n"/>
      <c r="P440" s="91" t="inlineStr">
        <is>
          <t>EVERYDAY CHECKING|20260112|-9500|VERIZONWIRELESS#1</t>
        </is>
      </c>
      <c r="Q440" s="92">
        <f>IF(AND(G440=RptMonth,F440="Expense",N(E440)&lt;0),-E440+ROW()/10000000,"")</f>
        <v/>
      </c>
    </row>
    <row r="441">
      <c r="A441" s="86" t="n">
        <v>46033</v>
      </c>
      <c r="B441" s="87" t="inlineStr">
        <is>
          <t>Rewards Visa</t>
        </is>
      </c>
      <c r="C441" s="87" t="inlineStr">
        <is>
          <t>APPLE.COM/BILL</t>
        </is>
      </c>
      <c r="D441" s="87" t="inlineStr">
        <is>
          <t>Subscriptions</t>
        </is>
      </c>
      <c r="E441" s="88" t="n">
        <v>-2.99</v>
      </c>
      <c r="F441" s="89">
        <f>IF(E441="","",IF(OR(D441="",D441="Uncategorized"),IF(E441&lt;0,"Expense","Income"),IFERROR(INDEX(Categories!$B$6:$B$65,MATCH(D441,Categories!$A$6:$A$65,0)),IF(E441&lt;0,"Expense","Income"))))</f>
        <v/>
      </c>
      <c r="G441" s="90">
        <f>IF(A441="","",DATE(YEAR(A441),MONTH(A441),1))</f>
        <v/>
      </c>
      <c r="H441" s="87" t="n"/>
      <c r="I441" s="87" t="n"/>
      <c r="J441" s="91" t="inlineStr">
        <is>
          <t>APPLE.COM/BILL</t>
        </is>
      </c>
      <c r="K441" s="91" t="inlineStr">
        <is>
          <t>Sample Card Co</t>
        </is>
      </c>
      <c r="L441" s="91" t="inlineStr">
        <is>
          <t>Credit Card</t>
        </is>
      </c>
      <c r="M441" s="91" t="inlineStr">
        <is>
          <t>Visa_Statement.csv</t>
        </is>
      </c>
      <c r="N441" s="91" t="inlineStr">
        <is>
          <t>2026-10-15 20:14:07</t>
        </is>
      </c>
      <c r="O441" s="91" t="n"/>
      <c r="P441" s="91" t="inlineStr">
        <is>
          <t>REWARDS VISA|20260111|-299|APPLECOMBILL#1</t>
        </is>
      </c>
      <c r="Q441" s="92">
        <f>IF(AND(G441=RptMonth,F441="Expense",N(E441)&lt;0),-E441+ROW()/10000000,"")</f>
        <v/>
      </c>
    </row>
    <row r="442">
      <c r="A442" s="86" t="n">
        <v>46032</v>
      </c>
      <c r="B442" s="87" t="inlineStr">
        <is>
          <t>Everyday Checking</t>
        </is>
      </c>
      <c r="C442" s="87" t="inlineStr">
        <is>
          <t>SAMPLE AUTO FINANCE PMT</t>
        </is>
      </c>
      <c r="D442" s="87" t="inlineStr">
        <is>
          <t>Auto Payment</t>
        </is>
      </c>
      <c r="E442" s="88" t="n">
        <v>-385</v>
      </c>
      <c r="F442" s="89">
        <f>IF(E442="","",IF(OR(D442="",D442="Uncategorized"),IF(E442&lt;0,"Expense","Income"),IFERROR(INDEX(Categories!$B$6:$B$65,MATCH(D442,Categories!$A$6:$A$65,0)),IF(E442&lt;0,"Expense","Income"))))</f>
        <v/>
      </c>
      <c r="G442" s="90">
        <f>IF(A442="","",DATE(YEAR(A442),MONTH(A442),1))</f>
        <v/>
      </c>
      <c r="H442" s="87" t="n"/>
      <c r="I442" s="87" t="n"/>
      <c r="J442" s="91" t="inlineStr">
        <is>
          <t>SAMPLE AUTO FINANCE PMT</t>
        </is>
      </c>
      <c r="K442" s="91" t="inlineStr">
        <is>
          <t>Sample Bank</t>
        </is>
      </c>
      <c r="L442" s="91" t="inlineStr">
        <is>
          <t>Checking</t>
        </is>
      </c>
      <c r="M442" s="91" t="inlineStr">
        <is>
          <t>Checking_Activity.csv</t>
        </is>
      </c>
      <c r="N442" s="91" t="inlineStr">
        <is>
          <t>2026-10-15 20:14:07</t>
        </is>
      </c>
      <c r="O442" s="91" t="n"/>
      <c r="P442" s="91" t="inlineStr">
        <is>
          <t>EVERYDAY CHECKING|20260110|-38500|SAMPLEAUTOFINANCEPMT#1</t>
        </is>
      </c>
      <c r="Q442" s="92">
        <f>IF(AND(G442=RptMonth,F442="Expense",N(E442)&lt;0),-E442+ROW()/10000000,"")</f>
        <v/>
      </c>
    </row>
    <row r="443">
      <c r="A443" s="86" t="n">
        <v>46032</v>
      </c>
      <c r="B443" s="87" t="inlineStr">
        <is>
          <t>Rewards Visa</t>
        </is>
      </c>
      <c r="C443" s="87" t="inlineStr">
        <is>
          <t>SHOPRITE #0234</t>
        </is>
      </c>
      <c r="D443" s="87" t="inlineStr">
        <is>
          <t>Groceries</t>
        </is>
      </c>
      <c r="E443" s="88" t="n">
        <v>-104.73</v>
      </c>
      <c r="F443" s="89">
        <f>IF(E443="","",IF(OR(D443="",D443="Uncategorized"),IF(E443&lt;0,"Expense","Income"),IFERROR(INDEX(Categories!$B$6:$B$65,MATCH(D443,Categories!$A$6:$A$65,0)),IF(E443&lt;0,"Expense","Income"))))</f>
        <v/>
      </c>
      <c r="G443" s="90">
        <f>IF(A443="","",DATE(YEAR(A443),MONTH(A443),1))</f>
        <v/>
      </c>
      <c r="H443" s="87" t="n"/>
      <c r="I443" s="87" t="n"/>
      <c r="J443" s="91" t="inlineStr">
        <is>
          <t>SHOPRITE #0234</t>
        </is>
      </c>
      <c r="K443" s="91" t="inlineStr">
        <is>
          <t>Sample Card Co</t>
        </is>
      </c>
      <c r="L443" s="91" t="inlineStr">
        <is>
          <t>Credit Card</t>
        </is>
      </c>
      <c r="M443" s="91" t="inlineStr">
        <is>
          <t>Visa_Statement.csv</t>
        </is>
      </c>
      <c r="N443" s="91" t="inlineStr">
        <is>
          <t>2026-10-15 20:14:07</t>
        </is>
      </c>
      <c r="O443" s="91" t="n"/>
      <c r="P443" s="91" t="inlineStr">
        <is>
          <t>REWARDS VISA|20260110|-10473|SHOPRITE0234#1</t>
        </is>
      </c>
      <c r="Q443" s="92">
        <f>IF(AND(G443=RptMonth,F443="Expense",N(E443)&lt;0),-E443+ROW()/10000000,"")</f>
        <v/>
      </c>
    </row>
    <row r="444">
      <c r="A444" s="86" t="n">
        <v>46032</v>
      </c>
      <c r="B444" s="87" t="inlineStr">
        <is>
          <t>Rewards Visa</t>
        </is>
      </c>
      <c r="C444" s="87" t="inlineStr">
        <is>
          <t>SWEETGREEN PALISADES</t>
        </is>
      </c>
      <c r="D444" s="87" t="inlineStr">
        <is>
          <t>Dining Out</t>
        </is>
      </c>
      <c r="E444" s="88" t="n">
        <v>-42.75</v>
      </c>
      <c r="F444" s="89">
        <f>IF(E444="","",IF(OR(D444="",D444="Uncategorized"),IF(E444&lt;0,"Expense","Income"),IFERROR(INDEX(Categories!$B$6:$B$65,MATCH(D444,Categories!$A$6:$A$65,0)),IF(E444&lt;0,"Expense","Income"))))</f>
        <v/>
      </c>
      <c r="G444" s="90">
        <f>IF(A444="","",DATE(YEAR(A444),MONTH(A444),1))</f>
        <v/>
      </c>
      <c r="H444" s="87" t="n"/>
      <c r="I444" s="87" t="n"/>
      <c r="J444" s="91" t="inlineStr">
        <is>
          <t>SWEETGREEN PALISADES</t>
        </is>
      </c>
      <c r="K444" s="91" t="inlineStr">
        <is>
          <t>Sample Card Co</t>
        </is>
      </c>
      <c r="L444" s="91" t="inlineStr">
        <is>
          <t>Credit Card</t>
        </is>
      </c>
      <c r="M444" s="91" t="inlineStr">
        <is>
          <t>Visa_Statement.csv</t>
        </is>
      </c>
      <c r="N444" s="91" t="inlineStr">
        <is>
          <t>2026-10-15 20:14:07</t>
        </is>
      </c>
      <c r="O444" s="91" t="n"/>
      <c r="P444" s="91" t="inlineStr">
        <is>
          <t>REWARDS VISA|20260110|-4275|SWEETGREENPALISADES#1</t>
        </is>
      </c>
      <c r="Q444" s="92">
        <f>IF(AND(G444=RptMonth,F444="Expense",N(E444)&lt;0),-E444+ROW()/10000000,"")</f>
        <v/>
      </c>
    </row>
    <row r="445">
      <c r="A445" s="86" t="n">
        <v>46031</v>
      </c>
      <c r="B445" s="87" t="inlineStr">
        <is>
          <t>Everyday Checking</t>
        </is>
      </c>
      <c r="C445" s="87" t="inlineStr">
        <is>
          <t>ACME CORP PAYROLL DIR DEP</t>
        </is>
      </c>
      <c r="D445" s="87" t="inlineStr">
        <is>
          <t>Salary</t>
        </is>
      </c>
      <c r="E445" s="88" t="n">
        <v>3352.18</v>
      </c>
      <c r="F445" s="89">
        <f>IF(E445="","",IF(OR(D445="",D445="Uncategorized"),IF(E445&lt;0,"Expense","Income"),IFERROR(INDEX(Categories!$B$6:$B$65,MATCH(D445,Categories!$A$6:$A$65,0)),IF(E445&lt;0,"Expense","Income"))))</f>
        <v/>
      </c>
      <c r="G445" s="90">
        <f>IF(A445="","",DATE(YEAR(A445),MONTH(A445),1))</f>
        <v/>
      </c>
      <c r="H445" s="87" t="n"/>
      <c r="I445" s="87" t="n"/>
      <c r="J445" s="91" t="inlineStr">
        <is>
          <t>ACME CORP PAYROLL DIR DEP</t>
        </is>
      </c>
      <c r="K445" s="91" t="inlineStr">
        <is>
          <t>Sample Bank</t>
        </is>
      </c>
      <c r="L445" s="91" t="inlineStr">
        <is>
          <t>Checking</t>
        </is>
      </c>
      <c r="M445" s="91" t="inlineStr">
        <is>
          <t>Checking_Activity.csv</t>
        </is>
      </c>
      <c r="N445" s="91" t="inlineStr">
        <is>
          <t>2026-10-15 20:14:07</t>
        </is>
      </c>
      <c r="O445" s="91" t="n"/>
      <c r="P445" s="91" t="inlineStr">
        <is>
          <t>EVERYDAY CHECKING|20260109|335218|ACMECORPPAYROLLDIRDEP#1</t>
        </is>
      </c>
      <c r="Q445" s="92">
        <f>IF(AND(G445=RptMonth,F445="Expense",N(E445)&lt;0),-E445+ROW()/10000000,"")</f>
        <v/>
      </c>
    </row>
    <row r="446">
      <c r="A446" s="86" t="n">
        <v>46031</v>
      </c>
      <c r="B446" s="87" t="inlineStr">
        <is>
          <t>Everyday Checking</t>
        </is>
      </c>
      <c r="C446" s="87" t="inlineStr">
        <is>
          <t>NJ NATURAL GAS PAYMENT</t>
        </is>
      </c>
      <c r="D446" s="87" t="inlineStr">
        <is>
          <t>Utilities</t>
        </is>
      </c>
      <c r="E446" s="88" t="n">
        <v>-156.54</v>
      </c>
      <c r="F446" s="89">
        <f>IF(E446="","",IF(OR(D446="",D446="Uncategorized"),IF(E446&lt;0,"Expense","Income"),IFERROR(INDEX(Categories!$B$6:$B$65,MATCH(D446,Categories!$A$6:$A$65,0)),IF(E446&lt;0,"Expense","Income"))))</f>
        <v/>
      </c>
      <c r="G446" s="90">
        <f>IF(A446="","",DATE(YEAR(A446),MONTH(A446),1))</f>
        <v/>
      </c>
      <c r="H446" s="87" t="n"/>
      <c r="I446" s="87" t="n"/>
      <c r="J446" s="91" t="inlineStr">
        <is>
          <t>NJ NATURAL GAS PAYMENT</t>
        </is>
      </c>
      <c r="K446" s="91" t="inlineStr">
        <is>
          <t>Sample Bank</t>
        </is>
      </c>
      <c r="L446" s="91" t="inlineStr">
        <is>
          <t>Checking</t>
        </is>
      </c>
      <c r="M446" s="91" t="inlineStr">
        <is>
          <t>Checking_Activity.csv</t>
        </is>
      </c>
      <c r="N446" s="91" t="inlineStr">
        <is>
          <t>2026-10-15 20:14:07</t>
        </is>
      </c>
      <c r="O446" s="91" t="n"/>
      <c r="P446" s="91" t="inlineStr">
        <is>
          <t>EVERYDAY CHECKING|20260109|-15654|NJNATURALGASPAYMENT#1</t>
        </is>
      </c>
      <c r="Q446" s="92">
        <f>IF(AND(G446=RptMonth,F446="Expense",N(E446)&lt;0),-E446+ROW()/10000000,"")</f>
        <v/>
      </c>
    </row>
    <row r="447">
      <c r="A447" s="86" t="n">
        <v>46030</v>
      </c>
      <c r="B447" s="87" t="inlineStr">
        <is>
          <t>Everyday Checking</t>
        </is>
      </c>
      <c r="C447" s="87" t="inlineStr">
        <is>
          <t>PSEG ELECTRIC BILL</t>
        </is>
      </c>
      <c r="D447" s="87" t="inlineStr">
        <is>
          <t>Utilities</t>
        </is>
      </c>
      <c r="E447" s="88" t="n">
        <v>-114.72</v>
      </c>
      <c r="F447" s="89">
        <f>IF(E447="","",IF(OR(D447="",D447="Uncategorized"),IF(E447&lt;0,"Expense","Income"),IFERROR(INDEX(Categories!$B$6:$B$65,MATCH(D447,Categories!$A$6:$A$65,0)),IF(E447&lt;0,"Expense","Income"))))</f>
        <v/>
      </c>
      <c r="G447" s="90">
        <f>IF(A447="","",DATE(YEAR(A447),MONTH(A447),1))</f>
        <v/>
      </c>
      <c r="H447" s="87" t="n"/>
      <c r="I447" s="87" t="n"/>
      <c r="J447" s="91" t="inlineStr">
        <is>
          <t>PSEG ELECTRIC BILL</t>
        </is>
      </c>
      <c r="K447" s="91" t="inlineStr">
        <is>
          <t>Sample Bank</t>
        </is>
      </c>
      <c r="L447" s="91" t="inlineStr">
        <is>
          <t>Checking</t>
        </is>
      </c>
      <c r="M447" s="91" t="inlineStr">
        <is>
          <t>Checking_Activity.csv</t>
        </is>
      </c>
      <c r="N447" s="91" t="inlineStr">
        <is>
          <t>2026-10-15 20:14:07</t>
        </is>
      </c>
      <c r="O447" s="91" t="n"/>
      <c r="P447" s="91" t="inlineStr">
        <is>
          <t>EVERYDAY CHECKING|20260108|-11472|PSEGELECTRICBILL#1</t>
        </is>
      </c>
      <c r="Q447" s="92">
        <f>IF(AND(G447=RptMonth,F447="Expense",N(E447)&lt;0),-E447+ROW()/10000000,"")</f>
        <v/>
      </c>
    </row>
    <row r="448">
      <c r="A448" s="86" t="n">
        <v>46029</v>
      </c>
      <c r="B448" s="87" t="inlineStr">
        <is>
          <t>Rewards Visa</t>
        </is>
      </c>
      <c r="C448" s="87" t="inlineStr">
        <is>
          <t>OLD NAVY ONLINE</t>
        </is>
      </c>
      <c r="D448" s="87" t="inlineStr">
        <is>
          <t>Shopping</t>
        </is>
      </c>
      <c r="E448" s="88" t="n">
        <v>-78.34</v>
      </c>
      <c r="F448" s="89">
        <f>IF(E448="","",IF(OR(D448="",D448="Uncategorized"),IF(E448&lt;0,"Expense","Income"),IFERROR(INDEX(Categories!$B$6:$B$65,MATCH(D448,Categories!$A$6:$A$65,0)),IF(E448&lt;0,"Expense","Income"))))</f>
        <v/>
      </c>
      <c r="G448" s="90">
        <f>IF(A448="","",DATE(YEAR(A448),MONTH(A448),1))</f>
        <v/>
      </c>
      <c r="H448" s="87" t="n"/>
      <c r="I448" s="87" t="n"/>
      <c r="J448" s="91" t="inlineStr">
        <is>
          <t>OLD NAVY ONLINE</t>
        </is>
      </c>
      <c r="K448" s="91" t="inlineStr">
        <is>
          <t>Sample Card Co</t>
        </is>
      </c>
      <c r="L448" s="91" t="inlineStr">
        <is>
          <t>Credit Card</t>
        </is>
      </c>
      <c r="M448" s="91" t="inlineStr">
        <is>
          <t>Visa_Statement.csv</t>
        </is>
      </c>
      <c r="N448" s="91" t="inlineStr">
        <is>
          <t>2026-10-15 20:14:07</t>
        </is>
      </c>
      <c r="O448" s="91" t="n"/>
      <c r="P448" s="91" t="inlineStr">
        <is>
          <t>REWARDS VISA|20260107|-7834|OLDNAVYONLINE#1</t>
        </is>
      </c>
      <c r="Q448" s="92">
        <f>IF(AND(G448=RptMonth,F448="Expense",N(E448)&lt;0),-E448+ROW()/10000000,"")</f>
        <v/>
      </c>
    </row>
    <row r="449">
      <c r="A449" s="86" t="n">
        <v>46029</v>
      </c>
      <c r="B449" s="87" t="inlineStr">
        <is>
          <t>Rewards Visa</t>
        </is>
      </c>
      <c r="C449" s="87" t="inlineStr">
        <is>
          <t>SPOTIFY USA</t>
        </is>
      </c>
      <c r="D449" s="87" t="inlineStr">
        <is>
          <t>Subscriptions</t>
        </is>
      </c>
      <c r="E449" s="88" t="n">
        <v>-11.99</v>
      </c>
      <c r="F449" s="89">
        <f>IF(E449="","",IF(OR(D449="",D449="Uncategorized"),IF(E449&lt;0,"Expense","Income"),IFERROR(INDEX(Categories!$B$6:$B$65,MATCH(D449,Categories!$A$6:$A$65,0)),IF(E449&lt;0,"Expense","Income"))))</f>
        <v/>
      </c>
      <c r="G449" s="90">
        <f>IF(A449="","",DATE(YEAR(A449),MONTH(A449),1))</f>
        <v/>
      </c>
      <c r="H449" s="87" t="n"/>
      <c r="I449" s="87" t="n"/>
      <c r="J449" s="91" t="inlineStr">
        <is>
          <t>SPOTIFY USA</t>
        </is>
      </c>
      <c r="K449" s="91" t="inlineStr">
        <is>
          <t>Sample Card Co</t>
        </is>
      </c>
      <c r="L449" s="91" t="inlineStr">
        <is>
          <t>Credit Card</t>
        </is>
      </c>
      <c r="M449" s="91" t="inlineStr">
        <is>
          <t>Visa_Statement.csv</t>
        </is>
      </c>
      <c r="N449" s="91" t="inlineStr">
        <is>
          <t>2026-10-15 20:14:07</t>
        </is>
      </c>
      <c r="O449" s="91" t="n"/>
      <c r="P449" s="91" t="inlineStr">
        <is>
          <t>REWARDS VISA|20260107|-1199|SPOTIFYUSA#1</t>
        </is>
      </c>
      <c r="Q449" s="92">
        <f>IF(AND(G449=RptMonth,F449="Expense",N(E449)&lt;0),-E449+ROW()/10000000,"")</f>
        <v/>
      </c>
    </row>
    <row r="450">
      <c r="A450" s="86" t="n">
        <v>46028</v>
      </c>
      <c r="B450" s="87" t="inlineStr">
        <is>
          <t>Rewards Visa</t>
        </is>
      </c>
      <c r="C450" s="87" t="inlineStr">
        <is>
          <t>AMAZON.COM*2K4LP0</t>
        </is>
      </c>
      <c r="D450" s="87" t="inlineStr">
        <is>
          <t>Shopping</t>
        </is>
      </c>
      <c r="E450" s="88" t="n">
        <v>-26.29</v>
      </c>
      <c r="F450" s="89">
        <f>IF(E450="","",IF(OR(D450="",D450="Uncategorized"),IF(E450&lt;0,"Expense","Income"),IFERROR(INDEX(Categories!$B$6:$B$65,MATCH(D450,Categories!$A$6:$A$65,0)),IF(E450&lt;0,"Expense","Income"))))</f>
        <v/>
      </c>
      <c r="G450" s="90">
        <f>IF(A450="","",DATE(YEAR(A450),MONTH(A450),1))</f>
        <v/>
      </c>
      <c r="H450" s="87" t="n"/>
      <c r="I450" s="87" t="n"/>
      <c r="J450" s="91" t="inlineStr">
        <is>
          <t>AMAZON.COM*2K4LP0</t>
        </is>
      </c>
      <c r="K450" s="91" t="inlineStr">
        <is>
          <t>Sample Card Co</t>
        </is>
      </c>
      <c r="L450" s="91" t="inlineStr">
        <is>
          <t>Credit Card</t>
        </is>
      </c>
      <c r="M450" s="91" t="inlineStr">
        <is>
          <t>Visa_Statement.csv</t>
        </is>
      </c>
      <c r="N450" s="91" t="inlineStr">
        <is>
          <t>2026-10-15 20:14:07</t>
        </is>
      </c>
      <c r="O450" s="91" t="n"/>
      <c r="P450" s="91" t="inlineStr">
        <is>
          <t>REWARDS VISA|20260106|-2629|AMAZONCOM2K4LP0#1</t>
        </is>
      </c>
      <c r="Q450" s="92">
        <f>IF(AND(G450=RptMonth,F450="Expense",N(E450)&lt;0),-E450+ROW()/10000000,"")</f>
        <v/>
      </c>
    </row>
    <row r="451">
      <c r="A451" s="86" t="n">
        <v>46028</v>
      </c>
      <c r="B451" s="87" t="inlineStr">
        <is>
          <t>Rewards Visa</t>
        </is>
      </c>
      <c r="C451" s="87" t="inlineStr">
        <is>
          <t>LOCAL PIZZERIA</t>
        </is>
      </c>
      <c r="D451" s="87" t="inlineStr">
        <is>
          <t>Dining Out</t>
        </is>
      </c>
      <c r="E451" s="88" t="n">
        <v>-57.21</v>
      </c>
      <c r="F451" s="89">
        <f>IF(E451="","",IF(OR(D451="",D451="Uncategorized"),IF(E451&lt;0,"Expense","Income"),IFERROR(INDEX(Categories!$B$6:$B$65,MATCH(D451,Categories!$A$6:$A$65,0)),IF(E451&lt;0,"Expense","Income"))))</f>
        <v/>
      </c>
      <c r="G451" s="90">
        <f>IF(A451="","",DATE(YEAR(A451),MONTH(A451),1))</f>
        <v/>
      </c>
      <c r="H451" s="87" t="n"/>
      <c r="I451" s="87" t="n"/>
      <c r="J451" s="91" t="inlineStr">
        <is>
          <t>LOCAL PIZZERIA</t>
        </is>
      </c>
      <c r="K451" s="91" t="inlineStr">
        <is>
          <t>Sample Card Co</t>
        </is>
      </c>
      <c r="L451" s="91" t="inlineStr">
        <is>
          <t>Credit Card</t>
        </is>
      </c>
      <c r="M451" s="91" t="inlineStr">
        <is>
          <t>Visa_Statement.csv</t>
        </is>
      </c>
      <c r="N451" s="91" t="inlineStr">
        <is>
          <t>2026-10-15 20:14:07</t>
        </is>
      </c>
      <c r="O451" s="91" t="n"/>
      <c r="P451" s="91" t="inlineStr">
        <is>
          <t>REWARDS VISA|20260106|-5721|LOCALPIZZERIA#1</t>
        </is>
      </c>
      <c r="Q451" s="92">
        <f>IF(AND(G451=RptMonth,F451="Expense",N(E451)&lt;0),-E451+ROW()/10000000,"")</f>
        <v/>
      </c>
    </row>
    <row r="452">
      <c r="A452" s="86" t="n">
        <v>46028</v>
      </c>
      <c r="B452" s="87" t="inlineStr">
        <is>
          <t>Rewards Visa</t>
        </is>
      </c>
      <c r="C452" s="87" t="inlineStr">
        <is>
          <t>SUNOCO 0391</t>
        </is>
      </c>
      <c r="D452" s="87" t="inlineStr">
        <is>
          <t>Gas &amp; Fuel</t>
        </is>
      </c>
      <c r="E452" s="88" t="n">
        <v>-42.87</v>
      </c>
      <c r="F452" s="89">
        <f>IF(E452="","",IF(OR(D452="",D452="Uncategorized"),IF(E452&lt;0,"Expense","Income"),IFERROR(INDEX(Categories!$B$6:$B$65,MATCH(D452,Categories!$A$6:$A$65,0)),IF(E452&lt;0,"Expense","Income"))))</f>
        <v/>
      </c>
      <c r="G452" s="90">
        <f>IF(A452="","",DATE(YEAR(A452),MONTH(A452),1))</f>
        <v/>
      </c>
      <c r="H452" s="87" t="n"/>
      <c r="I452" s="87" t="n"/>
      <c r="J452" s="91" t="inlineStr">
        <is>
          <t>SUNOCO 0391</t>
        </is>
      </c>
      <c r="K452" s="91" t="inlineStr">
        <is>
          <t>Sample Card Co</t>
        </is>
      </c>
      <c r="L452" s="91" t="inlineStr">
        <is>
          <t>Credit Card</t>
        </is>
      </c>
      <c r="M452" s="91" t="inlineStr">
        <is>
          <t>Visa_Statement.csv</t>
        </is>
      </c>
      <c r="N452" s="91" t="inlineStr">
        <is>
          <t>2026-10-15 20:14:07</t>
        </is>
      </c>
      <c r="O452" s="91" t="n"/>
      <c r="P452" s="91" t="inlineStr">
        <is>
          <t>REWARDS VISA|20260106|-4287|SUNOCO0391#1</t>
        </is>
      </c>
      <c r="Q452" s="92">
        <f>IF(AND(G452=RptMonth,F452="Expense",N(E452)&lt;0),-E452+ROW()/10000000,"")</f>
        <v/>
      </c>
    </row>
    <row r="453">
      <c r="A453" s="86" t="n">
        <v>46027</v>
      </c>
      <c r="B453" s="87" t="inlineStr">
        <is>
          <t>Everyday Checking</t>
        </is>
      </c>
      <c r="C453" s="87" t="inlineStr">
        <is>
          <t>ONLINE TRANSFER TO HIGH-YIELD SAVINGS</t>
        </is>
      </c>
      <c r="D453" s="87" t="inlineStr">
        <is>
          <t>Transfer</t>
        </is>
      </c>
      <c r="E453" s="88" t="n">
        <v>-500</v>
      </c>
      <c r="F453" s="89">
        <f>IF(E453="","",IF(OR(D453="",D453="Uncategorized"),IF(E453&lt;0,"Expense","Income"),IFERROR(INDEX(Categories!$B$6:$B$65,MATCH(D453,Categories!$A$6:$A$65,0)),IF(E453&lt;0,"Expense","Income"))))</f>
        <v/>
      </c>
      <c r="G453" s="90">
        <f>IF(A453="","",DATE(YEAR(A453),MONTH(A453),1))</f>
        <v/>
      </c>
      <c r="H453" s="87" t="n"/>
      <c r="I453" s="87" t="n"/>
      <c r="J453" s="91" t="inlineStr">
        <is>
          <t>ONLINE TRANSFER TO HIGH-YIELD SAVINGS</t>
        </is>
      </c>
      <c r="K453" s="91" t="inlineStr">
        <is>
          <t>Sample Bank</t>
        </is>
      </c>
      <c r="L453" s="91" t="inlineStr">
        <is>
          <t>Checking</t>
        </is>
      </c>
      <c r="M453" s="91" t="inlineStr">
        <is>
          <t>Checking_Activity.csv</t>
        </is>
      </c>
      <c r="N453" s="91" t="inlineStr">
        <is>
          <t>2026-10-15 20:14:07</t>
        </is>
      </c>
      <c r="O453" s="91" t="n"/>
      <c r="P453" s="91" t="inlineStr">
        <is>
          <t>EVERYDAY CHECKING|20260105|-50000|ONLINETRANSFERTOHIGHYIELDSAVINGS#1</t>
        </is>
      </c>
      <c r="Q453" s="92">
        <f>IF(AND(G453=RptMonth,F453="Expense",N(E453)&lt;0),-E453+ROW()/10000000,"")</f>
        <v/>
      </c>
    </row>
    <row r="454">
      <c r="A454" s="86" t="n">
        <v>46027</v>
      </c>
      <c r="B454" s="87" t="inlineStr">
        <is>
          <t>High-Yield Savings</t>
        </is>
      </c>
      <c r="C454" s="87" t="inlineStr">
        <is>
          <t>ONLINE TRANSFER FROM EVERYDAY CHECKING</t>
        </is>
      </c>
      <c r="D454" s="87" t="inlineStr">
        <is>
          <t>Transfer</t>
        </is>
      </c>
      <c r="E454" s="88" t="n">
        <v>500</v>
      </c>
      <c r="F454" s="89">
        <f>IF(E454="","",IF(OR(D454="",D454="Uncategorized"),IF(E454&lt;0,"Expense","Income"),IFERROR(INDEX(Categories!$B$6:$B$65,MATCH(D454,Categories!$A$6:$A$65,0)),IF(E454&lt;0,"Expense","Income"))))</f>
        <v/>
      </c>
      <c r="G454" s="90">
        <f>IF(A454="","",DATE(YEAR(A454),MONTH(A454),1))</f>
        <v/>
      </c>
      <c r="H454" s="87" t="n"/>
      <c r="I454" s="87" t="n"/>
      <c r="J454" s="91" t="inlineStr">
        <is>
          <t>ONLINE TRANSFER FROM EVERYDAY CHECKING</t>
        </is>
      </c>
      <c r="K454" s="91" t="inlineStr">
        <is>
          <t>Sample Bank</t>
        </is>
      </c>
      <c r="L454" s="91" t="inlineStr">
        <is>
          <t>Savings</t>
        </is>
      </c>
      <c r="M454" s="91" t="inlineStr">
        <is>
          <t>Savings.qfx</t>
        </is>
      </c>
      <c r="N454" s="91" t="inlineStr">
        <is>
          <t>2026-10-15 20:14:07</t>
        </is>
      </c>
      <c r="O454" s="91" t="inlineStr">
        <is>
          <t>773002026010501</t>
        </is>
      </c>
      <c r="P454" s="91" t="inlineStr">
        <is>
          <t>HIGH-YIELD SAVINGS|ID|773002026010501#1</t>
        </is>
      </c>
      <c r="Q454" s="92">
        <f>IF(AND(G454=RptMonth,F454="Expense",N(E454)&lt;0),-E454+ROW()/10000000,"")</f>
        <v/>
      </c>
    </row>
    <row r="455">
      <c r="A455" s="86" t="n">
        <v>46027</v>
      </c>
      <c r="B455" s="87" t="inlineStr">
        <is>
          <t>Rewards Visa</t>
        </is>
      </c>
      <c r="C455" s="87" t="inlineStr">
        <is>
          <t>STARBUCKS STORE 08123</t>
        </is>
      </c>
      <c r="D455" s="87" t="inlineStr">
        <is>
          <t>Dining Out</t>
        </is>
      </c>
      <c r="E455" s="88" t="n">
        <v>-7.33</v>
      </c>
      <c r="F455" s="89">
        <f>IF(E455="","",IF(OR(D455="",D455="Uncategorized"),IF(E455&lt;0,"Expense","Income"),IFERROR(INDEX(Categories!$B$6:$B$65,MATCH(D455,Categories!$A$6:$A$65,0)),IF(E455&lt;0,"Expense","Income"))))</f>
        <v/>
      </c>
      <c r="G455" s="90">
        <f>IF(A455="","",DATE(YEAR(A455),MONTH(A455),1))</f>
        <v/>
      </c>
      <c r="H455" s="87" t="n"/>
      <c r="I455" s="87" t="n"/>
      <c r="J455" s="91" t="inlineStr">
        <is>
          <t>STARBUCKS STORE 08123</t>
        </is>
      </c>
      <c r="K455" s="91" t="inlineStr">
        <is>
          <t>Sample Card Co</t>
        </is>
      </c>
      <c r="L455" s="91" t="inlineStr">
        <is>
          <t>Credit Card</t>
        </is>
      </c>
      <c r="M455" s="91" t="inlineStr">
        <is>
          <t>Visa_Statement.csv</t>
        </is>
      </c>
      <c r="N455" s="91" t="inlineStr">
        <is>
          <t>2026-10-15 20:14:07</t>
        </is>
      </c>
      <c r="O455" s="91" t="n"/>
      <c r="P455" s="91" t="inlineStr">
        <is>
          <t>REWARDS VISA|20260105|-733|STARBUCKSSTORE08123#1</t>
        </is>
      </c>
      <c r="Q455" s="92">
        <f>IF(AND(G455=RptMonth,F455="Expense",N(E455)&lt;0),-E455+ROW()/10000000,"")</f>
        <v/>
      </c>
    </row>
    <row r="456">
      <c r="A456" s="86" t="n">
        <v>46027</v>
      </c>
      <c r="B456" s="87" t="inlineStr">
        <is>
          <t>Rewards Visa</t>
        </is>
      </c>
      <c r="C456" s="87" t="inlineStr">
        <is>
          <t>TARGET 00012345</t>
        </is>
      </c>
      <c r="D456" s="87" t="inlineStr">
        <is>
          <t>Shopping</t>
        </is>
      </c>
      <c r="E456" s="88" t="n">
        <v>-68.12</v>
      </c>
      <c r="F456" s="89">
        <f>IF(E456="","",IF(OR(D456="",D456="Uncategorized"),IF(E456&lt;0,"Expense","Income"),IFERROR(INDEX(Categories!$B$6:$B$65,MATCH(D456,Categories!$A$6:$A$65,0)),IF(E456&lt;0,"Expense","Income"))))</f>
        <v/>
      </c>
      <c r="G456" s="90">
        <f>IF(A456="","",DATE(YEAR(A456),MONTH(A456),1))</f>
        <v/>
      </c>
      <c r="H456" s="87" t="n"/>
      <c r="I456" s="87" t="n"/>
      <c r="J456" s="91" t="inlineStr">
        <is>
          <t>TARGET 00012345</t>
        </is>
      </c>
      <c r="K456" s="91" t="inlineStr">
        <is>
          <t>Sample Card Co</t>
        </is>
      </c>
      <c r="L456" s="91" t="inlineStr">
        <is>
          <t>Credit Card</t>
        </is>
      </c>
      <c r="M456" s="91" t="inlineStr">
        <is>
          <t>Visa_Statement.csv</t>
        </is>
      </c>
      <c r="N456" s="91" t="inlineStr">
        <is>
          <t>2026-10-15 20:14:07</t>
        </is>
      </c>
      <c r="O456" s="91" t="n"/>
      <c r="P456" s="91" t="inlineStr">
        <is>
          <t>REWARDS VISA|20260105|-6812|TARGET00012345#1</t>
        </is>
      </c>
      <c r="Q456" s="92">
        <f>IF(AND(G456=RptMonth,F456="Expense",N(E456)&lt;0),-E456+ROW()/10000000,"")</f>
        <v/>
      </c>
    </row>
    <row r="457">
      <c r="A457" s="86" t="n">
        <v>46025</v>
      </c>
      <c r="B457" s="87" t="inlineStr">
        <is>
          <t>Everyday Checking</t>
        </is>
      </c>
      <c r="C457" s="87" t="inlineStr">
        <is>
          <t>GEICO AUTO INSURANCE</t>
        </is>
      </c>
      <c r="D457" s="87" t="inlineStr">
        <is>
          <t>Insurance</t>
        </is>
      </c>
      <c r="E457" s="88" t="n">
        <v>-142.5</v>
      </c>
      <c r="F457" s="89">
        <f>IF(E457="","",IF(OR(D457="",D457="Uncategorized"),IF(E457&lt;0,"Expense","Income"),IFERROR(INDEX(Categories!$B$6:$B$65,MATCH(D457,Categories!$A$6:$A$65,0)),IF(E457&lt;0,"Expense","Income"))))</f>
        <v/>
      </c>
      <c r="G457" s="90">
        <f>IF(A457="","",DATE(YEAR(A457),MONTH(A457),1))</f>
        <v/>
      </c>
      <c r="H457" s="87" t="n"/>
      <c r="I457" s="87" t="n"/>
      <c r="J457" s="91" t="inlineStr">
        <is>
          <t>GEICO AUTO INSURANCE</t>
        </is>
      </c>
      <c r="K457" s="91" t="inlineStr">
        <is>
          <t>Sample Bank</t>
        </is>
      </c>
      <c r="L457" s="91" t="inlineStr">
        <is>
          <t>Checking</t>
        </is>
      </c>
      <c r="M457" s="91" t="inlineStr">
        <is>
          <t>Checking_Activity.csv</t>
        </is>
      </c>
      <c r="N457" s="91" t="inlineStr">
        <is>
          <t>2026-10-15 20:14:07</t>
        </is>
      </c>
      <c r="O457" s="91" t="n"/>
      <c r="P457" s="91" t="inlineStr">
        <is>
          <t>EVERYDAY CHECKING|20260103|-14250|GEICOAUTOINSURANCE#1</t>
        </is>
      </c>
      <c r="Q457" s="92">
        <f>IF(AND(G457=RptMonth,F457="Expense",N(E457)&lt;0),-E457+ROW()/10000000,"")</f>
        <v/>
      </c>
    </row>
    <row r="458">
      <c r="A458" s="86" t="n">
        <v>46025</v>
      </c>
      <c r="B458" s="87" t="inlineStr">
        <is>
          <t>Rewards Visa</t>
        </is>
      </c>
      <c r="C458" s="87" t="inlineStr">
        <is>
          <t>CHIPOTLE 2291</t>
        </is>
      </c>
      <c r="D458" s="87" t="inlineStr">
        <is>
          <t>Dining Out</t>
        </is>
      </c>
      <c r="E458" s="88" t="n">
        <v>-49.53</v>
      </c>
      <c r="F458" s="89">
        <f>IF(E458="","",IF(OR(D458="",D458="Uncategorized"),IF(E458&lt;0,"Expense","Income"),IFERROR(INDEX(Categories!$B$6:$B$65,MATCH(D458,Categories!$A$6:$A$65,0)),IF(E458&lt;0,"Expense","Income"))))</f>
        <v/>
      </c>
      <c r="G458" s="90">
        <f>IF(A458="","",DATE(YEAR(A458),MONTH(A458),1))</f>
        <v/>
      </c>
      <c r="H458" s="87" t="n"/>
      <c r="I458" s="87" t="n"/>
      <c r="J458" s="91" t="inlineStr">
        <is>
          <t>CHIPOTLE 2291</t>
        </is>
      </c>
      <c r="K458" s="91" t="inlineStr">
        <is>
          <t>Sample Card Co</t>
        </is>
      </c>
      <c r="L458" s="91" t="inlineStr">
        <is>
          <t>Credit Card</t>
        </is>
      </c>
      <c r="M458" s="91" t="inlineStr">
        <is>
          <t>Visa_Statement.csv</t>
        </is>
      </c>
      <c r="N458" s="91" t="inlineStr">
        <is>
          <t>2026-10-15 20:14:07</t>
        </is>
      </c>
      <c r="O458" s="91" t="n"/>
      <c r="P458" s="91" t="inlineStr">
        <is>
          <t>REWARDS VISA|20260103|-4953|CHIPOTLE2291#1</t>
        </is>
      </c>
      <c r="Q458" s="92">
        <f>IF(AND(G458=RptMonth,F458="Expense",N(E458)&lt;0),-E458+ROW()/10000000,"")</f>
        <v/>
      </c>
    </row>
    <row r="459">
      <c r="A459" s="86" t="n">
        <v>46025</v>
      </c>
      <c r="B459" s="87" t="inlineStr">
        <is>
          <t>Rewards Visa</t>
        </is>
      </c>
      <c r="C459" s="87" t="inlineStr">
        <is>
          <t>WHOLE FOODS MARKET #10312</t>
        </is>
      </c>
      <c r="D459" s="87" t="inlineStr">
        <is>
          <t>Groceries</t>
        </is>
      </c>
      <c r="E459" s="88" t="n">
        <v>-114.3</v>
      </c>
      <c r="F459" s="89">
        <f>IF(E459="","",IF(OR(D459="",D459="Uncategorized"),IF(E459&lt;0,"Expense","Income"),IFERROR(INDEX(Categories!$B$6:$B$65,MATCH(D459,Categories!$A$6:$A$65,0)),IF(E459&lt;0,"Expense","Income"))))</f>
        <v/>
      </c>
      <c r="G459" s="90">
        <f>IF(A459="","",DATE(YEAR(A459),MONTH(A459),1))</f>
        <v/>
      </c>
      <c r="H459" s="87" t="n"/>
      <c r="I459" s="87" t="n"/>
      <c r="J459" s="91" t="inlineStr">
        <is>
          <t>WHOLE FOODS MARKET #10312</t>
        </is>
      </c>
      <c r="K459" s="91" t="inlineStr">
        <is>
          <t>Sample Card Co</t>
        </is>
      </c>
      <c r="L459" s="91" t="inlineStr">
        <is>
          <t>Credit Card</t>
        </is>
      </c>
      <c r="M459" s="91" t="inlineStr">
        <is>
          <t>Visa_Statement.csv</t>
        </is>
      </c>
      <c r="N459" s="91" t="inlineStr">
        <is>
          <t>2026-10-15 20:14:07</t>
        </is>
      </c>
      <c r="O459" s="91" t="n"/>
      <c r="P459" s="91" t="inlineStr">
        <is>
          <t>REWARDS VISA|20260103|-11430|WHOLEFOODSMARKET10312#1</t>
        </is>
      </c>
      <c r="Q459" s="92">
        <f>IF(AND(G459=RptMonth,F459="Expense",N(E459)&lt;0),-E459+ROW()/10000000,"")</f>
        <v/>
      </c>
    </row>
    <row r="460">
      <c r="A460" s="86" t="n">
        <v>46024</v>
      </c>
      <c r="B460" s="87" t="inlineStr">
        <is>
          <t>Rewards Visa</t>
        </is>
      </c>
      <c r="C460" s="87" t="inlineStr">
        <is>
          <t>AMAZON.COM*2K4LP0</t>
        </is>
      </c>
      <c r="D460" s="87" t="inlineStr">
        <is>
          <t>Shopping</t>
        </is>
      </c>
      <c r="E460" s="88" t="n">
        <v>-19.16</v>
      </c>
      <c r="F460" s="89">
        <f>IF(E460="","",IF(OR(D460="",D460="Uncategorized"),IF(E460&lt;0,"Expense","Income"),IFERROR(INDEX(Categories!$B$6:$B$65,MATCH(D460,Categories!$A$6:$A$65,0)),IF(E460&lt;0,"Expense","Income"))))</f>
        <v/>
      </c>
      <c r="G460" s="90">
        <f>IF(A460="","",DATE(YEAR(A460),MONTH(A460),1))</f>
        <v/>
      </c>
      <c r="H460" s="87" t="n"/>
      <c r="I460" s="87" t="n"/>
      <c r="J460" s="91" t="inlineStr">
        <is>
          <t>AMAZON.COM*2K4LP0</t>
        </is>
      </c>
      <c r="K460" s="91" t="inlineStr">
        <is>
          <t>Sample Card Co</t>
        </is>
      </c>
      <c r="L460" s="91" t="inlineStr">
        <is>
          <t>Credit Card</t>
        </is>
      </c>
      <c r="M460" s="91" t="inlineStr">
        <is>
          <t>Visa_Statement.csv</t>
        </is>
      </c>
      <c r="N460" s="91" t="inlineStr">
        <is>
          <t>2026-10-15 20:14:07</t>
        </is>
      </c>
      <c r="O460" s="91" t="n"/>
      <c r="P460" s="91" t="inlineStr">
        <is>
          <t>REWARDS VISA|20260102|-1916|AMAZONCOM2K4LP0#1</t>
        </is>
      </c>
      <c r="Q460" s="92">
        <f>IF(AND(G460=RptMonth,F460="Expense",N(E460)&lt;0),-E460+ROW()/10000000,"")</f>
        <v/>
      </c>
    </row>
    <row r="461">
      <c r="A461" s="86" t="n">
        <v>46024</v>
      </c>
      <c r="B461" s="87" t="inlineStr">
        <is>
          <t>Rewards Visa</t>
        </is>
      </c>
      <c r="C461" s="87" t="inlineStr">
        <is>
          <t>NETFLIX.COM</t>
        </is>
      </c>
      <c r="D461" s="87" t="inlineStr">
        <is>
          <t>Subscriptions</t>
        </is>
      </c>
      <c r="E461" s="88" t="n">
        <v>-15.49</v>
      </c>
      <c r="F461" s="89">
        <f>IF(E461="","",IF(OR(D461="",D461="Uncategorized"),IF(E461&lt;0,"Expense","Income"),IFERROR(INDEX(Categories!$B$6:$B$65,MATCH(D461,Categories!$A$6:$A$65,0)),IF(E461&lt;0,"Expense","Income"))))</f>
        <v/>
      </c>
      <c r="G461" s="90">
        <f>IF(A461="","",DATE(YEAR(A461),MONTH(A461),1))</f>
        <v/>
      </c>
      <c r="H461" s="87" t="n"/>
      <c r="I461" s="87" t="n"/>
      <c r="J461" s="91" t="inlineStr">
        <is>
          <t>NETFLIX.COM</t>
        </is>
      </c>
      <c r="K461" s="91" t="inlineStr">
        <is>
          <t>Sample Card Co</t>
        </is>
      </c>
      <c r="L461" s="91" t="inlineStr">
        <is>
          <t>Credit Card</t>
        </is>
      </c>
      <c r="M461" s="91" t="inlineStr">
        <is>
          <t>Visa_Statement.csv</t>
        </is>
      </c>
      <c r="N461" s="91" t="inlineStr">
        <is>
          <t>2026-10-15 20:14:07</t>
        </is>
      </c>
      <c r="O461" s="91" t="n"/>
      <c r="P461" s="91" t="inlineStr">
        <is>
          <t>REWARDS VISA|20260102|-1549|NETFLIXCOM#1</t>
        </is>
      </c>
      <c r="Q461" s="92">
        <f>IF(AND(G461=RptMonth,F461="Expense",N(E461)&lt;0),-E461+ROW()/10000000,"")</f>
        <v/>
      </c>
    </row>
    <row r="462">
      <c r="A462" s="86" t="n">
        <v>46024</v>
      </c>
      <c r="B462" s="87" t="inlineStr">
        <is>
          <t>Rewards Visa</t>
        </is>
      </c>
      <c r="C462" s="87" t="inlineStr">
        <is>
          <t>SHELL OIL 57444</t>
        </is>
      </c>
      <c r="D462" s="87" t="inlineStr">
        <is>
          <t>Gas &amp; Fuel</t>
        </is>
      </c>
      <c r="E462" s="88" t="n">
        <v>-58.69</v>
      </c>
      <c r="F462" s="89">
        <f>IF(E462="","",IF(OR(D462="",D462="Uncategorized"),IF(E462&lt;0,"Expense","Income"),IFERROR(INDEX(Categories!$B$6:$B$65,MATCH(D462,Categories!$A$6:$A$65,0)),IF(E462&lt;0,"Expense","Income"))))</f>
        <v/>
      </c>
      <c r="G462" s="90">
        <f>IF(A462="","",DATE(YEAR(A462),MONTH(A462),1))</f>
        <v/>
      </c>
      <c r="H462" s="87" t="n"/>
      <c r="I462" s="87" t="n"/>
      <c r="J462" s="91" t="inlineStr">
        <is>
          <t>SHELL OIL 57444</t>
        </is>
      </c>
      <c r="K462" s="91" t="inlineStr">
        <is>
          <t>Sample Card Co</t>
        </is>
      </c>
      <c r="L462" s="91" t="inlineStr">
        <is>
          <t>Credit Card</t>
        </is>
      </c>
      <c r="M462" s="91" t="inlineStr">
        <is>
          <t>Visa_Statement.csv</t>
        </is>
      </c>
      <c r="N462" s="91" t="inlineStr">
        <is>
          <t>2026-10-15 20:14:07</t>
        </is>
      </c>
      <c r="O462" s="91" t="n"/>
      <c r="P462" s="91" t="inlineStr">
        <is>
          <t>REWARDS VISA|20260102|-5869|SHELLOIL57444#1</t>
        </is>
      </c>
      <c r="Q462" s="92">
        <f>IF(AND(G462=RptMonth,F462="Expense",N(E462)&lt;0),-E462+ROW()/10000000,"")</f>
        <v/>
      </c>
    </row>
    <row r="463">
      <c r="A463" s="86" t="n">
        <v>46023</v>
      </c>
      <c r="B463" s="87" t="inlineStr">
        <is>
          <t>Everyday Checking</t>
        </is>
      </c>
      <c r="C463" s="87" t="inlineStr">
        <is>
          <t>SAMPLE MORTGAGE CO PAYMENT</t>
        </is>
      </c>
      <c r="D463" s="87" t="inlineStr">
        <is>
          <t>Mortgage / Rent</t>
        </is>
      </c>
      <c r="E463" s="88" t="n">
        <v>-2450</v>
      </c>
      <c r="F463" s="89">
        <f>IF(E463="","",IF(OR(D463="",D463="Uncategorized"),IF(E463&lt;0,"Expense","Income"),IFERROR(INDEX(Categories!$B$6:$B$65,MATCH(D463,Categories!$A$6:$A$65,0)),IF(E463&lt;0,"Expense","Income"))))</f>
        <v/>
      </c>
      <c r="G463" s="90">
        <f>IF(A463="","",DATE(YEAR(A463),MONTH(A463),1))</f>
        <v/>
      </c>
      <c r="H463" s="87" t="inlineStr">
        <is>
          <t>Includes escrow for taxes and insurance</t>
        </is>
      </c>
      <c r="I463" s="87" t="n"/>
      <c r="J463" s="91" t="inlineStr">
        <is>
          <t>SAMPLE MORTGAGE CO PAYMENT</t>
        </is>
      </c>
      <c r="K463" s="91" t="inlineStr">
        <is>
          <t>Sample Bank</t>
        </is>
      </c>
      <c r="L463" s="91" t="inlineStr">
        <is>
          <t>Checking</t>
        </is>
      </c>
      <c r="M463" s="91" t="inlineStr">
        <is>
          <t>Checking_Activity.csv</t>
        </is>
      </c>
      <c r="N463" s="91" t="inlineStr">
        <is>
          <t>2026-10-15 20:14:07</t>
        </is>
      </c>
      <c r="O463" s="91" t="n"/>
      <c r="P463" s="91" t="inlineStr">
        <is>
          <t>EVERYDAY CHECKING|20260101|-245000|SAMPLEMORTGAGECOPAYMENT#1</t>
        </is>
      </c>
      <c r="Q463" s="92">
        <f>IF(AND(G463=RptMonth,F463="Expense",N(E463)&lt;0),-E463+ROW()/10000000,"")</f>
        <v/>
      </c>
    </row>
    <row r="464">
      <c r="A464" s="86" t="n">
        <v>46023</v>
      </c>
      <c r="B464" s="87" t="inlineStr">
        <is>
          <t>Home Mortgage</t>
        </is>
      </c>
      <c r="C464" s="87" t="inlineStr">
        <is>
          <t>Payment</t>
        </is>
      </c>
      <c r="D464" s="87" t="inlineStr">
        <is>
          <t>Transfer</t>
        </is>
      </c>
      <c r="E464" s="88" t="n">
        <v>301.54</v>
      </c>
      <c r="F464" s="89">
        <f>IF(E464="","",IF(OR(D464="",D464="Uncategorized"),IF(E464&lt;0,"Expense","Income"),IFERROR(INDEX(Categories!$B$6:$B$65,MATCH(D464,Categories!$A$6:$A$65,0)),IF(E464&lt;0,"Expense","Income"))))</f>
        <v/>
      </c>
      <c r="G464" s="90">
        <f>IF(A464="","",DATE(YEAR(A464),MONTH(A464),1))</f>
        <v/>
      </c>
      <c r="H464" s="87" t="n"/>
      <c r="I464" s="87" t="n"/>
      <c r="J464" s="91" t="inlineStr">
        <is>
          <t>Payment</t>
        </is>
      </c>
      <c r="K464" s="91" t="inlineStr">
        <is>
          <t>Sample Mortgage Co</t>
        </is>
      </c>
      <c r="L464" s="91" t="inlineStr">
        <is>
          <t>Mortgage</t>
        </is>
      </c>
      <c r="M464" s="91" t="inlineStr">
        <is>
          <t>Mortgage_History.xlsx</t>
        </is>
      </c>
      <c r="N464" s="91" t="inlineStr">
        <is>
          <t>2026-10-15 20:14:07</t>
        </is>
      </c>
      <c r="O464" s="91" t="n"/>
      <c r="P464" s="91" t="inlineStr">
        <is>
          <t>HOME MORTGAGE|20260101|30154|PAYMENT#1</t>
        </is>
      </c>
      <c r="Q464" s="92">
        <f>IF(AND(G464=RptMonth,F464="Expense",N(E464)&lt;0),-E464+ROW()/10000000,"")</f>
        <v/>
      </c>
    </row>
    <row r="465">
      <c r="A465" s="86" t="n">
        <v>46023</v>
      </c>
      <c r="B465" s="87" t="inlineStr">
        <is>
          <t>Rewards Visa</t>
        </is>
      </c>
      <c r="C465" s="87" t="inlineStr">
        <is>
          <t>OLD NAVY ONLINE</t>
        </is>
      </c>
      <c r="D465" s="87" t="inlineStr">
        <is>
          <t>Shopping</t>
        </is>
      </c>
      <c r="E465" s="88" t="n">
        <v>-41.17</v>
      </c>
      <c r="F465" s="89">
        <f>IF(E465="","",IF(OR(D465="",D465="Uncategorized"),IF(E465&lt;0,"Expense","Income"),IFERROR(INDEX(Categories!$B$6:$B$65,MATCH(D465,Categories!$A$6:$A$65,0)),IF(E465&lt;0,"Expense","Income"))))</f>
        <v/>
      </c>
      <c r="G465" s="90">
        <f>IF(A465="","",DATE(YEAR(A465),MONTH(A465),1))</f>
        <v/>
      </c>
      <c r="H465" s="87" t="n"/>
      <c r="I465" s="87" t="n"/>
      <c r="J465" s="91" t="inlineStr">
        <is>
          <t>OLD NAVY ONLINE</t>
        </is>
      </c>
      <c r="K465" s="91" t="inlineStr">
        <is>
          <t>Sample Card Co</t>
        </is>
      </c>
      <c r="L465" s="91" t="inlineStr">
        <is>
          <t>Credit Card</t>
        </is>
      </c>
      <c r="M465" s="91" t="inlineStr">
        <is>
          <t>Visa_Statement.csv</t>
        </is>
      </c>
      <c r="N465" s="91" t="inlineStr">
        <is>
          <t>2026-10-15 20:14:07</t>
        </is>
      </c>
      <c r="O465" s="91" t="n"/>
      <c r="P465" s="91" t="inlineStr">
        <is>
          <t>REWARDS VISA|20260101|-4117|OLDNAVYONLINE#1</t>
        </is>
      </c>
      <c r="Q465" s="92">
        <f>IF(AND(G465=RptMonth,F465="Expense",N(E465)&lt;0),-E465+ROW()/10000000,"")</f>
        <v/>
      </c>
    </row>
    <row r="466">
      <c r="A466" s="86" t="n">
        <v>46023</v>
      </c>
      <c r="B466" s="87" t="inlineStr">
        <is>
          <t>Rewards Visa</t>
        </is>
      </c>
      <c r="C466" s="87" t="inlineStr">
        <is>
          <t>STARBUCKS STORE 08123</t>
        </is>
      </c>
      <c r="D466" s="87" t="inlineStr">
        <is>
          <t>Dining Out</t>
        </is>
      </c>
      <c r="E466" s="88" t="n">
        <v>-60.04</v>
      </c>
      <c r="F466" s="89">
        <f>IF(E466="","",IF(OR(D466="",D466="Uncategorized"),IF(E466&lt;0,"Expense","Income"),IFERROR(INDEX(Categories!$B$6:$B$65,MATCH(D466,Categories!$A$6:$A$65,0)),IF(E466&lt;0,"Expense","Income"))))</f>
        <v/>
      </c>
      <c r="G466" s="90">
        <f>IF(A466="","",DATE(YEAR(A466),MONTH(A466),1))</f>
        <v/>
      </c>
      <c r="H466" s="87" t="n"/>
      <c r="I466" s="87" t="n"/>
      <c r="J466" s="91" t="inlineStr">
        <is>
          <t>STARBUCKS STORE 08123</t>
        </is>
      </c>
      <c r="K466" s="91" t="inlineStr">
        <is>
          <t>Sample Card Co</t>
        </is>
      </c>
      <c r="L466" s="91" t="inlineStr">
        <is>
          <t>Credit Card</t>
        </is>
      </c>
      <c r="M466" s="91" t="inlineStr">
        <is>
          <t>Visa_Statement.csv</t>
        </is>
      </c>
      <c r="N466" s="91" t="inlineStr">
        <is>
          <t>2026-10-15 20:14:07</t>
        </is>
      </c>
      <c r="O466" s="91" t="n"/>
      <c r="P466" s="91" t="inlineStr">
        <is>
          <t>REWARDS VISA|20260101|-6004|STARBUCKSSTORE08123#1</t>
        </is>
      </c>
      <c r="Q466" s="92">
        <f>IF(AND(G466=RptMonth,F466="Expense",N(E466)&lt;0),-E466+ROW()/10000000,"")</f>
        <v/>
      </c>
    </row>
    <row r="467">
      <c r="A467" s="86" t="n">
        <v>46022</v>
      </c>
      <c r="B467" s="87" t="inlineStr">
        <is>
          <t>Rewards Visa</t>
        </is>
      </c>
      <c r="C467" s="87" t="inlineStr">
        <is>
          <t>AMC THEATRES 0221</t>
        </is>
      </c>
      <c r="D467" s="87" t="inlineStr">
        <is>
          <t>Entertainment</t>
        </is>
      </c>
      <c r="E467" s="88" t="n">
        <v>-26.06</v>
      </c>
      <c r="F467" s="89">
        <f>IF(E467="","",IF(OR(D467="",D467="Uncategorized"),IF(E467&lt;0,"Expense","Income"),IFERROR(INDEX(Categories!$B$6:$B$65,MATCH(D467,Categories!$A$6:$A$65,0)),IF(E467&lt;0,"Expense","Income"))))</f>
        <v/>
      </c>
      <c r="G467" s="90">
        <f>IF(A467="","",DATE(YEAR(A467),MONTH(A467),1))</f>
        <v/>
      </c>
      <c r="H467" s="87" t="n"/>
      <c r="I467" s="87" t="n"/>
      <c r="J467" s="91" t="inlineStr">
        <is>
          <t>AMC THEATRES 0221</t>
        </is>
      </c>
      <c r="K467" s="91" t="inlineStr">
        <is>
          <t>Sample Card Co</t>
        </is>
      </c>
      <c r="L467" s="91" t="inlineStr">
        <is>
          <t>Credit Card</t>
        </is>
      </c>
      <c r="M467" s="91" t="inlineStr">
        <is>
          <t>Visa_Statement.csv</t>
        </is>
      </c>
      <c r="N467" s="91" t="inlineStr">
        <is>
          <t>2026-10-15 20:14:07</t>
        </is>
      </c>
      <c r="O467" s="91" t="n"/>
      <c r="P467" s="91" t="inlineStr">
        <is>
          <t>REWARDS VISA|20251231|-2606|AMCTHEATRES0221#1</t>
        </is>
      </c>
      <c r="Q467" s="92">
        <f>IF(AND(G467=RptMonth,F467="Expense",N(E467)&lt;0),-E467+ROW()/10000000,"")</f>
        <v/>
      </c>
    </row>
    <row r="468">
      <c r="A468" s="86" t="n">
        <v>46022</v>
      </c>
      <c r="B468" s="87" t="inlineStr">
        <is>
          <t>Rewards Visa</t>
        </is>
      </c>
      <c r="C468" s="87" t="inlineStr">
        <is>
          <t>WHOLE FOODS MARKET #10312</t>
        </is>
      </c>
      <c r="D468" s="87" t="inlineStr">
        <is>
          <t>Groceries</t>
        </is>
      </c>
      <c r="E468" s="88" t="n">
        <v>-37.05</v>
      </c>
      <c r="F468" s="89">
        <f>IF(E468="","",IF(OR(D468="",D468="Uncategorized"),IF(E468&lt;0,"Expense","Income"),IFERROR(INDEX(Categories!$B$6:$B$65,MATCH(D468,Categories!$A$6:$A$65,0)),IF(E468&lt;0,"Expense","Income"))))</f>
        <v/>
      </c>
      <c r="G468" s="90">
        <f>IF(A468="","",DATE(YEAR(A468),MONTH(A468),1))</f>
        <v/>
      </c>
      <c r="H468" s="87" t="n"/>
      <c r="I468" s="87" t="n"/>
      <c r="J468" s="91" t="inlineStr">
        <is>
          <t>WHOLE FOODS MARKET #10312</t>
        </is>
      </c>
      <c r="K468" s="91" t="inlineStr">
        <is>
          <t>Sample Card Co</t>
        </is>
      </c>
      <c r="L468" s="91" t="inlineStr">
        <is>
          <t>Credit Card</t>
        </is>
      </c>
      <c r="M468" s="91" t="inlineStr">
        <is>
          <t>Visa_Statement.csv</t>
        </is>
      </c>
      <c r="N468" s="91" t="inlineStr">
        <is>
          <t>2026-10-15 20:14:07</t>
        </is>
      </c>
      <c r="O468" s="91" t="n"/>
      <c r="P468" s="91" t="inlineStr">
        <is>
          <t>REWARDS VISA|20251231|-3705|WHOLEFOODSMARKET10312#1</t>
        </is>
      </c>
      <c r="Q468" s="92">
        <f>IF(AND(G468=RptMonth,F468="Expense",N(E468)&lt;0),-E468+ROW()/10000000,"")</f>
        <v/>
      </c>
    </row>
    <row r="469">
      <c r="A469" s="86" t="n">
        <v>46021</v>
      </c>
      <c r="B469" s="87" t="inlineStr">
        <is>
          <t>Rewards Visa</t>
        </is>
      </c>
      <c r="C469" s="87" t="inlineStr">
        <is>
          <t>EXXONMOBIL 4471</t>
        </is>
      </c>
      <c r="D469" s="87" t="inlineStr">
        <is>
          <t>Gas &amp; Fuel</t>
        </is>
      </c>
      <c r="E469" s="88" t="n">
        <v>-43.87</v>
      </c>
      <c r="F469" s="89">
        <f>IF(E469="","",IF(OR(D469="",D469="Uncategorized"),IF(E469&lt;0,"Expense","Income"),IFERROR(INDEX(Categories!$B$6:$B$65,MATCH(D469,Categories!$A$6:$A$65,0)),IF(E469&lt;0,"Expense","Income"))))</f>
        <v/>
      </c>
      <c r="G469" s="90">
        <f>IF(A469="","",DATE(YEAR(A469),MONTH(A469),1))</f>
        <v/>
      </c>
      <c r="H469" s="87" t="n"/>
      <c r="I469" s="87" t="n"/>
      <c r="J469" s="91" t="inlineStr">
        <is>
          <t>EXXONMOBIL 4471</t>
        </is>
      </c>
      <c r="K469" s="91" t="inlineStr">
        <is>
          <t>Sample Card Co</t>
        </is>
      </c>
      <c r="L469" s="91" t="inlineStr">
        <is>
          <t>Credit Card</t>
        </is>
      </c>
      <c r="M469" s="91" t="inlineStr">
        <is>
          <t>Visa_Statement.csv</t>
        </is>
      </c>
      <c r="N469" s="91" t="inlineStr">
        <is>
          <t>2026-10-15 20:14:07</t>
        </is>
      </c>
      <c r="O469" s="91" t="n"/>
      <c r="P469" s="91" t="inlineStr">
        <is>
          <t>REWARDS VISA|20251230|-4387|EXXONMOBIL4471#1</t>
        </is>
      </c>
      <c r="Q469" s="92">
        <f>IF(AND(G469=RptMonth,F469="Expense",N(E469)&lt;0),-E469+ROW()/10000000,"")</f>
        <v/>
      </c>
    </row>
    <row r="470">
      <c r="A470" s="86" t="n">
        <v>46021</v>
      </c>
      <c r="B470" s="87" t="inlineStr">
        <is>
          <t>Rewards Visa</t>
        </is>
      </c>
      <c r="C470" s="87" t="inlineStr">
        <is>
          <t>UBER *TRIP</t>
        </is>
      </c>
      <c r="D470" s="87" t="inlineStr">
        <is>
          <t>Transportation</t>
        </is>
      </c>
      <c r="E470" s="88" t="n">
        <v>-29.47</v>
      </c>
      <c r="F470" s="89">
        <f>IF(E470="","",IF(OR(D470="",D470="Uncategorized"),IF(E470&lt;0,"Expense","Income"),IFERROR(INDEX(Categories!$B$6:$B$65,MATCH(D470,Categories!$A$6:$A$65,0)),IF(E470&lt;0,"Expense","Income"))))</f>
        <v/>
      </c>
      <c r="G470" s="90">
        <f>IF(A470="","",DATE(YEAR(A470),MONTH(A470),1))</f>
        <v/>
      </c>
      <c r="H470" s="87" t="n"/>
      <c r="I470" s="87" t="n"/>
      <c r="J470" s="91" t="inlineStr">
        <is>
          <t>UBER *TRIP</t>
        </is>
      </c>
      <c r="K470" s="91" t="inlineStr">
        <is>
          <t>Sample Card Co</t>
        </is>
      </c>
      <c r="L470" s="91" t="inlineStr">
        <is>
          <t>Credit Card</t>
        </is>
      </c>
      <c r="M470" s="91" t="inlineStr">
        <is>
          <t>Visa_Statement.csv</t>
        </is>
      </c>
      <c r="N470" s="91" t="inlineStr">
        <is>
          <t>2026-10-15 20:14:07</t>
        </is>
      </c>
      <c r="O470" s="91" t="n"/>
      <c r="P470" s="91" t="inlineStr">
        <is>
          <t>REWARDS VISA|20251230|-2947|UBERTRIP#1</t>
        </is>
      </c>
      <c r="Q470" s="92">
        <f>IF(AND(G470=RptMonth,F470="Expense",N(E470)&lt;0),-E470+ROW()/10000000,"")</f>
        <v/>
      </c>
    </row>
    <row r="471">
      <c r="A471" s="86" t="n">
        <v>46019</v>
      </c>
      <c r="B471" s="87" t="inlineStr">
        <is>
          <t>High-Yield Savings</t>
        </is>
      </c>
      <c r="C471" s="87" t="inlineStr">
        <is>
          <t>INTEREST PAYMENT</t>
        </is>
      </c>
      <c r="D471" s="87" t="inlineStr">
        <is>
          <t>Interest &amp; Dividends</t>
        </is>
      </c>
      <c r="E471" s="88" t="n">
        <v>38.86</v>
      </c>
      <c r="F471" s="89">
        <f>IF(E471="","",IF(OR(D471="",D471="Uncategorized"),IF(E471&lt;0,"Expense","Income"),IFERROR(INDEX(Categories!$B$6:$B$65,MATCH(D471,Categories!$A$6:$A$65,0)),IF(E471&lt;0,"Expense","Income"))))</f>
        <v/>
      </c>
      <c r="G471" s="90">
        <f>IF(A471="","",DATE(YEAR(A471),MONTH(A471),1))</f>
        <v/>
      </c>
      <c r="H471" s="87" t="n"/>
      <c r="I471" s="87" t="n"/>
      <c r="J471" s="91" t="inlineStr">
        <is>
          <t>INTEREST PAYMENT</t>
        </is>
      </c>
      <c r="K471" s="91" t="inlineStr">
        <is>
          <t>Sample Bank</t>
        </is>
      </c>
      <c r="L471" s="91" t="inlineStr">
        <is>
          <t>Savings</t>
        </is>
      </c>
      <c r="M471" s="91" t="inlineStr">
        <is>
          <t>Savings.qfx</t>
        </is>
      </c>
      <c r="N471" s="91" t="inlineStr">
        <is>
          <t>2026-10-15 20:14:07</t>
        </is>
      </c>
      <c r="O471" s="91" t="inlineStr">
        <is>
          <t>773002025122801</t>
        </is>
      </c>
      <c r="P471" s="91" t="inlineStr">
        <is>
          <t>HIGH-YIELD SAVINGS|ID|773002025122801#1</t>
        </is>
      </c>
      <c r="Q471" s="92">
        <f>IF(AND(G471=RptMonth,F471="Expense",N(E471)&lt;0),-E471+ROW()/10000000,"")</f>
        <v/>
      </c>
    </row>
    <row r="472">
      <c r="A472" s="86" t="n">
        <v>46019</v>
      </c>
      <c r="B472" s="87" t="inlineStr">
        <is>
          <t>Rewards Visa</t>
        </is>
      </c>
      <c r="C472" s="87" t="inlineStr">
        <is>
          <t>SUSHI KOO</t>
        </is>
      </c>
      <c r="D472" s="87" t="inlineStr">
        <is>
          <t>Dining Out</t>
        </is>
      </c>
      <c r="E472" s="88" t="n">
        <v>-66.39</v>
      </c>
      <c r="F472" s="89">
        <f>IF(E472="","",IF(OR(D472="",D472="Uncategorized"),IF(E472&lt;0,"Expense","Income"),IFERROR(INDEX(Categories!$B$6:$B$65,MATCH(D472,Categories!$A$6:$A$65,0)),IF(E472&lt;0,"Expense","Income"))))</f>
        <v/>
      </c>
      <c r="G472" s="90">
        <f>IF(A472="","",DATE(YEAR(A472),MONTH(A472),1))</f>
        <v/>
      </c>
      <c r="H472" s="87" t="n"/>
      <c r="I472" s="87" t="n"/>
      <c r="J472" s="91" t="inlineStr">
        <is>
          <t>SUSHI KOO</t>
        </is>
      </c>
      <c r="K472" s="91" t="inlineStr">
        <is>
          <t>Sample Card Co</t>
        </is>
      </c>
      <c r="L472" s="91" t="inlineStr">
        <is>
          <t>Credit Card</t>
        </is>
      </c>
      <c r="M472" s="91" t="inlineStr">
        <is>
          <t>Visa_Statement.csv</t>
        </is>
      </c>
      <c r="N472" s="91" t="inlineStr">
        <is>
          <t>2026-10-15 20:14:07</t>
        </is>
      </c>
      <c r="O472" s="91" t="n"/>
      <c r="P472" s="91" t="inlineStr">
        <is>
          <t>REWARDS VISA|20251228|-6639|SUSHIKOO#1</t>
        </is>
      </c>
      <c r="Q472" s="92">
        <f>IF(AND(G472=RptMonth,F472="Expense",N(E472)&lt;0),-E472+ROW()/10000000,"")</f>
        <v/>
      </c>
    </row>
    <row r="473">
      <c r="A473" s="86" t="n">
        <v>46018</v>
      </c>
      <c r="B473" s="87" t="inlineStr">
        <is>
          <t>Rewards Visa</t>
        </is>
      </c>
      <c r="C473" s="87" t="inlineStr">
        <is>
          <t>WHOLE FOODS MARKET #10312</t>
        </is>
      </c>
      <c r="D473" s="87" t="inlineStr">
        <is>
          <t>Groceries</t>
        </is>
      </c>
      <c r="E473" s="88" t="n">
        <v>-174.66</v>
      </c>
      <c r="F473" s="89">
        <f>IF(E473="","",IF(OR(D473="",D473="Uncategorized"),IF(E473&lt;0,"Expense","Income"),IFERROR(INDEX(Categories!$B$6:$B$65,MATCH(D473,Categories!$A$6:$A$65,0)),IF(E473&lt;0,"Expense","Income"))))</f>
        <v/>
      </c>
      <c r="G473" s="90">
        <f>IF(A473="","",DATE(YEAR(A473),MONTH(A473),1))</f>
        <v/>
      </c>
      <c r="H473" s="87" t="n"/>
      <c r="I473" s="87" t="n"/>
      <c r="J473" s="91" t="inlineStr">
        <is>
          <t>WHOLE FOODS MARKET #10312</t>
        </is>
      </c>
      <c r="K473" s="91" t="inlineStr">
        <is>
          <t>Sample Card Co</t>
        </is>
      </c>
      <c r="L473" s="91" t="inlineStr">
        <is>
          <t>Credit Card</t>
        </is>
      </c>
      <c r="M473" s="91" t="inlineStr">
        <is>
          <t>Visa_Statement.csv</t>
        </is>
      </c>
      <c r="N473" s="91" t="inlineStr">
        <is>
          <t>2026-10-15 20:14:07</t>
        </is>
      </c>
      <c r="O473" s="91" t="n"/>
      <c r="P473" s="91" t="inlineStr">
        <is>
          <t>REWARDS VISA|20251227|-17466|WHOLEFOODSMARKET10312#1</t>
        </is>
      </c>
      <c r="Q473" s="92">
        <f>IF(AND(G473=RptMonth,F473="Expense",N(E473)&lt;0),-E473+ROW()/10000000,"")</f>
        <v/>
      </c>
    </row>
    <row r="474">
      <c r="A474" s="86" t="n">
        <v>46017</v>
      </c>
      <c r="B474" s="87" t="inlineStr">
        <is>
          <t>Everyday Checking</t>
        </is>
      </c>
      <c r="C474" s="87" t="inlineStr">
        <is>
          <t>ACME CORP PAYROLL DIR DEP</t>
        </is>
      </c>
      <c r="D474" s="87" t="inlineStr">
        <is>
          <t>Salary</t>
        </is>
      </c>
      <c r="E474" s="88" t="n">
        <v>3352.18</v>
      </c>
      <c r="F474" s="89">
        <f>IF(E474="","",IF(OR(D474="",D474="Uncategorized"),IF(E474&lt;0,"Expense","Income"),IFERROR(INDEX(Categories!$B$6:$B$65,MATCH(D474,Categories!$A$6:$A$65,0)),IF(E474&lt;0,"Expense","Income"))))</f>
        <v/>
      </c>
      <c r="G474" s="90">
        <f>IF(A474="","",DATE(YEAR(A474),MONTH(A474),1))</f>
        <v/>
      </c>
      <c r="H474" s="87" t="n"/>
      <c r="I474" s="87" t="n"/>
      <c r="J474" s="91" t="inlineStr">
        <is>
          <t>ACME CORP PAYROLL DIR DEP</t>
        </is>
      </c>
      <c r="K474" s="91" t="inlineStr">
        <is>
          <t>Sample Bank</t>
        </is>
      </c>
      <c r="L474" s="91" t="inlineStr">
        <is>
          <t>Checking</t>
        </is>
      </c>
      <c r="M474" s="91" t="inlineStr">
        <is>
          <t>Checking_Activity.csv</t>
        </is>
      </c>
      <c r="N474" s="91" t="inlineStr">
        <is>
          <t>2026-10-15 20:14:07</t>
        </is>
      </c>
      <c r="O474" s="91" t="n"/>
      <c r="P474" s="91" t="inlineStr">
        <is>
          <t>EVERYDAY CHECKING|20251226|335218|ACMECORPPAYROLLDIRDEP#1</t>
        </is>
      </c>
      <c r="Q474" s="92">
        <f>IF(AND(G474=RptMonth,F474="Expense",N(E474)&lt;0),-E474+ROW()/10000000,"")</f>
        <v/>
      </c>
    </row>
    <row r="475">
      <c r="A475" s="86" t="n">
        <v>46016</v>
      </c>
      <c r="B475" s="87" t="inlineStr">
        <is>
          <t>Everyday Checking</t>
        </is>
      </c>
      <c r="C475" s="87" t="inlineStr">
        <is>
          <t>ATM WITHDRAWAL 1234 MAIN ST</t>
        </is>
      </c>
      <c r="D475" s="87" t="inlineStr">
        <is>
          <t>Cash &amp; ATM</t>
        </is>
      </c>
      <c r="E475" s="88" t="n">
        <v>-60</v>
      </c>
      <c r="F475" s="89">
        <f>IF(E475="","",IF(OR(D475="",D475="Uncategorized"),IF(E475&lt;0,"Expense","Income"),IFERROR(INDEX(Categories!$B$6:$B$65,MATCH(D475,Categories!$A$6:$A$65,0)),IF(E475&lt;0,"Expense","Income"))))</f>
        <v/>
      </c>
      <c r="G475" s="90">
        <f>IF(A475="","",DATE(YEAR(A475),MONTH(A475),1))</f>
        <v/>
      </c>
      <c r="H475" s="87" t="n"/>
      <c r="I475" s="87" t="n"/>
      <c r="J475" s="91" t="inlineStr">
        <is>
          <t>ATM WITHDRAWAL 1234 MAIN ST</t>
        </is>
      </c>
      <c r="K475" s="91" t="inlineStr">
        <is>
          <t>Sample Bank</t>
        </is>
      </c>
      <c r="L475" s="91" t="inlineStr">
        <is>
          <t>Checking</t>
        </is>
      </c>
      <c r="M475" s="91" t="inlineStr">
        <is>
          <t>Checking_Activity.csv</t>
        </is>
      </c>
      <c r="N475" s="91" t="inlineStr">
        <is>
          <t>2026-10-15 20:14:07</t>
        </is>
      </c>
      <c r="O475" s="91" t="n"/>
      <c r="P475" s="91" t="inlineStr">
        <is>
          <t>EVERYDAY CHECKING|20251225|-6000|ATMWITHDRAWAL1234MAINST#1</t>
        </is>
      </c>
      <c r="Q475" s="92">
        <f>IF(AND(G475=RptMonth,F475="Expense",N(E475)&lt;0),-E475+ROW()/10000000,"")</f>
        <v/>
      </c>
    </row>
    <row r="476">
      <c r="A476" s="86" t="n">
        <v>46016</v>
      </c>
      <c r="B476" s="87" t="inlineStr">
        <is>
          <t>Rewards Visa</t>
        </is>
      </c>
      <c r="C476" s="87" t="inlineStr">
        <is>
          <t>UBER *TRIP</t>
        </is>
      </c>
      <c r="D476" s="87" t="inlineStr">
        <is>
          <t>Transportation</t>
        </is>
      </c>
      <c r="E476" s="88" t="n">
        <v>-14.05</v>
      </c>
      <c r="F476" s="89">
        <f>IF(E476="","",IF(OR(D476="",D476="Uncategorized"),IF(E476&lt;0,"Expense","Income"),IFERROR(INDEX(Categories!$B$6:$B$65,MATCH(D476,Categories!$A$6:$A$65,0)),IF(E476&lt;0,"Expense","Income"))))</f>
        <v/>
      </c>
      <c r="G476" s="90">
        <f>IF(A476="","",DATE(YEAR(A476),MONTH(A476),1))</f>
        <v/>
      </c>
      <c r="H476" s="87" t="n"/>
      <c r="I476" s="87" t="n"/>
      <c r="J476" s="91" t="inlineStr">
        <is>
          <t>UBER *TRIP</t>
        </is>
      </c>
      <c r="K476" s="91" t="inlineStr">
        <is>
          <t>Sample Card Co</t>
        </is>
      </c>
      <c r="L476" s="91" t="inlineStr">
        <is>
          <t>Credit Card</t>
        </is>
      </c>
      <c r="M476" s="91" t="inlineStr">
        <is>
          <t>Visa_Statement.csv</t>
        </is>
      </c>
      <c r="N476" s="91" t="inlineStr">
        <is>
          <t>2026-10-15 20:14:07</t>
        </is>
      </c>
      <c r="O476" s="91" t="n"/>
      <c r="P476" s="91" t="inlineStr">
        <is>
          <t>REWARDS VISA|20251225|-1405|UBERTRIP#1</t>
        </is>
      </c>
      <c r="Q476" s="92">
        <f>IF(AND(G476=RptMonth,F476="Expense",N(E476)&lt;0),-E476+ROW()/10000000,"")</f>
        <v/>
      </c>
    </row>
    <row r="477">
      <c r="A477" s="86" t="n">
        <v>46015</v>
      </c>
      <c r="B477" s="87" t="inlineStr">
        <is>
          <t>Rewards Visa</t>
        </is>
      </c>
      <c r="C477" s="87" t="inlineStr">
        <is>
          <t>CVS/PHARMACY #02210</t>
        </is>
      </c>
      <c r="D477" s="87" t="inlineStr">
        <is>
          <t>Shopping</t>
        </is>
      </c>
      <c r="E477" s="88" t="n">
        <v>-27.67</v>
      </c>
      <c r="F477" s="89">
        <f>IF(E477="","",IF(OR(D477="",D477="Uncategorized"),IF(E477&lt;0,"Expense","Income"),IFERROR(INDEX(Categories!$B$6:$B$65,MATCH(D477,Categories!$A$6:$A$65,0)),IF(E477&lt;0,"Expense","Income"))))</f>
        <v/>
      </c>
      <c r="G477" s="90">
        <f>IF(A477="","",DATE(YEAR(A477),MONTH(A477),1))</f>
        <v/>
      </c>
      <c r="H477" s="87" t="n"/>
      <c r="I477" s="87" t="n"/>
      <c r="J477" s="91" t="inlineStr">
        <is>
          <t>CVS/PHARMACY #02210</t>
        </is>
      </c>
      <c r="K477" s="91" t="inlineStr">
        <is>
          <t>Sample Card Co</t>
        </is>
      </c>
      <c r="L477" s="91" t="inlineStr">
        <is>
          <t>Credit Card</t>
        </is>
      </c>
      <c r="M477" s="91" t="inlineStr">
        <is>
          <t>Visa_Statement.csv</t>
        </is>
      </c>
      <c r="N477" s="91" t="inlineStr">
        <is>
          <t>2026-10-15 20:14:07</t>
        </is>
      </c>
      <c r="O477" s="91" t="n"/>
      <c r="P477" s="91" t="inlineStr">
        <is>
          <t>REWARDS VISA|20251224|-2767|CVSPHARMACY02210#1</t>
        </is>
      </c>
      <c r="Q477" s="92">
        <f>IF(AND(G477=RptMonth,F477="Expense",N(E477)&lt;0),-E477+ROW()/10000000,"")</f>
        <v/>
      </c>
    </row>
    <row r="478">
      <c r="A478" s="86" t="n">
        <v>46015</v>
      </c>
      <c r="B478" s="87" t="inlineStr">
        <is>
          <t>Rewards Visa</t>
        </is>
      </c>
      <c r="C478" s="87" t="inlineStr">
        <is>
          <t>TRADER JOE'S #548</t>
        </is>
      </c>
      <c r="D478" s="87" t="inlineStr">
        <is>
          <t>Groceries</t>
        </is>
      </c>
      <c r="E478" s="88" t="n">
        <v>-36.12</v>
      </c>
      <c r="F478" s="89">
        <f>IF(E478="","",IF(OR(D478="",D478="Uncategorized"),IF(E478&lt;0,"Expense","Income"),IFERROR(INDEX(Categories!$B$6:$B$65,MATCH(D478,Categories!$A$6:$A$65,0)),IF(E478&lt;0,"Expense","Income"))))</f>
        <v/>
      </c>
      <c r="G478" s="90">
        <f>IF(A478="","",DATE(YEAR(A478),MONTH(A478),1))</f>
        <v/>
      </c>
      <c r="H478" s="87" t="n"/>
      <c r="I478" s="87" t="n"/>
      <c r="J478" s="91" t="inlineStr">
        <is>
          <t>TRADER JOE'S #548</t>
        </is>
      </c>
      <c r="K478" s="91" t="inlineStr">
        <is>
          <t>Sample Card Co</t>
        </is>
      </c>
      <c r="L478" s="91" t="inlineStr">
        <is>
          <t>Credit Card</t>
        </is>
      </c>
      <c r="M478" s="91" t="inlineStr">
        <is>
          <t>Visa_Statement.csv</t>
        </is>
      </c>
      <c r="N478" s="91" t="inlineStr">
        <is>
          <t>2026-10-15 20:14:07</t>
        </is>
      </c>
      <c r="O478" s="91" t="n"/>
      <c r="P478" s="91" t="inlineStr">
        <is>
          <t>REWARDS VISA|20251224|-3612|TRADERJOES548#1</t>
        </is>
      </c>
      <c r="Q478" s="92">
        <f>IF(AND(G478=RptMonth,F478="Expense",N(E478)&lt;0),-E478+ROW()/10000000,"")</f>
        <v/>
      </c>
    </row>
    <row r="479">
      <c r="A479" s="86" t="n">
        <v>46012</v>
      </c>
      <c r="B479" s="87" t="inlineStr">
        <is>
          <t>Rewards Visa</t>
        </is>
      </c>
      <c r="C479" s="87" t="inlineStr">
        <is>
          <t>GREAT CLIPS #4410</t>
        </is>
      </c>
      <c r="D479" s="87" t="inlineStr">
        <is>
          <t>Personal Care</t>
        </is>
      </c>
      <c r="E479" s="88" t="n">
        <v>-27.25</v>
      </c>
      <c r="F479" s="89">
        <f>IF(E479="","",IF(OR(D479="",D479="Uncategorized"),IF(E479&lt;0,"Expense","Income"),IFERROR(INDEX(Categories!$B$6:$B$65,MATCH(D479,Categories!$A$6:$A$65,0)),IF(E479&lt;0,"Expense","Income"))))</f>
        <v/>
      </c>
      <c r="G479" s="90">
        <f>IF(A479="","",DATE(YEAR(A479),MONTH(A479),1))</f>
        <v/>
      </c>
      <c r="H479" s="87" t="n"/>
      <c r="I479" s="87" t="n"/>
      <c r="J479" s="91" t="inlineStr">
        <is>
          <t>GREAT CLIPS #4410</t>
        </is>
      </c>
      <c r="K479" s="91" t="inlineStr">
        <is>
          <t>Sample Card Co</t>
        </is>
      </c>
      <c r="L479" s="91" t="inlineStr">
        <is>
          <t>Credit Card</t>
        </is>
      </c>
      <c r="M479" s="91" t="inlineStr">
        <is>
          <t>Visa_Statement.csv</t>
        </is>
      </c>
      <c r="N479" s="91" t="inlineStr">
        <is>
          <t>2026-10-15 20:14:07</t>
        </is>
      </c>
      <c r="O479" s="91" t="n"/>
      <c r="P479" s="91" t="inlineStr">
        <is>
          <t>REWARDS VISA|20251221|-2725|GREATCLIPS4410#1</t>
        </is>
      </c>
      <c r="Q479" s="92">
        <f>IF(AND(G479=RptMonth,F479="Expense",N(E479)&lt;0),-E479+ROW()/10000000,"")</f>
        <v/>
      </c>
    </row>
    <row r="480">
      <c r="A480" s="86" t="n">
        <v>46011</v>
      </c>
      <c r="B480" s="87" t="inlineStr">
        <is>
          <t>Everyday Checking</t>
        </is>
      </c>
      <c r="C480" s="87" t="inlineStr">
        <is>
          <t>CREDIT CARD PAYMENT REWARDS VISA</t>
        </is>
      </c>
      <c r="D480" s="87" t="inlineStr">
        <is>
          <t>Credit Card Payment</t>
        </is>
      </c>
      <c r="E480" s="88" t="n">
        <v>-2419.68</v>
      </c>
      <c r="F480" s="89">
        <f>IF(E480="","",IF(OR(D480="",D480="Uncategorized"),IF(E480&lt;0,"Expense","Income"),IFERROR(INDEX(Categories!$B$6:$B$65,MATCH(D480,Categories!$A$6:$A$65,0)),IF(E480&lt;0,"Expense","Income"))))</f>
        <v/>
      </c>
      <c r="G480" s="90">
        <f>IF(A480="","",DATE(YEAR(A480),MONTH(A480),1))</f>
        <v/>
      </c>
      <c r="H480" s="87" t="n"/>
      <c r="I480" s="87" t="n"/>
      <c r="J480" s="91" t="inlineStr">
        <is>
          <t>CREDIT CARD PAYMENT REWARDS VISA</t>
        </is>
      </c>
      <c r="K480" s="91" t="inlineStr">
        <is>
          <t>Sample Bank</t>
        </is>
      </c>
      <c r="L480" s="91" t="inlineStr">
        <is>
          <t>Checking</t>
        </is>
      </c>
      <c r="M480" s="91" t="inlineStr">
        <is>
          <t>Checking_Activity.csv</t>
        </is>
      </c>
      <c r="N480" s="91" t="inlineStr">
        <is>
          <t>2026-10-15 20:14:07</t>
        </is>
      </c>
      <c r="O480" s="91" t="n"/>
      <c r="P480" s="91" t="inlineStr">
        <is>
          <t>EVERYDAY CHECKING|20251220|-241968|CREDITCARDPAYMENTREWARDSVISA#1</t>
        </is>
      </c>
      <c r="Q480" s="92">
        <f>IF(AND(G480=RptMonth,F480="Expense",N(E480)&lt;0),-E480+ROW()/10000000,"")</f>
        <v/>
      </c>
    </row>
    <row r="481">
      <c r="A481" s="86" t="n">
        <v>46011</v>
      </c>
      <c r="B481" s="87" t="inlineStr">
        <is>
          <t>Rewards Visa</t>
        </is>
      </c>
      <c r="C481" s="87" t="inlineStr">
        <is>
          <t>PAYMENT THANK YOU</t>
        </is>
      </c>
      <c r="D481" s="87" t="inlineStr">
        <is>
          <t>Credit Card Payment</t>
        </is>
      </c>
      <c r="E481" s="88" t="n">
        <v>2419.68</v>
      </c>
      <c r="F481" s="89">
        <f>IF(E481="","",IF(OR(D481="",D481="Uncategorized"),IF(E481&lt;0,"Expense","Income"),IFERROR(INDEX(Categories!$B$6:$B$65,MATCH(D481,Categories!$A$6:$A$65,0)),IF(E481&lt;0,"Expense","Income"))))</f>
        <v/>
      </c>
      <c r="G481" s="90">
        <f>IF(A481="","",DATE(YEAR(A481),MONTH(A481),1))</f>
        <v/>
      </c>
      <c r="H481" s="87" t="n"/>
      <c r="I481" s="87" t="n"/>
      <c r="J481" s="91" t="inlineStr">
        <is>
          <t>PAYMENT THANK YOU</t>
        </is>
      </c>
      <c r="K481" s="91" t="inlineStr">
        <is>
          <t>Sample Card Co</t>
        </is>
      </c>
      <c r="L481" s="91" t="inlineStr">
        <is>
          <t>Credit Card</t>
        </is>
      </c>
      <c r="M481" s="91" t="inlineStr">
        <is>
          <t>Visa_Statement.csv</t>
        </is>
      </c>
      <c r="N481" s="91" t="inlineStr">
        <is>
          <t>2026-10-15 20:14:07</t>
        </is>
      </c>
      <c r="O481" s="91" t="n"/>
      <c r="P481" s="91" t="inlineStr">
        <is>
          <t>REWARDS VISA|20251220|241968|PAYMENTTHANKYOU#1</t>
        </is>
      </c>
      <c r="Q481" s="92">
        <f>IF(AND(G481=RptMonth,F481="Expense",N(E481)&lt;0),-E481+ROW()/10000000,"")</f>
        <v/>
      </c>
    </row>
    <row r="482">
      <c r="A482" s="86" t="n">
        <v>46011</v>
      </c>
      <c r="B482" s="87" t="inlineStr">
        <is>
          <t>Rewards Visa</t>
        </is>
      </c>
      <c r="C482" s="87" t="inlineStr">
        <is>
          <t>SHOPRITE #0234</t>
        </is>
      </c>
      <c r="D482" s="87" t="inlineStr">
        <is>
          <t>Groceries</t>
        </is>
      </c>
      <c r="E482" s="88" t="n">
        <v>-143.34</v>
      </c>
      <c r="F482" s="89">
        <f>IF(E482="","",IF(OR(D482="",D482="Uncategorized"),IF(E482&lt;0,"Expense","Income"),IFERROR(INDEX(Categories!$B$6:$B$65,MATCH(D482,Categories!$A$6:$A$65,0)),IF(E482&lt;0,"Expense","Income"))))</f>
        <v/>
      </c>
      <c r="G482" s="90">
        <f>IF(A482="","",DATE(YEAR(A482),MONTH(A482),1))</f>
        <v/>
      </c>
      <c r="H482" s="87" t="n"/>
      <c r="I482" s="87" t="n"/>
      <c r="J482" s="91" t="inlineStr">
        <is>
          <t>SHOPRITE #0234</t>
        </is>
      </c>
      <c r="K482" s="91" t="inlineStr">
        <is>
          <t>Sample Card Co</t>
        </is>
      </c>
      <c r="L482" s="91" t="inlineStr">
        <is>
          <t>Credit Card</t>
        </is>
      </c>
      <c r="M482" s="91" t="inlineStr">
        <is>
          <t>Visa_Statement.csv</t>
        </is>
      </c>
      <c r="N482" s="91" t="inlineStr">
        <is>
          <t>2026-10-15 20:14:07</t>
        </is>
      </c>
      <c r="O482" s="91" t="n"/>
      <c r="P482" s="91" t="inlineStr">
        <is>
          <t>REWARDS VISA|20251220|-14334|SHOPRITE0234#1</t>
        </is>
      </c>
      <c r="Q482" s="92">
        <f>IF(AND(G482=RptMonth,F482="Expense",N(E482)&lt;0),-E482+ROW()/10000000,"")</f>
        <v/>
      </c>
    </row>
    <row r="483">
      <c r="A483" s="86" t="n">
        <v>46010</v>
      </c>
      <c r="B483" s="87" t="inlineStr">
        <is>
          <t>Rewards Visa</t>
        </is>
      </c>
      <c r="C483" s="87" t="inlineStr">
        <is>
          <t>HOME DEPOT #0911</t>
        </is>
      </c>
      <c r="D483" s="87" t="inlineStr">
        <is>
          <t>Home Improvement</t>
        </is>
      </c>
      <c r="E483" s="88" t="n">
        <v>-119.68</v>
      </c>
      <c r="F483" s="89">
        <f>IF(E483="","",IF(OR(D483="",D483="Uncategorized"),IF(E483&lt;0,"Expense","Income"),IFERROR(INDEX(Categories!$B$6:$B$65,MATCH(D483,Categories!$A$6:$A$65,0)),IF(E483&lt;0,"Expense","Income"))))</f>
        <v/>
      </c>
      <c r="G483" s="90">
        <f>IF(A483="","",DATE(YEAR(A483),MONTH(A483),1))</f>
        <v/>
      </c>
      <c r="H483" s="87" t="n"/>
      <c r="I483" s="87" t="n"/>
      <c r="J483" s="91" t="inlineStr">
        <is>
          <t>HOME DEPOT #0911</t>
        </is>
      </c>
      <c r="K483" s="91" t="inlineStr">
        <is>
          <t>Sample Card Co</t>
        </is>
      </c>
      <c r="L483" s="91" t="inlineStr">
        <is>
          <t>Credit Card</t>
        </is>
      </c>
      <c r="M483" s="91" t="inlineStr">
        <is>
          <t>Visa_Statement.csv</t>
        </is>
      </c>
      <c r="N483" s="91" t="inlineStr">
        <is>
          <t>2026-10-15 20:14:07</t>
        </is>
      </c>
      <c r="O483" s="91" t="n"/>
      <c r="P483" s="91" t="inlineStr">
        <is>
          <t>REWARDS VISA|20251219|-11968|HOMEDEPOT0911#1</t>
        </is>
      </c>
      <c r="Q483" s="92">
        <f>IF(AND(G483=RptMonth,F483="Expense",N(E483)&lt;0),-E483+ROW()/10000000,"")</f>
        <v/>
      </c>
    </row>
    <row r="484">
      <c r="A484" s="86" t="n">
        <v>46009</v>
      </c>
      <c r="B484" s="87" t="inlineStr">
        <is>
          <t>Everyday Checking</t>
        </is>
      </c>
      <c r="C484" s="87" t="inlineStr">
        <is>
          <t>SAMPLE LOAN SERVICER STUDENT LOAN</t>
        </is>
      </c>
      <c r="D484" s="87" t="inlineStr">
        <is>
          <t>Loan Payments</t>
        </is>
      </c>
      <c r="E484" s="88" t="n">
        <v>-260</v>
      </c>
      <c r="F484" s="89">
        <f>IF(E484="","",IF(OR(D484="",D484="Uncategorized"),IF(E484&lt;0,"Expense","Income"),IFERROR(INDEX(Categories!$B$6:$B$65,MATCH(D484,Categories!$A$6:$A$65,0)),IF(E484&lt;0,"Expense","Income"))))</f>
        <v/>
      </c>
      <c r="G484" s="90">
        <f>IF(A484="","",DATE(YEAR(A484),MONTH(A484),1))</f>
        <v/>
      </c>
      <c r="H484" s="87" t="n"/>
      <c r="I484" s="87" t="n"/>
      <c r="J484" s="91" t="inlineStr">
        <is>
          <t>SAMPLE LOAN SERVICER STUDENT LOAN</t>
        </is>
      </c>
      <c r="K484" s="91" t="inlineStr">
        <is>
          <t>Sample Bank</t>
        </is>
      </c>
      <c r="L484" s="91" t="inlineStr">
        <is>
          <t>Checking</t>
        </is>
      </c>
      <c r="M484" s="91" t="inlineStr">
        <is>
          <t>Checking_Activity.csv</t>
        </is>
      </c>
      <c r="N484" s="91" t="inlineStr">
        <is>
          <t>2026-10-15 20:14:07</t>
        </is>
      </c>
      <c r="O484" s="91" t="n"/>
      <c r="P484" s="91" t="inlineStr">
        <is>
          <t>EVERYDAY CHECKING|20251218|-26000|SAMPLELOANSERVICERSTUDENTLOAN#1</t>
        </is>
      </c>
      <c r="Q484" s="92">
        <f>IF(AND(G484=RptMonth,F484="Expense",N(E484)&lt;0),-E484+ROW()/10000000,"")</f>
        <v/>
      </c>
    </row>
    <row r="485">
      <c r="A485" s="86" t="n">
        <v>46009</v>
      </c>
      <c r="B485" s="87" t="inlineStr">
        <is>
          <t>Rewards Visa</t>
        </is>
      </c>
      <c r="C485" s="87" t="inlineStr">
        <is>
          <t>UNITED AIRLINES</t>
        </is>
      </c>
      <c r="D485" s="87" t="inlineStr">
        <is>
          <t>Travel</t>
        </is>
      </c>
      <c r="E485" s="88" t="n">
        <v>-386.4</v>
      </c>
      <c r="F485" s="89">
        <f>IF(E485="","",IF(OR(D485="",D485="Uncategorized"),IF(E485&lt;0,"Expense","Income"),IFERROR(INDEX(Categories!$B$6:$B$65,MATCH(D485,Categories!$A$6:$A$65,0)),IF(E485&lt;0,"Expense","Income"))))</f>
        <v/>
      </c>
      <c r="G485" s="90">
        <f>IF(A485="","",DATE(YEAR(A485),MONTH(A485),1))</f>
        <v/>
      </c>
      <c r="H485" s="87" t="n"/>
      <c r="I485" s="87" t="n"/>
      <c r="J485" s="91" t="inlineStr">
        <is>
          <t>UNITED AIRLINES</t>
        </is>
      </c>
      <c r="K485" s="91" t="inlineStr">
        <is>
          <t>Sample Card Co</t>
        </is>
      </c>
      <c r="L485" s="91" t="inlineStr">
        <is>
          <t>Credit Card</t>
        </is>
      </c>
      <c r="M485" s="91" t="inlineStr">
        <is>
          <t>Visa_Statement.csv</t>
        </is>
      </c>
      <c r="N485" s="91" t="inlineStr">
        <is>
          <t>2026-10-15 20:14:07</t>
        </is>
      </c>
      <c r="O485" s="91" t="n"/>
      <c r="P485" s="91" t="inlineStr">
        <is>
          <t>REWARDS VISA|20251218|-38640|UNITEDAIRLINES#1</t>
        </is>
      </c>
      <c r="Q485" s="92">
        <f>IF(AND(G485=RptMonth,F485="Expense",N(E485)&lt;0),-E485+ROW()/10000000,"")</f>
        <v/>
      </c>
    </row>
    <row r="486">
      <c r="A486" s="86" t="n">
        <v>46008</v>
      </c>
      <c r="B486" s="87" t="inlineStr">
        <is>
          <t>Rewards Visa</t>
        </is>
      </c>
      <c r="C486" s="87" t="inlineStr">
        <is>
          <t>SUSHI KOO</t>
        </is>
      </c>
      <c r="D486" s="87" t="inlineStr">
        <is>
          <t>Dining Out</t>
        </is>
      </c>
      <c r="E486" s="88" t="n">
        <v>-15.51</v>
      </c>
      <c r="F486" s="89">
        <f>IF(E486="","",IF(OR(D486="",D486="Uncategorized"),IF(E486&lt;0,"Expense","Income"),IFERROR(INDEX(Categories!$B$6:$B$65,MATCH(D486,Categories!$A$6:$A$65,0)),IF(E486&lt;0,"Expense","Income"))))</f>
        <v/>
      </c>
      <c r="G486" s="90">
        <f>IF(A486="","",DATE(YEAR(A486),MONTH(A486),1))</f>
        <v/>
      </c>
      <c r="H486" s="87" t="n"/>
      <c r="I486" s="87" t="n"/>
      <c r="J486" s="91" t="inlineStr">
        <is>
          <t>SUSHI KOO</t>
        </is>
      </c>
      <c r="K486" s="91" t="inlineStr">
        <is>
          <t>Sample Card Co</t>
        </is>
      </c>
      <c r="L486" s="91" t="inlineStr">
        <is>
          <t>Credit Card</t>
        </is>
      </c>
      <c r="M486" s="91" t="inlineStr">
        <is>
          <t>Visa_Statement.csv</t>
        </is>
      </c>
      <c r="N486" s="91" t="inlineStr">
        <is>
          <t>2026-10-15 20:14:07</t>
        </is>
      </c>
      <c r="O486" s="91" t="n"/>
      <c r="P486" s="91" t="inlineStr">
        <is>
          <t>REWARDS VISA|20251217|-1551|SUSHIKOO#1</t>
        </is>
      </c>
      <c r="Q486" s="92">
        <f>IF(AND(G486=RptMonth,F486="Expense",N(E486)&lt;0),-E486+ROW()/10000000,"")</f>
        <v/>
      </c>
    </row>
    <row r="487">
      <c r="A487" s="86" t="n">
        <v>46008</v>
      </c>
      <c r="B487" s="87" t="inlineStr">
        <is>
          <t>Rewards Visa</t>
        </is>
      </c>
      <c r="C487" s="87" t="inlineStr">
        <is>
          <t>WHOLE FOODS MARKET #10312</t>
        </is>
      </c>
      <c r="D487" s="87" t="inlineStr">
        <is>
          <t>Groceries</t>
        </is>
      </c>
      <c r="E487" s="88" t="n">
        <v>-45.96</v>
      </c>
      <c r="F487" s="89">
        <f>IF(E487="","",IF(OR(D487="",D487="Uncategorized"),IF(E487&lt;0,"Expense","Income"),IFERROR(INDEX(Categories!$B$6:$B$65,MATCH(D487,Categories!$A$6:$A$65,0)),IF(E487&lt;0,"Expense","Income"))))</f>
        <v/>
      </c>
      <c r="G487" s="90">
        <f>IF(A487="","",DATE(YEAR(A487),MONTH(A487),1))</f>
        <v/>
      </c>
      <c r="H487" s="87" t="n"/>
      <c r="I487" s="87" t="n"/>
      <c r="J487" s="91" t="inlineStr">
        <is>
          <t>WHOLE FOODS MARKET #10312</t>
        </is>
      </c>
      <c r="K487" s="91" t="inlineStr">
        <is>
          <t>Sample Card Co</t>
        </is>
      </c>
      <c r="L487" s="91" t="inlineStr">
        <is>
          <t>Credit Card</t>
        </is>
      </c>
      <c r="M487" s="91" t="inlineStr">
        <is>
          <t>Visa_Statement.csv</t>
        </is>
      </c>
      <c r="N487" s="91" t="inlineStr">
        <is>
          <t>2026-10-15 20:14:07</t>
        </is>
      </c>
      <c r="O487" s="91" t="n"/>
      <c r="P487" s="91" t="inlineStr">
        <is>
          <t>REWARDS VISA|20251217|-4596|WHOLEFOODSMARKET10312#1</t>
        </is>
      </c>
      <c r="Q487" s="92">
        <f>IF(AND(G487=RptMonth,F487="Expense",N(E487)&lt;0),-E487+ROW()/10000000,"")</f>
        <v/>
      </c>
    </row>
    <row r="488">
      <c r="A488" s="86" t="n">
        <v>46007</v>
      </c>
      <c r="B488" s="87" t="inlineStr">
        <is>
          <t>Rewards Visa</t>
        </is>
      </c>
      <c r="C488" s="87" t="inlineStr">
        <is>
          <t>EXXONMOBIL 4471</t>
        </is>
      </c>
      <c r="D488" s="87" t="inlineStr">
        <is>
          <t>Gas &amp; Fuel</t>
        </is>
      </c>
      <c r="E488" s="88" t="n">
        <v>-41.67</v>
      </c>
      <c r="F488" s="89">
        <f>IF(E488="","",IF(OR(D488="",D488="Uncategorized"),IF(E488&lt;0,"Expense","Income"),IFERROR(INDEX(Categories!$B$6:$B$65,MATCH(D488,Categories!$A$6:$A$65,0)),IF(E488&lt;0,"Expense","Income"))))</f>
        <v/>
      </c>
      <c r="G488" s="90">
        <f>IF(A488="","",DATE(YEAR(A488),MONTH(A488),1))</f>
        <v/>
      </c>
      <c r="H488" s="87" t="n"/>
      <c r="I488" s="87" t="n"/>
      <c r="J488" s="91" t="inlineStr">
        <is>
          <t>EXXONMOBIL 4471</t>
        </is>
      </c>
      <c r="K488" s="91" t="inlineStr">
        <is>
          <t>Sample Card Co</t>
        </is>
      </c>
      <c r="L488" s="91" t="inlineStr">
        <is>
          <t>Credit Card</t>
        </is>
      </c>
      <c r="M488" s="91" t="inlineStr">
        <is>
          <t>Visa_Statement.csv</t>
        </is>
      </c>
      <c r="N488" s="91" t="inlineStr">
        <is>
          <t>2026-10-15 20:14:07</t>
        </is>
      </c>
      <c r="O488" s="91" t="n"/>
      <c r="P488" s="91" t="inlineStr">
        <is>
          <t>REWARDS VISA|20251216|-4167|EXXONMOBIL4471#1</t>
        </is>
      </c>
      <c r="Q488" s="92">
        <f>IF(AND(G488=RptMonth,F488="Expense",N(E488)&lt;0),-E488+ROW()/10000000,"")</f>
        <v/>
      </c>
    </row>
    <row r="489">
      <c r="A489" s="86" t="n">
        <v>46007</v>
      </c>
      <c r="B489" s="87" t="inlineStr">
        <is>
          <t>Rewards Visa</t>
        </is>
      </c>
      <c r="C489" s="87" t="inlineStr">
        <is>
          <t>PLANET FITNESS</t>
        </is>
      </c>
      <c r="D489" s="87" t="inlineStr">
        <is>
          <t>Health &amp; Fitness</t>
        </is>
      </c>
      <c r="E489" s="88" t="n">
        <v>-24.99</v>
      </c>
      <c r="F489" s="89">
        <f>IF(E489="","",IF(OR(D489="",D489="Uncategorized"),IF(E489&lt;0,"Expense","Income"),IFERROR(INDEX(Categories!$B$6:$B$65,MATCH(D489,Categories!$A$6:$A$65,0)),IF(E489&lt;0,"Expense","Income"))))</f>
        <v/>
      </c>
      <c r="G489" s="90">
        <f>IF(A489="","",DATE(YEAR(A489),MONTH(A489),1))</f>
        <v/>
      </c>
      <c r="H489" s="87" t="n"/>
      <c r="I489" s="87" t="n"/>
      <c r="J489" s="91" t="inlineStr">
        <is>
          <t>PLANET FITNESS</t>
        </is>
      </c>
      <c r="K489" s="91" t="inlineStr">
        <is>
          <t>Sample Card Co</t>
        </is>
      </c>
      <c r="L489" s="91" t="inlineStr">
        <is>
          <t>Credit Card</t>
        </is>
      </c>
      <c r="M489" s="91" t="inlineStr">
        <is>
          <t>Visa_Statement.csv</t>
        </is>
      </c>
      <c r="N489" s="91" t="inlineStr">
        <is>
          <t>2026-10-15 20:14:07</t>
        </is>
      </c>
      <c r="O489" s="91" t="n"/>
      <c r="P489" s="91" t="inlineStr">
        <is>
          <t>REWARDS VISA|20251216|-2499|PLANETFITNESS#1</t>
        </is>
      </c>
      <c r="Q489" s="92">
        <f>IF(AND(G489=RptMonth,F489="Expense",N(E489)&lt;0),-E489+ROW()/10000000,"")</f>
        <v/>
      </c>
    </row>
    <row r="490">
      <c r="A490" s="86" t="n">
        <v>46006</v>
      </c>
      <c r="B490" s="87" t="inlineStr">
        <is>
          <t>Everyday Checking</t>
        </is>
      </c>
      <c r="C490" s="87" t="inlineStr">
        <is>
          <t>XFINITY INTERNET</t>
        </is>
      </c>
      <c r="D490" s="87" t="inlineStr">
        <is>
          <t>Phone &amp; Internet</t>
        </is>
      </c>
      <c r="E490" s="88" t="n">
        <v>-79.98999999999999</v>
      </c>
      <c r="F490" s="89">
        <f>IF(E490="","",IF(OR(D490="",D490="Uncategorized"),IF(E490&lt;0,"Expense","Income"),IFERROR(INDEX(Categories!$B$6:$B$65,MATCH(D490,Categories!$A$6:$A$65,0)),IF(E490&lt;0,"Expense","Income"))))</f>
        <v/>
      </c>
      <c r="G490" s="90">
        <f>IF(A490="","",DATE(YEAR(A490),MONTH(A490),1))</f>
        <v/>
      </c>
      <c r="H490" s="87" t="n"/>
      <c r="I490" s="87" t="n"/>
      <c r="J490" s="91" t="inlineStr">
        <is>
          <t>XFINITY INTERNET</t>
        </is>
      </c>
      <c r="K490" s="91" t="inlineStr">
        <is>
          <t>Sample Bank</t>
        </is>
      </c>
      <c r="L490" s="91" t="inlineStr">
        <is>
          <t>Checking</t>
        </is>
      </c>
      <c r="M490" s="91" t="inlineStr">
        <is>
          <t>Checking_Activity.csv</t>
        </is>
      </c>
      <c r="N490" s="91" t="inlineStr">
        <is>
          <t>2026-10-15 20:14:07</t>
        </is>
      </c>
      <c r="O490" s="91" t="n"/>
      <c r="P490" s="91" t="inlineStr">
        <is>
          <t>EVERYDAY CHECKING|20251215|-7999|XFINITYINTERNET#1</t>
        </is>
      </c>
      <c r="Q490" s="92">
        <f>IF(AND(G490=RptMonth,F490="Expense",N(E490)&lt;0),-E490+ROW()/10000000,"")</f>
        <v/>
      </c>
    </row>
    <row r="491">
      <c r="A491" s="86" t="n">
        <v>46005</v>
      </c>
      <c r="B491" s="87" t="inlineStr">
        <is>
          <t>Everyday Checking</t>
        </is>
      </c>
      <c r="C491" s="87" t="inlineStr">
        <is>
          <t>CITY WATER UTILITY</t>
        </is>
      </c>
      <c r="D491" s="87" t="inlineStr">
        <is>
          <t>Utilities</t>
        </is>
      </c>
      <c r="E491" s="88" t="n">
        <v>-68.29000000000001</v>
      </c>
      <c r="F491" s="89">
        <f>IF(E491="","",IF(OR(D491="",D491="Uncategorized"),IF(E491&lt;0,"Expense","Income"),IFERROR(INDEX(Categories!$B$6:$B$65,MATCH(D491,Categories!$A$6:$A$65,0)),IF(E491&lt;0,"Expense","Income"))))</f>
        <v/>
      </c>
      <c r="G491" s="90">
        <f>IF(A491="","",DATE(YEAR(A491),MONTH(A491),1))</f>
        <v/>
      </c>
      <c r="H491" s="87" t="n"/>
      <c r="I491" s="87" t="n"/>
      <c r="J491" s="91" t="inlineStr">
        <is>
          <t>CITY WATER UTILITY</t>
        </is>
      </c>
      <c r="K491" s="91" t="inlineStr">
        <is>
          <t>Sample Bank</t>
        </is>
      </c>
      <c r="L491" s="91" t="inlineStr">
        <is>
          <t>Checking</t>
        </is>
      </c>
      <c r="M491" s="91" t="inlineStr">
        <is>
          <t>Checking_Activity.csv</t>
        </is>
      </c>
      <c r="N491" s="91" t="inlineStr">
        <is>
          <t>2026-10-15 20:14:07</t>
        </is>
      </c>
      <c r="O491" s="91" t="n"/>
      <c r="P491" s="91" t="inlineStr">
        <is>
          <t>EVERYDAY CHECKING|20251214|-6829|CITYWATERUTILITY#1</t>
        </is>
      </c>
      <c r="Q491" s="92">
        <f>IF(AND(G491=RptMonth,F491="Expense",N(E491)&lt;0),-E491+ROW()/10000000,"")</f>
        <v/>
      </c>
    </row>
    <row r="492">
      <c r="A492" s="86" t="n">
        <v>46004</v>
      </c>
      <c r="B492" s="87" t="inlineStr">
        <is>
          <t>Rewards Visa</t>
        </is>
      </c>
      <c r="C492" s="87" t="inlineStr">
        <is>
          <t>MACY'S #0442</t>
        </is>
      </c>
      <c r="D492" s="87" t="inlineStr">
        <is>
          <t>Shopping</t>
        </is>
      </c>
      <c r="E492" s="88" t="n">
        <v>-188.2</v>
      </c>
      <c r="F492" s="89">
        <f>IF(E492="","",IF(OR(D492="",D492="Uncategorized"),IF(E492&lt;0,"Expense","Income"),IFERROR(INDEX(Categories!$B$6:$B$65,MATCH(D492,Categories!$A$6:$A$65,0)),IF(E492&lt;0,"Expense","Income"))))</f>
        <v/>
      </c>
      <c r="G492" s="90">
        <f>IF(A492="","",DATE(YEAR(A492),MONTH(A492),1))</f>
        <v/>
      </c>
      <c r="H492" s="87" t="n"/>
      <c r="I492" s="87" t="n"/>
      <c r="J492" s="91" t="inlineStr">
        <is>
          <t>MACY'S #0442</t>
        </is>
      </c>
      <c r="K492" s="91" t="inlineStr">
        <is>
          <t>Sample Card Co</t>
        </is>
      </c>
      <c r="L492" s="91" t="inlineStr">
        <is>
          <t>Credit Card</t>
        </is>
      </c>
      <c r="M492" s="91" t="inlineStr">
        <is>
          <t>Visa_Statement.csv</t>
        </is>
      </c>
      <c r="N492" s="91" t="inlineStr">
        <is>
          <t>2026-10-15 20:14:07</t>
        </is>
      </c>
      <c r="O492" s="91" t="n"/>
      <c r="P492" s="91" t="inlineStr">
        <is>
          <t>REWARDS VISA|20251213|-18820|MACYS0442#1</t>
        </is>
      </c>
      <c r="Q492" s="92">
        <f>IF(AND(G492=RptMonth,F492="Expense",N(E492)&lt;0),-E492+ROW()/10000000,"")</f>
        <v/>
      </c>
    </row>
    <row r="493">
      <c r="A493" s="86" t="n">
        <v>46004</v>
      </c>
      <c r="B493" s="87" t="inlineStr">
        <is>
          <t>Rewards Visa</t>
        </is>
      </c>
      <c r="C493" s="87" t="inlineStr">
        <is>
          <t>WHOLE FOODS MARKET #10312</t>
        </is>
      </c>
      <c r="D493" s="87" t="inlineStr">
        <is>
          <t>Groceries</t>
        </is>
      </c>
      <c r="E493" s="88" t="n">
        <v>-138.41</v>
      </c>
      <c r="F493" s="89">
        <f>IF(E493="","",IF(OR(D493="",D493="Uncategorized"),IF(E493&lt;0,"Expense","Income"),IFERROR(INDEX(Categories!$B$6:$B$65,MATCH(D493,Categories!$A$6:$A$65,0)),IF(E493&lt;0,"Expense","Income"))))</f>
        <v/>
      </c>
      <c r="G493" s="90">
        <f>IF(A493="","",DATE(YEAR(A493),MONTH(A493),1))</f>
        <v/>
      </c>
      <c r="H493" s="87" t="n"/>
      <c r="I493" s="87" t="n"/>
      <c r="J493" s="91" t="inlineStr">
        <is>
          <t>WHOLE FOODS MARKET #10312</t>
        </is>
      </c>
      <c r="K493" s="91" t="inlineStr">
        <is>
          <t>Sample Card Co</t>
        </is>
      </c>
      <c r="L493" s="91" t="inlineStr">
        <is>
          <t>Credit Card</t>
        </is>
      </c>
      <c r="M493" s="91" t="inlineStr">
        <is>
          <t>Visa_Statement.csv</t>
        </is>
      </c>
      <c r="N493" s="91" t="inlineStr">
        <is>
          <t>2026-10-15 20:14:07</t>
        </is>
      </c>
      <c r="O493" s="91" t="n"/>
      <c r="P493" s="91" t="inlineStr">
        <is>
          <t>REWARDS VISA|20251213|-13841|WHOLEFOODSMARKET10312#1</t>
        </is>
      </c>
      <c r="Q493" s="92">
        <f>IF(AND(G493=RptMonth,F493="Expense",N(E493)&lt;0),-E493+ROW()/10000000,"")</f>
        <v/>
      </c>
    </row>
    <row r="494">
      <c r="A494" s="86" t="n">
        <v>46003</v>
      </c>
      <c r="B494" s="87" t="inlineStr">
        <is>
          <t>Everyday Checking</t>
        </is>
      </c>
      <c r="C494" s="87" t="inlineStr">
        <is>
          <t>ACME CORP PAYROLL DIR DEP</t>
        </is>
      </c>
      <c r="D494" s="87" t="inlineStr">
        <is>
          <t>Salary</t>
        </is>
      </c>
      <c r="E494" s="88" t="n">
        <v>3352.18</v>
      </c>
      <c r="F494" s="89">
        <f>IF(E494="","",IF(OR(D494="",D494="Uncategorized"),IF(E494&lt;0,"Expense","Income"),IFERROR(INDEX(Categories!$B$6:$B$65,MATCH(D494,Categories!$A$6:$A$65,0)),IF(E494&lt;0,"Expense","Income"))))</f>
        <v/>
      </c>
      <c r="G494" s="90">
        <f>IF(A494="","",DATE(YEAR(A494),MONTH(A494),1))</f>
        <v/>
      </c>
      <c r="H494" s="87" t="n"/>
      <c r="I494" s="87" t="n"/>
      <c r="J494" s="91" t="inlineStr">
        <is>
          <t>ACME CORP PAYROLL DIR DEP</t>
        </is>
      </c>
      <c r="K494" s="91" t="inlineStr">
        <is>
          <t>Sample Bank</t>
        </is>
      </c>
      <c r="L494" s="91" t="inlineStr">
        <is>
          <t>Checking</t>
        </is>
      </c>
      <c r="M494" s="91" t="inlineStr">
        <is>
          <t>Checking_Activity.csv</t>
        </is>
      </c>
      <c r="N494" s="91" t="inlineStr">
        <is>
          <t>2026-10-15 20:14:07</t>
        </is>
      </c>
      <c r="O494" s="91" t="n"/>
      <c r="P494" s="91" t="inlineStr">
        <is>
          <t>EVERYDAY CHECKING|20251212|335218|ACMECORPPAYROLLDIRDEP#1</t>
        </is>
      </c>
      <c r="Q494" s="92">
        <f>IF(AND(G494=RptMonth,F494="Expense",N(E494)&lt;0),-E494+ROW()/10000000,"")</f>
        <v/>
      </c>
    </row>
    <row r="495">
      <c r="A495" s="86" t="n">
        <v>46003</v>
      </c>
      <c r="B495" s="87" t="inlineStr">
        <is>
          <t>Everyday Checking</t>
        </is>
      </c>
      <c r="C495" s="87" t="inlineStr">
        <is>
          <t>VERIZON WIRELESS</t>
        </is>
      </c>
      <c r="D495" s="87" t="inlineStr">
        <is>
          <t>Phone &amp; Internet</t>
        </is>
      </c>
      <c r="E495" s="88" t="n">
        <v>-95</v>
      </c>
      <c r="F495" s="89">
        <f>IF(E495="","",IF(OR(D495="",D495="Uncategorized"),IF(E495&lt;0,"Expense","Income"),IFERROR(INDEX(Categories!$B$6:$B$65,MATCH(D495,Categories!$A$6:$A$65,0)),IF(E495&lt;0,"Expense","Income"))))</f>
        <v/>
      </c>
      <c r="G495" s="90">
        <f>IF(A495="","",DATE(YEAR(A495),MONTH(A495),1))</f>
        <v/>
      </c>
      <c r="H495" s="87" t="n"/>
      <c r="I495" s="87" t="n"/>
      <c r="J495" s="91" t="inlineStr">
        <is>
          <t>VERIZON WIRELESS</t>
        </is>
      </c>
      <c r="K495" s="91" t="inlineStr">
        <is>
          <t>Sample Bank</t>
        </is>
      </c>
      <c r="L495" s="91" t="inlineStr">
        <is>
          <t>Checking</t>
        </is>
      </c>
      <c r="M495" s="91" t="inlineStr">
        <is>
          <t>Checking_Activity.csv</t>
        </is>
      </c>
      <c r="N495" s="91" t="inlineStr">
        <is>
          <t>2026-10-15 20:14:07</t>
        </is>
      </c>
      <c r="O495" s="91" t="n"/>
      <c r="P495" s="91" t="inlineStr">
        <is>
          <t>EVERYDAY CHECKING|20251212|-9500|VERIZONWIRELESS#1</t>
        </is>
      </c>
      <c r="Q495" s="92">
        <f>IF(AND(G495=RptMonth,F495="Expense",N(E495)&lt;0),-E495+ROW()/10000000,"")</f>
        <v/>
      </c>
    </row>
    <row r="496">
      <c r="A496" s="86" t="n">
        <v>46002</v>
      </c>
      <c r="B496" s="87" t="inlineStr">
        <is>
          <t>Rewards Visa</t>
        </is>
      </c>
      <c r="C496" s="87" t="inlineStr">
        <is>
          <t>APPLE.COM/BILL</t>
        </is>
      </c>
      <c r="D496" s="87" t="inlineStr">
        <is>
          <t>Subscriptions</t>
        </is>
      </c>
      <c r="E496" s="88" t="n">
        <v>-2.99</v>
      </c>
      <c r="F496" s="89">
        <f>IF(E496="","",IF(OR(D496="",D496="Uncategorized"),IF(E496&lt;0,"Expense","Income"),IFERROR(INDEX(Categories!$B$6:$B$65,MATCH(D496,Categories!$A$6:$A$65,0)),IF(E496&lt;0,"Expense","Income"))))</f>
        <v/>
      </c>
      <c r="G496" s="90">
        <f>IF(A496="","",DATE(YEAR(A496),MONTH(A496),1))</f>
        <v/>
      </c>
      <c r="H496" s="87" t="n"/>
      <c r="I496" s="87" t="n"/>
      <c r="J496" s="91" t="inlineStr">
        <is>
          <t>APPLE.COM/BILL</t>
        </is>
      </c>
      <c r="K496" s="91" t="inlineStr">
        <is>
          <t>Sample Card Co</t>
        </is>
      </c>
      <c r="L496" s="91" t="inlineStr">
        <is>
          <t>Credit Card</t>
        </is>
      </c>
      <c r="M496" s="91" t="inlineStr">
        <is>
          <t>Visa_Statement.csv</t>
        </is>
      </c>
      <c r="N496" s="91" t="inlineStr">
        <is>
          <t>2026-10-15 20:14:07</t>
        </is>
      </c>
      <c r="O496" s="91" t="n"/>
      <c r="P496" s="91" t="inlineStr">
        <is>
          <t>REWARDS VISA|20251211|-299|APPLECOMBILL#1</t>
        </is>
      </c>
      <c r="Q496" s="92">
        <f>IF(AND(G496=RptMonth,F496="Expense",N(E496)&lt;0),-E496+ROW()/10000000,"")</f>
        <v/>
      </c>
    </row>
    <row r="497">
      <c r="A497" s="86" t="n">
        <v>46002</v>
      </c>
      <c r="B497" s="87" t="inlineStr">
        <is>
          <t>Rewards Visa</t>
        </is>
      </c>
      <c r="C497" s="87" t="inlineStr">
        <is>
          <t>TARGET 00012345</t>
        </is>
      </c>
      <c r="D497" s="87" t="inlineStr">
        <is>
          <t>Shopping</t>
        </is>
      </c>
      <c r="E497" s="88" t="n">
        <v>-30.84</v>
      </c>
      <c r="F497" s="89">
        <f>IF(E497="","",IF(OR(D497="",D497="Uncategorized"),IF(E497&lt;0,"Expense","Income"),IFERROR(INDEX(Categories!$B$6:$B$65,MATCH(D497,Categories!$A$6:$A$65,0)),IF(E497&lt;0,"Expense","Income"))))</f>
        <v/>
      </c>
      <c r="G497" s="90">
        <f>IF(A497="","",DATE(YEAR(A497),MONTH(A497),1))</f>
        <v/>
      </c>
      <c r="H497" s="87" t="n"/>
      <c r="I497" s="87" t="n"/>
      <c r="J497" s="91" t="inlineStr">
        <is>
          <t>TARGET 00012345</t>
        </is>
      </c>
      <c r="K497" s="91" t="inlineStr">
        <is>
          <t>Sample Card Co</t>
        </is>
      </c>
      <c r="L497" s="91" t="inlineStr">
        <is>
          <t>Credit Card</t>
        </is>
      </c>
      <c r="M497" s="91" t="inlineStr">
        <is>
          <t>Visa_Statement.csv</t>
        </is>
      </c>
      <c r="N497" s="91" t="inlineStr">
        <is>
          <t>2026-10-15 20:14:07</t>
        </is>
      </c>
      <c r="O497" s="91" t="n"/>
      <c r="P497" s="91" t="inlineStr">
        <is>
          <t>REWARDS VISA|20251211|-3084|TARGET00012345#1</t>
        </is>
      </c>
      <c r="Q497" s="92">
        <f>IF(AND(G497=RptMonth,F497="Expense",N(E497)&lt;0),-E497+ROW()/10000000,"")</f>
        <v/>
      </c>
    </row>
    <row r="498">
      <c r="A498" s="86" t="n">
        <v>46001</v>
      </c>
      <c r="B498" s="87" t="inlineStr">
        <is>
          <t>Everyday Checking</t>
        </is>
      </c>
      <c r="C498" s="87" t="inlineStr">
        <is>
          <t>SAMPLE AUTO FINANCE PMT</t>
        </is>
      </c>
      <c r="D498" s="87" t="inlineStr">
        <is>
          <t>Auto Payment</t>
        </is>
      </c>
      <c r="E498" s="88" t="n">
        <v>-385</v>
      </c>
      <c r="F498" s="89">
        <f>IF(E498="","",IF(OR(D498="",D498="Uncategorized"),IF(E498&lt;0,"Expense","Income"),IFERROR(INDEX(Categories!$B$6:$B$65,MATCH(D498,Categories!$A$6:$A$65,0)),IF(E498&lt;0,"Expense","Income"))))</f>
        <v/>
      </c>
      <c r="G498" s="90">
        <f>IF(A498="","",DATE(YEAR(A498),MONTH(A498),1))</f>
        <v/>
      </c>
      <c r="H498" s="87" t="n"/>
      <c r="I498" s="87" t="n"/>
      <c r="J498" s="91" t="inlineStr">
        <is>
          <t>SAMPLE AUTO FINANCE PMT</t>
        </is>
      </c>
      <c r="K498" s="91" t="inlineStr">
        <is>
          <t>Sample Bank</t>
        </is>
      </c>
      <c r="L498" s="91" t="inlineStr">
        <is>
          <t>Checking</t>
        </is>
      </c>
      <c r="M498" s="91" t="inlineStr">
        <is>
          <t>Checking_Activity.csv</t>
        </is>
      </c>
      <c r="N498" s="91" t="inlineStr">
        <is>
          <t>2026-10-15 20:14:07</t>
        </is>
      </c>
      <c r="O498" s="91" t="n"/>
      <c r="P498" s="91" t="inlineStr">
        <is>
          <t>EVERYDAY CHECKING|20251210|-38500|SAMPLEAUTOFINANCEPMT#1</t>
        </is>
      </c>
      <c r="Q498" s="92">
        <f>IF(AND(G498=RptMonth,F498="Expense",N(E498)&lt;0),-E498+ROW()/10000000,"")</f>
        <v/>
      </c>
    </row>
    <row r="499">
      <c r="A499" s="86" t="n">
        <v>46000</v>
      </c>
      <c r="B499" s="87" t="inlineStr">
        <is>
          <t>Everyday Checking</t>
        </is>
      </c>
      <c r="C499" s="87" t="inlineStr">
        <is>
          <t>NJ NATURAL GAS PAYMENT</t>
        </is>
      </c>
      <c r="D499" s="87" t="inlineStr">
        <is>
          <t>Utilities</t>
        </is>
      </c>
      <c r="E499" s="88" t="n">
        <v>-162.11</v>
      </c>
      <c r="F499" s="89">
        <f>IF(E499="","",IF(OR(D499="",D499="Uncategorized"),IF(E499&lt;0,"Expense","Income"),IFERROR(INDEX(Categories!$B$6:$B$65,MATCH(D499,Categories!$A$6:$A$65,0)),IF(E499&lt;0,"Expense","Income"))))</f>
        <v/>
      </c>
      <c r="G499" s="90">
        <f>IF(A499="","",DATE(YEAR(A499),MONTH(A499),1))</f>
        <v/>
      </c>
      <c r="H499" s="87" t="n"/>
      <c r="I499" s="87" t="n"/>
      <c r="J499" s="91" t="inlineStr">
        <is>
          <t>NJ NATURAL GAS PAYMENT</t>
        </is>
      </c>
      <c r="K499" s="91" t="inlineStr">
        <is>
          <t>Sample Bank</t>
        </is>
      </c>
      <c r="L499" s="91" t="inlineStr">
        <is>
          <t>Checking</t>
        </is>
      </c>
      <c r="M499" s="91" t="inlineStr">
        <is>
          <t>Checking_Activity.csv</t>
        </is>
      </c>
      <c r="N499" s="91" t="inlineStr">
        <is>
          <t>2026-10-15 20:14:07</t>
        </is>
      </c>
      <c r="O499" s="91" t="n"/>
      <c r="P499" s="91" t="inlineStr">
        <is>
          <t>EVERYDAY CHECKING|20251209|-16211|NJNATURALGASPAYMENT#1</t>
        </is>
      </c>
      <c r="Q499" s="92">
        <f>IF(AND(G499=RptMonth,F499="Expense",N(E499)&lt;0),-E499+ROW()/10000000,"")</f>
        <v/>
      </c>
    </row>
    <row r="500">
      <c r="A500" s="86" t="n">
        <v>46000</v>
      </c>
      <c r="B500" s="87" t="inlineStr">
        <is>
          <t>Rewards Visa</t>
        </is>
      </c>
      <c r="C500" s="87" t="inlineStr">
        <is>
          <t>SHELL OIL 57444</t>
        </is>
      </c>
      <c r="D500" s="87" t="inlineStr">
        <is>
          <t>Gas &amp; Fuel</t>
        </is>
      </c>
      <c r="E500" s="88" t="n">
        <v>-47.86</v>
      </c>
      <c r="F500" s="89">
        <f>IF(E500="","",IF(OR(D500="",D500="Uncategorized"),IF(E500&lt;0,"Expense","Income"),IFERROR(INDEX(Categories!$B$6:$B$65,MATCH(D500,Categories!$A$6:$A$65,0)),IF(E500&lt;0,"Expense","Income"))))</f>
        <v/>
      </c>
      <c r="G500" s="90">
        <f>IF(A500="","",DATE(YEAR(A500),MONTH(A500),1))</f>
        <v/>
      </c>
      <c r="H500" s="87" t="n"/>
      <c r="I500" s="87" t="n"/>
      <c r="J500" s="91" t="inlineStr">
        <is>
          <t>SHELL OIL 57444</t>
        </is>
      </c>
      <c r="K500" s="91" t="inlineStr">
        <is>
          <t>Sample Card Co</t>
        </is>
      </c>
      <c r="L500" s="91" t="inlineStr">
        <is>
          <t>Credit Card</t>
        </is>
      </c>
      <c r="M500" s="91" t="inlineStr">
        <is>
          <t>Visa_Statement.csv</t>
        </is>
      </c>
      <c r="N500" s="91" t="inlineStr">
        <is>
          <t>2026-10-15 20:14:07</t>
        </is>
      </c>
      <c r="O500" s="91" t="n"/>
      <c r="P500" s="91" t="inlineStr">
        <is>
          <t>REWARDS VISA|20251209|-4786|SHELLOIL57444#1</t>
        </is>
      </c>
      <c r="Q500" s="92">
        <f>IF(AND(G500=RptMonth,F500="Expense",N(E500)&lt;0),-E500+ROW()/10000000,"")</f>
        <v/>
      </c>
    </row>
    <row r="501">
      <c r="A501" s="86" t="n">
        <v>45999</v>
      </c>
      <c r="B501" s="87" t="inlineStr">
        <is>
          <t>Everyday Checking</t>
        </is>
      </c>
      <c r="C501" s="87" t="inlineStr">
        <is>
          <t>PSEG ELECTRIC BILL</t>
        </is>
      </c>
      <c r="D501" s="87" t="inlineStr">
        <is>
          <t>Utilities</t>
        </is>
      </c>
      <c r="E501" s="88" t="n">
        <v>-116.97</v>
      </c>
      <c r="F501" s="89">
        <f>IF(E501="","",IF(OR(D501="",D501="Uncategorized"),IF(E501&lt;0,"Expense","Income"),IFERROR(INDEX(Categories!$B$6:$B$65,MATCH(D501,Categories!$A$6:$A$65,0)),IF(E501&lt;0,"Expense","Income"))))</f>
        <v/>
      </c>
      <c r="G501" s="90">
        <f>IF(A501="","",DATE(YEAR(A501),MONTH(A501),1))</f>
        <v/>
      </c>
      <c r="H501" s="87" t="n"/>
      <c r="I501" s="87" t="n"/>
      <c r="J501" s="91" t="inlineStr">
        <is>
          <t>PSEG ELECTRIC BILL</t>
        </is>
      </c>
      <c r="K501" s="91" t="inlineStr">
        <is>
          <t>Sample Bank</t>
        </is>
      </c>
      <c r="L501" s="91" t="inlineStr">
        <is>
          <t>Checking</t>
        </is>
      </c>
      <c r="M501" s="91" t="inlineStr">
        <is>
          <t>Checking_Activity.csv</t>
        </is>
      </c>
      <c r="N501" s="91" t="inlineStr">
        <is>
          <t>2026-10-15 20:14:07</t>
        </is>
      </c>
      <c r="O501" s="91" t="n"/>
      <c r="P501" s="91" t="inlineStr">
        <is>
          <t>EVERYDAY CHECKING|20251208|-11697|PSEGELECTRICBILL#1</t>
        </is>
      </c>
      <c r="Q501" s="92">
        <f>IF(AND(G501=RptMonth,F501="Expense",N(E501)&lt;0),-E501+ROW()/10000000,"")</f>
        <v/>
      </c>
    </row>
    <row r="502">
      <c r="A502" s="86" t="n">
        <v>45999</v>
      </c>
      <c r="B502" s="87" t="inlineStr">
        <is>
          <t>Rewards Visa</t>
        </is>
      </c>
      <c r="C502" s="87" t="inlineStr">
        <is>
          <t>AMAZON.COM*2K4LP0</t>
        </is>
      </c>
      <c r="D502" s="87" t="inlineStr">
        <is>
          <t>Shopping</t>
        </is>
      </c>
      <c r="E502" s="88" t="n">
        <v>-114.87</v>
      </c>
      <c r="F502" s="89">
        <f>IF(E502="","",IF(OR(D502="",D502="Uncategorized"),IF(E502&lt;0,"Expense","Income"),IFERROR(INDEX(Categories!$B$6:$B$65,MATCH(D502,Categories!$A$6:$A$65,0)),IF(E502&lt;0,"Expense","Income"))))</f>
        <v/>
      </c>
      <c r="G502" s="90">
        <f>IF(A502="","",DATE(YEAR(A502),MONTH(A502),1))</f>
        <v/>
      </c>
      <c r="H502" s="87" t="n"/>
      <c r="I502" s="87" t="n"/>
      <c r="J502" s="91" t="inlineStr">
        <is>
          <t>AMAZON.COM*2K4LP0</t>
        </is>
      </c>
      <c r="K502" s="91" t="inlineStr">
        <is>
          <t>Sample Card Co</t>
        </is>
      </c>
      <c r="L502" s="91" t="inlineStr">
        <is>
          <t>Credit Card</t>
        </is>
      </c>
      <c r="M502" s="91" t="inlineStr">
        <is>
          <t>Visa_Statement.csv</t>
        </is>
      </c>
      <c r="N502" s="91" t="inlineStr">
        <is>
          <t>2026-10-15 20:14:07</t>
        </is>
      </c>
      <c r="O502" s="91" t="n"/>
      <c r="P502" s="91" t="inlineStr">
        <is>
          <t>REWARDS VISA|20251208|-11487|AMAZONCOM2K4LP0#1</t>
        </is>
      </c>
      <c r="Q502" s="92">
        <f>IF(AND(G502=RptMonth,F502="Expense",N(E502)&lt;0),-E502+ROW()/10000000,"")</f>
        <v/>
      </c>
    </row>
    <row r="503">
      <c r="A503" s="86" t="n">
        <v>45998</v>
      </c>
      <c r="B503" s="87" t="inlineStr">
        <is>
          <t>Rewards Visa</t>
        </is>
      </c>
      <c r="C503" s="87" t="inlineStr">
        <is>
          <t>SPOTIFY USA</t>
        </is>
      </c>
      <c r="D503" s="87" t="inlineStr">
        <is>
          <t>Subscriptions</t>
        </is>
      </c>
      <c r="E503" s="88" t="n">
        <v>-11.99</v>
      </c>
      <c r="F503" s="89">
        <f>IF(E503="","",IF(OR(D503="",D503="Uncategorized"),IF(E503&lt;0,"Expense","Income"),IFERROR(INDEX(Categories!$B$6:$B$65,MATCH(D503,Categories!$A$6:$A$65,0)),IF(E503&lt;0,"Expense","Income"))))</f>
        <v/>
      </c>
      <c r="G503" s="90">
        <f>IF(A503="","",DATE(YEAR(A503),MONTH(A503),1))</f>
        <v/>
      </c>
      <c r="H503" s="87" t="n"/>
      <c r="I503" s="87" t="n"/>
      <c r="J503" s="91" t="inlineStr">
        <is>
          <t>SPOTIFY USA</t>
        </is>
      </c>
      <c r="K503" s="91" t="inlineStr">
        <is>
          <t>Sample Card Co</t>
        </is>
      </c>
      <c r="L503" s="91" t="inlineStr">
        <is>
          <t>Credit Card</t>
        </is>
      </c>
      <c r="M503" s="91" t="inlineStr">
        <is>
          <t>Visa_Statement.csv</t>
        </is>
      </c>
      <c r="N503" s="91" t="inlineStr">
        <is>
          <t>2026-10-15 20:14:07</t>
        </is>
      </c>
      <c r="O503" s="91" t="n"/>
      <c r="P503" s="91" t="inlineStr">
        <is>
          <t>REWARDS VISA|20251207|-1199|SPOTIFYUSA#1</t>
        </is>
      </c>
      <c r="Q503" s="92">
        <f>IF(AND(G503=RptMonth,F503="Expense",N(E503)&lt;0),-E503+ROW()/10000000,"")</f>
        <v/>
      </c>
    </row>
    <row r="504">
      <c r="A504" s="86" t="n">
        <v>45997</v>
      </c>
      <c r="B504" s="87" t="inlineStr">
        <is>
          <t>Rewards Visa</t>
        </is>
      </c>
      <c r="C504" s="87" t="inlineStr">
        <is>
          <t>AMAZON.COM*HOLIDAY ORDER</t>
        </is>
      </c>
      <c r="D504" s="87" t="inlineStr">
        <is>
          <t>Shopping</t>
        </is>
      </c>
      <c r="E504" s="88" t="n">
        <v>-264.37</v>
      </c>
      <c r="F504" s="89">
        <f>IF(E504="","",IF(OR(D504="",D504="Uncategorized"),IF(E504&lt;0,"Expense","Income"),IFERROR(INDEX(Categories!$B$6:$B$65,MATCH(D504,Categories!$A$6:$A$65,0)),IF(E504&lt;0,"Expense","Income"))))</f>
        <v/>
      </c>
      <c r="G504" s="90">
        <f>IF(A504="","",DATE(YEAR(A504),MONTH(A504),1))</f>
        <v/>
      </c>
      <c r="H504" s="87" t="n"/>
      <c r="I504" s="87" t="n"/>
      <c r="J504" s="91" t="inlineStr">
        <is>
          <t>AMAZON.COM*HOLIDAY ORDER</t>
        </is>
      </c>
      <c r="K504" s="91" t="inlineStr">
        <is>
          <t>Sample Card Co</t>
        </is>
      </c>
      <c r="L504" s="91" t="inlineStr">
        <is>
          <t>Credit Card</t>
        </is>
      </c>
      <c r="M504" s="91" t="inlineStr">
        <is>
          <t>Visa_Statement.csv</t>
        </is>
      </c>
      <c r="N504" s="91" t="inlineStr">
        <is>
          <t>2026-10-15 20:14:07</t>
        </is>
      </c>
      <c r="O504" s="91" t="n"/>
      <c r="P504" s="91" t="inlineStr">
        <is>
          <t>REWARDS VISA|20251206|-26437|AMAZONCOMHOLIDAYORDER#1</t>
        </is>
      </c>
      <c r="Q504" s="92">
        <f>IF(AND(G504=RptMonth,F504="Expense",N(E504)&lt;0),-E504+ROW()/10000000,"")</f>
        <v/>
      </c>
    </row>
    <row r="505">
      <c r="A505" s="86" t="n">
        <v>45997</v>
      </c>
      <c r="B505" s="87" t="inlineStr">
        <is>
          <t>Rewards Visa</t>
        </is>
      </c>
      <c r="C505" s="87" t="inlineStr">
        <is>
          <t>SWEETGREEN PALISADES</t>
        </is>
      </c>
      <c r="D505" s="87" t="inlineStr">
        <is>
          <t>Dining Out</t>
        </is>
      </c>
      <c r="E505" s="88" t="n">
        <v>-56.73</v>
      </c>
      <c r="F505" s="89">
        <f>IF(E505="","",IF(OR(D505="",D505="Uncategorized"),IF(E505&lt;0,"Expense","Income"),IFERROR(INDEX(Categories!$B$6:$B$65,MATCH(D505,Categories!$A$6:$A$65,0)),IF(E505&lt;0,"Expense","Income"))))</f>
        <v/>
      </c>
      <c r="G505" s="90">
        <f>IF(A505="","",DATE(YEAR(A505),MONTH(A505),1))</f>
        <v/>
      </c>
      <c r="H505" s="87" t="n"/>
      <c r="I505" s="87" t="n"/>
      <c r="J505" s="91" t="inlineStr">
        <is>
          <t>SWEETGREEN PALISADES</t>
        </is>
      </c>
      <c r="K505" s="91" t="inlineStr">
        <is>
          <t>Sample Card Co</t>
        </is>
      </c>
      <c r="L505" s="91" t="inlineStr">
        <is>
          <t>Credit Card</t>
        </is>
      </c>
      <c r="M505" s="91" t="inlineStr">
        <is>
          <t>Visa_Statement.csv</t>
        </is>
      </c>
      <c r="N505" s="91" t="inlineStr">
        <is>
          <t>2026-10-15 20:14:07</t>
        </is>
      </c>
      <c r="O505" s="91" t="n"/>
      <c r="P505" s="91" t="inlineStr">
        <is>
          <t>REWARDS VISA|20251206|-5673|SWEETGREENPALISADES#1</t>
        </is>
      </c>
      <c r="Q505" s="92">
        <f>IF(AND(G505=RptMonth,F505="Expense",N(E505)&lt;0),-E505+ROW()/10000000,"")</f>
        <v/>
      </c>
    </row>
    <row r="506">
      <c r="A506" s="86" t="n">
        <v>45997</v>
      </c>
      <c r="B506" s="87" t="inlineStr">
        <is>
          <t>Rewards Visa</t>
        </is>
      </c>
      <c r="C506" s="87" t="inlineStr">
        <is>
          <t>TRADER JOE'S #548</t>
        </is>
      </c>
      <c r="D506" s="87" t="inlineStr">
        <is>
          <t>Groceries</t>
        </is>
      </c>
      <c r="E506" s="88" t="n">
        <v>-89.06</v>
      </c>
      <c r="F506" s="89">
        <f>IF(E506="","",IF(OR(D506="",D506="Uncategorized"),IF(E506&lt;0,"Expense","Income"),IFERROR(INDEX(Categories!$B$6:$B$65,MATCH(D506,Categories!$A$6:$A$65,0)),IF(E506&lt;0,"Expense","Income"))))</f>
        <v/>
      </c>
      <c r="G506" s="90">
        <f>IF(A506="","",DATE(YEAR(A506),MONTH(A506),1))</f>
        <v/>
      </c>
      <c r="H506" s="87" t="n"/>
      <c r="I506" s="87" t="n"/>
      <c r="J506" s="91" t="inlineStr">
        <is>
          <t>TRADER JOE'S #548</t>
        </is>
      </c>
      <c r="K506" s="91" t="inlineStr">
        <is>
          <t>Sample Card Co</t>
        </is>
      </c>
      <c r="L506" s="91" t="inlineStr">
        <is>
          <t>Credit Card</t>
        </is>
      </c>
      <c r="M506" s="91" t="inlineStr">
        <is>
          <t>Visa_Statement.csv</t>
        </is>
      </c>
      <c r="N506" s="91" t="inlineStr">
        <is>
          <t>2026-10-15 20:14:07</t>
        </is>
      </c>
      <c r="O506" s="91" t="n"/>
      <c r="P506" s="91" t="inlineStr">
        <is>
          <t>REWARDS VISA|20251206|-8906|TRADERJOES548#1</t>
        </is>
      </c>
      <c r="Q506" s="92">
        <f>IF(AND(G506=RptMonth,F506="Expense",N(E506)&lt;0),-E506+ROW()/10000000,"")</f>
        <v/>
      </c>
    </row>
    <row r="507">
      <c r="A507" s="86" t="n">
        <v>45996</v>
      </c>
      <c r="B507" s="87" t="inlineStr">
        <is>
          <t>Everyday Checking</t>
        </is>
      </c>
      <c r="C507" s="87" t="inlineStr">
        <is>
          <t>ONLINE TRANSFER TO HIGH-YIELD SAVINGS</t>
        </is>
      </c>
      <c r="D507" s="87" t="inlineStr">
        <is>
          <t>Transfer</t>
        </is>
      </c>
      <c r="E507" s="88" t="n">
        <v>-500</v>
      </c>
      <c r="F507" s="89">
        <f>IF(E507="","",IF(OR(D507="",D507="Uncategorized"),IF(E507&lt;0,"Expense","Income"),IFERROR(INDEX(Categories!$B$6:$B$65,MATCH(D507,Categories!$A$6:$A$65,0)),IF(E507&lt;0,"Expense","Income"))))</f>
        <v/>
      </c>
      <c r="G507" s="90">
        <f>IF(A507="","",DATE(YEAR(A507),MONTH(A507),1))</f>
        <v/>
      </c>
      <c r="H507" s="87" t="n"/>
      <c r="I507" s="87" t="n"/>
      <c r="J507" s="91" t="inlineStr">
        <is>
          <t>ONLINE TRANSFER TO HIGH-YIELD SAVINGS</t>
        </is>
      </c>
      <c r="K507" s="91" t="inlineStr">
        <is>
          <t>Sample Bank</t>
        </is>
      </c>
      <c r="L507" s="91" t="inlineStr">
        <is>
          <t>Checking</t>
        </is>
      </c>
      <c r="M507" s="91" t="inlineStr">
        <is>
          <t>Checking_Activity.csv</t>
        </is>
      </c>
      <c r="N507" s="91" t="inlineStr">
        <is>
          <t>2026-10-15 20:14:07</t>
        </is>
      </c>
      <c r="O507" s="91" t="n"/>
      <c r="P507" s="91" t="inlineStr">
        <is>
          <t>EVERYDAY CHECKING|20251205|-50000|ONLINETRANSFERTOHIGHYIELDSAVINGS#1</t>
        </is>
      </c>
      <c r="Q507" s="92">
        <f>IF(AND(G507=RptMonth,F507="Expense",N(E507)&lt;0),-E507+ROW()/10000000,"")</f>
        <v/>
      </c>
    </row>
    <row r="508">
      <c r="A508" s="86" t="n">
        <v>45996</v>
      </c>
      <c r="B508" s="87" t="inlineStr">
        <is>
          <t>High-Yield Savings</t>
        </is>
      </c>
      <c r="C508" s="87" t="inlineStr">
        <is>
          <t>ONLINE TRANSFER FROM EVERYDAY CHECKING</t>
        </is>
      </c>
      <c r="D508" s="87" t="inlineStr">
        <is>
          <t>Transfer</t>
        </is>
      </c>
      <c r="E508" s="88" t="n">
        <v>500</v>
      </c>
      <c r="F508" s="89">
        <f>IF(E508="","",IF(OR(D508="",D508="Uncategorized"),IF(E508&lt;0,"Expense","Income"),IFERROR(INDEX(Categories!$B$6:$B$65,MATCH(D508,Categories!$A$6:$A$65,0)),IF(E508&lt;0,"Expense","Income"))))</f>
        <v/>
      </c>
      <c r="G508" s="90">
        <f>IF(A508="","",DATE(YEAR(A508),MONTH(A508),1))</f>
        <v/>
      </c>
      <c r="H508" s="87" t="n"/>
      <c r="I508" s="87" t="n"/>
      <c r="J508" s="91" t="inlineStr">
        <is>
          <t>ONLINE TRANSFER FROM EVERYDAY CHECKING</t>
        </is>
      </c>
      <c r="K508" s="91" t="inlineStr">
        <is>
          <t>Sample Bank</t>
        </is>
      </c>
      <c r="L508" s="91" t="inlineStr">
        <is>
          <t>Savings</t>
        </is>
      </c>
      <c r="M508" s="91" t="inlineStr">
        <is>
          <t>Savings.qfx</t>
        </is>
      </c>
      <c r="N508" s="91" t="inlineStr">
        <is>
          <t>2026-10-15 20:14:07</t>
        </is>
      </c>
      <c r="O508" s="91" t="inlineStr">
        <is>
          <t>773002025120501</t>
        </is>
      </c>
      <c r="P508" s="91" t="inlineStr">
        <is>
          <t>HIGH-YIELD SAVINGS|ID|773002025120501#1</t>
        </is>
      </c>
      <c r="Q508" s="92">
        <f>IF(AND(G508=RptMonth,F508="Expense",N(E508)&lt;0),-E508+ROW()/10000000,"")</f>
        <v/>
      </c>
    </row>
    <row r="509">
      <c r="A509" s="86" t="n">
        <v>45996</v>
      </c>
      <c r="B509" s="87" t="inlineStr">
        <is>
          <t>Rewards Visa</t>
        </is>
      </c>
      <c r="C509" s="87" t="inlineStr">
        <is>
          <t>AMAZON.COM*2K4LP0</t>
        </is>
      </c>
      <c r="D509" s="87" t="inlineStr">
        <is>
          <t>Shopping</t>
        </is>
      </c>
      <c r="E509" s="88" t="n">
        <v>-80.19</v>
      </c>
      <c r="F509" s="89">
        <f>IF(E509="","",IF(OR(D509="",D509="Uncategorized"),IF(E509&lt;0,"Expense","Income"),IFERROR(INDEX(Categories!$B$6:$B$65,MATCH(D509,Categories!$A$6:$A$65,0)),IF(E509&lt;0,"Expense","Income"))))</f>
        <v/>
      </c>
      <c r="G509" s="90">
        <f>IF(A509="","",DATE(YEAR(A509),MONTH(A509),1))</f>
        <v/>
      </c>
      <c r="H509" s="87" t="n"/>
      <c r="I509" s="87" t="n"/>
      <c r="J509" s="91" t="inlineStr">
        <is>
          <t>AMAZON.COM*2K4LP0</t>
        </is>
      </c>
      <c r="K509" s="91" t="inlineStr">
        <is>
          <t>Sample Card Co</t>
        </is>
      </c>
      <c r="L509" s="91" t="inlineStr">
        <is>
          <t>Credit Card</t>
        </is>
      </c>
      <c r="M509" s="91" t="inlineStr">
        <is>
          <t>Visa_Statement.csv</t>
        </is>
      </c>
      <c r="N509" s="91" t="inlineStr">
        <is>
          <t>2026-10-15 20:14:07</t>
        </is>
      </c>
      <c r="O509" s="91" t="n"/>
      <c r="P509" s="91" t="inlineStr">
        <is>
          <t>REWARDS VISA|20251205|-8019|AMAZONCOM2K4LP0#1</t>
        </is>
      </c>
      <c r="Q509" s="92">
        <f>IF(AND(G509=RptMonth,F509="Expense",N(E509)&lt;0),-E509+ROW()/10000000,"")</f>
        <v/>
      </c>
    </row>
    <row r="510">
      <c r="A510" s="86" t="n">
        <v>45996</v>
      </c>
      <c r="B510" s="87" t="inlineStr">
        <is>
          <t>Rewards Visa</t>
        </is>
      </c>
      <c r="C510" s="87" t="inlineStr">
        <is>
          <t>EXXONMOBIL 4471</t>
        </is>
      </c>
      <c r="D510" s="87" t="inlineStr">
        <is>
          <t>Gas &amp; Fuel</t>
        </is>
      </c>
      <c r="E510" s="88" t="n">
        <v>-45.27</v>
      </c>
      <c r="F510" s="89">
        <f>IF(E510="","",IF(OR(D510="",D510="Uncategorized"),IF(E510&lt;0,"Expense","Income"),IFERROR(INDEX(Categories!$B$6:$B$65,MATCH(D510,Categories!$A$6:$A$65,0)),IF(E510&lt;0,"Expense","Income"))))</f>
        <v/>
      </c>
      <c r="G510" s="90">
        <f>IF(A510="","",DATE(YEAR(A510),MONTH(A510),1))</f>
        <v/>
      </c>
      <c r="H510" s="87" t="n"/>
      <c r="I510" s="87" t="n"/>
      <c r="J510" s="91" t="inlineStr">
        <is>
          <t>EXXONMOBIL 4471</t>
        </is>
      </c>
      <c r="K510" s="91" t="inlineStr">
        <is>
          <t>Sample Card Co</t>
        </is>
      </c>
      <c r="L510" s="91" t="inlineStr">
        <is>
          <t>Credit Card</t>
        </is>
      </c>
      <c r="M510" s="91" t="inlineStr">
        <is>
          <t>Visa_Statement.csv</t>
        </is>
      </c>
      <c r="N510" s="91" t="inlineStr">
        <is>
          <t>2026-10-15 20:14:07</t>
        </is>
      </c>
      <c r="O510" s="91" t="n"/>
      <c r="P510" s="91" t="inlineStr">
        <is>
          <t>REWARDS VISA|20251205|-4527|EXXONMOBIL4471#1</t>
        </is>
      </c>
      <c r="Q510" s="92">
        <f>IF(AND(G510=RptMonth,F510="Expense",N(E510)&lt;0),-E510+ROW()/10000000,"")</f>
        <v/>
      </c>
    </row>
    <row r="511">
      <c r="A511" s="86" t="n">
        <v>45994</v>
      </c>
      <c r="B511" s="87" t="inlineStr">
        <is>
          <t>Everyday Checking</t>
        </is>
      </c>
      <c r="C511" s="87" t="inlineStr">
        <is>
          <t>GEICO AUTO INSURANCE</t>
        </is>
      </c>
      <c r="D511" s="87" t="inlineStr">
        <is>
          <t>Insurance</t>
        </is>
      </c>
      <c r="E511" s="88" t="n">
        <v>-142.5</v>
      </c>
      <c r="F511" s="89">
        <f>IF(E511="","",IF(OR(D511="",D511="Uncategorized"),IF(E511&lt;0,"Expense","Income"),IFERROR(INDEX(Categories!$B$6:$B$65,MATCH(D511,Categories!$A$6:$A$65,0)),IF(E511&lt;0,"Expense","Income"))))</f>
        <v/>
      </c>
      <c r="G511" s="90">
        <f>IF(A511="","",DATE(YEAR(A511),MONTH(A511),1))</f>
        <v/>
      </c>
      <c r="H511" s="87" t="n"/>
      <c r="I511" s="87" t="n"/>
      <c r="J511" s="91" t="inlineStr">
        <is>
          <t>GEICO AUTO INSURANCE</t>
        </is>
      </c>
      <c r="K511" s="91" t="inlineStr">
        <is>
          <t>Sample Bank</t>
        </is>
      </c>
      <c r="L511" s="91" t="inlineStr">
        <is>
          <t>Checking</t>
        </is>
      </c>
      <c r="M511" s="91" t="inlineStr">
        <is>
          <t>Checking_Activity.csv</t>
        </is>
      </c>
      <c r="N511" s="91" t="inlineStr">
        <is>
          <t>2026-10-15 20:14:07</t>
        </is>
      </c>
      <c r="O511" s="91" t="n"/>
      <c r="P511" s="91" t="inlineStr">
        <is>
          <t>EVERYDAY CHECKING|20251203|-14250|GEICOAUTOINSURANCE#1</t>
        </is>
      </c>
      <c r="Q511" s="92">
        <f>IF(AND(G511=RptMonth,F511="Expense",N(E511)&lt;0),-E511+ROW()/10000000,"")</f>
        <v/>
      </c>
    </row>
    <row r="512">
      <c r="A512" s="86" t="n">
        <v>45994</v>
      </c>
      <c r="B512" s="87" t="inlineStr">
        <is>
          <t>Rewards Visa</t>
        </is>
      </c>
      <c r="C512" s="87" t="inlineStr">
        <is>
          <t>TRADER JOE'S #548</t>
        </is>
      </c>
      <c r="D512" s="87" t="inlineStr">
        <is>
          <t>Groceries</t>
        </is>
      </c>
      <c r="E512" s="88" t="n">
        <v>-63.84</v>
      </c>
      <c r="F512" s="89">
        <f>IF(E512="","",IF(OR(D512="",D512="Uncategorized"),IF(E512&lt;0,"Expense","Income"),IFERROR(INDEX(Categories!$B$6:$B$65,MATCH(D512,Categories!$A$6:$A$65,0)),IF(E512&lt;0,"Expense","Income"))))</f>
        <v/>
      </c>
      <c r="G512" s="90">
        <f>IF(A512="","",DATE(YEAR(A512),MONTH(A512),1))</f>
        <v/>
      </c>
      <c r="H512" s="87" t="n"/>
      <c r="I512" s="87" t="n"/>
      <c r="J512" s="91" t="inlineStr">
        <is>
          <t>TRADER JOE'S #548</t>
        </is>
      </c>
      <c r="K512" s="91" t="inlineStr">
        <is>
          <t>Sample Card Co</t>
        </is>
      </c>
      <c r="L512" s="91" t="inlineStr">
        <is>
          <t>Credit Card</t>
        </is>
      </c>
      <c r="M512" s="91" t="inlineStr">
        <is>
          <t>Visa_Statement.csv</t>
        </is>
      </c>
      <c r="N512" s="91" t="inlineStr">
        <is>
          <t>2026-10-15 20:14:07</t>
        </is>
      </c>
      <c r="O512" s="91" t="n"/>
      <c r="P512" s="91" t="inlineStr">
        <is>
          <t>REWARDS VISA|20251203|-6384|TRADERJOES548#1</t>
        </is>
      </c>
      <c r="Q512" s="92">
        <f>IF(AND(G512=RptMonth,F512="Expense",N(E512)&lt;0),-E512+ROW()/10000000,"")</f>
        <v/>
      </c>
    </row>
    <row r="513">
      <c r="A513" s="86" t="n">
        <v>45993</v>
      </c>
      <c r="B513" s="87" t="inlineStr">
        <is>
          <t>Rewards Visa</t>
        </is>
      </c>
      <c r="C513" s="87" t="inlineStr">
        <is>
          <t>EXXONMOBIL 4471</t>
        </is>
      </c>
      <c r="D513" s="87" t="inlineStr">
        <is>
          <t>Gas &amp; Fuel</t>
        </is>
      </c>
      <c r="E513" s="88" t="n">
        <v>-41.52</v>
      </c>
      <c r="F513" s="89">
        <f>IF(E513="","",IF(OR(D513="",D513="Uncategorized"),IF(E513&lt;0,"Expense","Income"),IFERROR(INDEX(Categories!$B$6:$B$65,MATCH(D513,Categories!$A$6:$A$65,0)),IF(E513&lt;0,"Expense","Income"))))</f>
        <v/>
      </c>
      <c r="G513" s="90">
        <f>IF(A513="","",DATE(YEAR(A513),MONTH(A513),1))</f>
        <v/>
      </c>
      <c r="H513" s="87" t="n"/>
      <c r="I513" s="87" t="n"/>
      <c r="J513" s="91" t="inlineStr">
        <is>
          <t>EXXONMOBIL 4471</t>
        </is>
      </c>
      <c r="K513" s="91" t="inlineStr">
        <is>
          <t>Sample Card Co</t>
        </is>
      </c>
      <c r="L513" s="91" t="inlineStr">
        <is>
          <t>Credit Card</t>
        </is>
      </c>
      <c r="M513" s="91" t="inlineStr">
        <is>
          <t>Visa_Statement.csv</t>
        </is>
      </c>
      <c r="N513" s="91" t="inlineStr">
        <is>
          <t>2026-10-15 20:14:07</t>
        </is>
      </c>
      <c r="O513" s="91" t="n"/>
      <c r="P513" s="91" t="inlineStr">
        <is>
          <t>REWARDS VISA|20251202|-4152|EXXONMOBIL4471#1</t>
        </is>
      </c>
      <c r="Q513" s="92">
        <f>IF(AND(G513=RptMonth,F513="Expense",N(E513)&lt;0),-E513+ROW()/10000000,"")</f>
        <v/>
      </c>
    </row>
    <row r="514">
      <c r="A514" s="86" t="n">
        <v>45993</v>
      </c>
      <c r="B514" s="87" t="inlineStr">
        <is>
          <t>Rewards Visa</t>
        </is>
      </c>
      <c r="C514" s="87" t="inlineStr">
        <is>
          <t>NETFLIX.COM</t>
        </is>
      </c>
      <c r="D514" s="87" t="inlineStr">
        <is>
          <t>Subscriptions</t>
        </is>
      </c>
      <c r="E514" s="88" t="n">
        <v>-15.49</v>
      </c>
      <c r="F514" s="89">
        <f>IF(E514="","",IF(OR(D514="",D514="Uncategorized"),IF(E514&lt;0,"Expense","Income"),IFERROR(INDEX(Categories!$B$6:$B$65,MATCH(D514,Categories!$A$6:$A$65,0)),IF(E514&lt;0,"Expense","Income"))))</f>
        <v/>
      </c>
      <c r="G514" s="90">
        <f>IF(A514="","",DATE(YEAR(A514),MONTH(A514),1))</f>
        <v/>
      </c>
      <c r="H514" s="87" t="n"/>
      <c r="I514" s="87" t="n"/>
      <c r="J514" s="91" t="inlineStr">
        <is>
          <t>NETFLIX.COM</t>
        </is>
      </c>
      <c r="K514" s="91" t="inlineStr">
        <is>
          <t>Sample Card Co</t>
        </is>
      </c>
      <c r="L514" s="91" t="inlineStr">
        <is>
          <t>Credit Card</t>
        </is>
      </c>
      <c r="M514" s="91" t="inlineStr">
        <is>
          <t>Visa_Statement.csv</t>
        </is>
      </c>
      <c r="N514" s="91" t="inlineStr">
        <is>
          <t>2026-10-15 20:14:07</t>
        </is>
      </c>
      <c r="O514" s="91" t="n"/>
      <c r="P514" s="91" t="inlineStr">
        <is>
          <t>REWARDS VISA|20251202|-1549|NETFLIXCOM#1</t>
        </is>
      </c>
      <c r="Q514" s="92">
        <f>IF(AND(G514=RptMonth,F514="Expense",N(E514)&lt;0),-E514+ROW()/10000000,"")</f>
        <v/>
      </c>
    </row>
    <row r="515">
      <c r="A515" s="86" t="n">
        <v>45992</v>
      </c>
      <c r="B515" s="87" t="inlineStr">
        <is>
          <t>Everyday Checking</t>
        </is>
      </c>
      <c r="C515" s="87" t="inlineStr">
        <is>
          <t>SAMPLE MORTGAGE CO PAYMENT</t>
        </is>
      </c>
      <c r="D515" s="87" t="inlineStr">
        <is>
          <t>Mortgage / Rent</t>
        </is>
      </c>
      <c r="E515" s="88" t="n">
        <v>-2450</v>
      </c>
      <c r="F515" s="89">
        <f>IF(E515="","",IF(OR(D515="",D515="Uncategorized"),IF(E515&lt;0,"Expense","Income"),IFERROR(INDEX(Categories!$B$6:$B$65,MATCH(D515,Categories!$A$6:$A$65,0)),IF(E515&lt;0,"Expense","Income"))))</f>
        <v/>
      </c>
      <c r="G515" s="90">
        <f>IF(A515="","",DATE(YEAR(A515),MONTH(A515),1))</f>
        <v/>
      </c>
      <c r="H515" s="87" t="inlineStr">
        <is>
          <t>Includes escrow for taxes and insurance</t>
        </is>
      </c>
      <c r="I515" s="87" t="n"/>
      <c r="J515" s="91" t="inlineStr">
        <is>
          <t>SAMPLE MORTGAGE CO PAYMENT</t>
        </is>
      </c>
      <c r="K515" s="91" t="inlineStr">
        <is>
          <t>Sample Bank</t>
        </is>
      </c>
      <c r="L515" s="91" t="inlineStr">
        <is>
          <t>Checking</t>
        </is>
      </c>
      <c r="M515" s="91" t="inlineStr">
        <is>
          <t>Checking_Activity.csv</t>
        </is>
      </c>
      <c r="N515" s="91" t="inlineStr">
        <is>
          <t>2026-10-15 20:14:07</t>
        </is>
      </c>
      <c r="O515" s="91" t="n"/>
      <c r="P515" s="91" t="inlineStr">
        <is>
          <t>EVERYDAY CHECKING|20251201|-245000|SAMPLEMORTGAGECOPAYMENT#1</t>
        </is>
      </c>
      <c r="Q515" s="92">
        <f>IF(AND(G515=RptMonth,F515="Expense",N(E515)&lt;0),-E515+ROW()/10000000,"")</f>
        <v/>
      </c>
    </row>
    <row r="516">
      <c r="A516" s="86" t="n">
        <v>45992</v>
      </c>
      <c r="B516" s="87" t="inlineStr">
        <is>
          <t>Home Mortgage</t>
        </is>
      </c>
      <c r="C516" s="87" t="inlineStr">
        <is>
          <t>Payment</t>
        </is>
      </c>
      <c r="D516" s="87" t="inlineStr">
        <is>
          <t>Transfer</t>
        </is>
      </c>
      <c r="E516" s="88" t="n">
        <v>299.98</v>
      </c>
      <c r="F516" s="89">
        <f>IF(E516="","",IF(OR(D516="",D516="Uncategorized"),IF(E516&lt;0,"Expense","Income"),IFERROR(INDEX(Categories!$B$6:$B$65,MATCH(D516,Categories!$A$6:$A$65,0)),IF(E516&lt;0,"Expense","Income"))))</f>
        <v/>
      </c>
      <c r="G516" s="90">
        <f>IF(A516="","",DATE(YEAR(A516),MONTH(A516),1))</f>
        <v/>
      </c>
      <c r="H516" s="87" t="n"/>
      <c r="I516" s="87" t="n"/>
      <c r="J516" s="91" t="inlineStr">
        <is>
          <t>Payment</t>
        </is>
      </c>
      <c r="K516" s="91" t="inlineStr">
        <is>
          <t>Sample Mortgage Co</t>
        </is>
      </c>
      <c r="L516" s="91" t="inlineStr">
        <is>
          <t>Mortgage</t>
        </is>
      </c>
      <c r="M516" s="91" t="inlineStr">
        <is>
          <t>Mortgage_History.xlsx</t>
        </is>
      </c>
      <c r="N516" s="91" t="inlineStr">
        <is>
          <t>2026-10-15 20:14:07</t>
        </is>
      </c>
      <c r="O516" s="91" t="n"/>
      <c r="P516" s="91" t="inlineStr">
        <is>
          <t>HOME MORTGAGE|20251201|29998|PAYMENT#1</t>
        </is>
      </c>
      <c r="Q516" s="92">
        <f>IF(AND(G516=RptMonth,F516="Expense",N(E516)&lt;0),-E516+ROW()/10000000,"")</f>
        <v/>
      </c>
    </row>
    <row r="517">
      <c r="A517" s="86" t="n">
        <v>45992</v>
      </c>
      <c r="B517" s="87" t="inlineStr">
        <is>
          <t>Rewards Visa</t>
        </is>
      </c>
      <c r="C517" s="87" t="inlineStr">
        <is>
          <t>BLUE MOON DINER</t>
        </is>
      </c>
      <c r="D517" s="87" t="inlineStr">
        <is>
          <t>Dining Out</t>
        </is>
      </c>
      <c r="E517" s="88" t="n">
        <v>-58.44</v>
      </c>
      <c r="F517" s="89">
        <f>IF(E517="","",IF(OR(D517="",D517="Uncategorized"),IF(E517&lt;0,"Expense","Income"),IFERROR(INDEX(Categories!$B$6:$B$65,MATCH(D517,Categories!$A$6:$A$65,0)),IF(E517&lt;0,"Expense","Income"))))</f>
        <v/>
      </c>
      <c r="G517" s="90">
        <f>IF(A517="","",DATE(YEAR(A517),MONTH(A517),1))</f>
        <v/>
      </c>
      <c r="H517" s="87" t="n"/>
      <c r="I517" s="87" t="n"/>
      <c r="J517" s="91" t="inlineStr">
        <is>
          <t>BLUE MOON DINER</t>
        </is>
      </c>
      <c r="K517" s="91" t="inlineStr">
        <is>
          <t>Sample Card Co</t>
        </is>
      </c>
      <c r="L517" s="91" t="inlineStr">
        <is>
          <t>Credit Card</t>
        </is>
      </c>
      <c r="M517" s="91" t="inlineStr">
        <is>
          <t>Visa_Statement.csv</t>
        </is>
      </c>
      <c r="N517" s="91" t="inlineStr">
        <is>
          <t>2026-10-15 20:14:07</t>
        </is>
      </c>
      <c r="O517" s="91" t="n"/>
      <c r="P517" s="91" t="inlineStr">
        <is>
          <t>REWARDS VISA|20251201|-5844|BLUEMOONDINER#1</t>
        </is>
      </c>
      <c r="Q517" s="92">
        <f>IF(AND(G517=RptMonth,F517="Expense",N(E517)&lt;0),-E517+ROW()/10000000,"")</f>
        <v/>
      </c>
    </row>
    <row r="518">
      <c r="A518" s="86" t="n">
        <v>45992</v>
      </c>
      <c r="B518" s="87" t="inlineStr">
        <is>
          <t>Rewards Visa</t>
        </is>
      </c>
      <c r="C518" s="87" t="inlineStr">
        <is>
          <t>TARGET 00012345</t>
        </is>
      </c>
      <c r="D518" s="87" t="inlineStr">
        <is>
          <t>Shopping</t>
        </is>
      </c>
      <c r="E518" s="88" t="n">
        <v>-39.81</v>
      </c>
      <c r="F518" s="89">
        <f>IF(E518="","",IF(OR(D518="",D518="Uncategorized"),IF(E518&lt;0,"Expense","Income"),IFERROR(INDEX(Categories!$B$6:$B$65,MATCH(D518,Categories!$A$6:$A$65,0)),IF(E518&lt;0,"Expense","Income"))))</f>
        <v/>
      </c>
      <c r="G518" s="90">
        <f>IF(A518="","",DATE(YEAR(A518),MONTH(A518),1))</f>
        <v/>
      </c>
      <c r="H518" s="87" t="n"/>
      <c r="I518" s="87" t="n"/>
      <c r="J518" s="91" t="inlineStr">
        <is>
          <t>TARGET 00012345</t>
        </is>
      </c>
      <c r="K518" s="91" t="inlineStr">
        <is>
          <t>Sample Card Co</t>
        </is>
      </c>
      <c r="L518" s="91" t="inlineStr">
        <is>
          <t>Credit Card</t>
        </is>
      </c>
      <c r="M518" s="91" t="inlineStr">
        <is>
          <t>Visa_Statement.csv</t>
        </is>
      </c>
      <c r="N518" s="91" t="inlineStr">
        <is>
          <t>2026-10-15 20:14:07</t>
        </is>
      </c>
      <c r="O518" s="91" t="n"/>
      <c r="P518" s="91" t="inlineStr">
        <is>
          <t>REWARDS VISA|20251201|-3981|TARGET00012345#1</t>
        </is>
      </c>
      <c r="Q518" s="92">
        <f>IF(AND(G518=RptMonth,F518="Expense",N(E518)&lt;0),-E518+ROW()/10000000,"")</f>
        <v/>
      </c>
    </row>
    <row r="519">
      <c r="A519" s="86" t="n">
        <v>45990</v>
      </c>
      <c r="B519" s="87" t="inlineStr">
        <is>
          <t>Rewards Visa</t>
        </is>
      </c>
      <c r="C519" s="87" t="inlineStr">
        <is>
          <t>SHOPRITE #0234</t>
        </is>
      </c>
      <c r="D519" s="87" t="inlineStr">
        <is>
          <t>Groceries</t>
        </is>
      </c>
      <c r="E519" s="88" t="n">
        <v>-137.72</v>
      </c>
      <c r="F519" s="89">
        <f>IF(E519="","",IF(OR(D519="",D519="Uncategorized"),IF(E519&lt;0,"Expense","Income"),IFERROR(INDEX(Categories!$B$6:$B$65,MATCH(D519,Categories!$A$6:$A$65,0)),IF(E519&lt;0,"Expense","Income"))))</f>
        <v/>
      </c>
      <c r="G519" s="90">
        <f>IF(A519="","",DATE(YEAR(A519),MONTH(A519),1))</f>
        <v/>
      </c>
      <c r="H519" s="87" t="n"/>
      <c r="I519" s="87" t="n"/>
      <c r="J519" s="91" t="inlineStr">
        <is>
          <t>SHOPRITE #0234</t>
        </is>
      </c>
      <c r="K519" s="91" t="inlineStr">
        <is>
          <t>Sample Card Co</t>
        </is>
      </c>
      <c r="L519" s="91" t="inlineStr">
        <is>
          <t>Credit Card</t>
        </is>
      </c>
      <c r="M519" s="91" t="inlineStr">
        <is>
          <t>Visa_Statement.csv</t>
        </is>
      </c>
      <c r="N519" s="91" t="inlineStr">
        <is>
          <t>2026-10-15 20:14:07</t>
        </is>
      </c>
      <c r="O519" s="91" t="n"/>
      <c r="P519" s="91" t="inlineStr">
        <is>
          <t>REWARDS VISA|20251129|-13772|SHOPRITE0234#1</t>
        </is>
      </c>
      <c r="Q519" s="92">
        <f>IF(AND(G519=RptMonth,F519="Expense",N(E519)&lt;0),-E519+ROW()/10000000,"")</f>
        <v/>
      </c>
    </row>
    <row r="520">
      <c r="A520" s="86" t="n">
        <v>45989</v>
      </c>
      <c r="B520" s="87" t="inlineStr">
        <is>
          <t>Everyday Checking</t>
        </is>
      </c>
      <c r="C520" s="87" t="inlineStr">
        <is>
          <t>ACME CORP PAYROLL DIR DEP</t>
        </is>
      </c>
      <c r="D520" s="87" t="inlineStr">
        <is>
          <t>Salary</t>
        </is>
      </c>
      <c r="E520" s="88" t="n">
        <v>3352.18</v>
      </c>
      <c r="F520" s="89">
        <f>IF(E520="","",IF(OR(D520="",D520="Uncategorized"),IF(E520&lt;0,"Expense","Income"),IFERROR(INDEX(Categories!$B$6:$B$65,MATCH(D520,Categories!$A$6:$A$65,0)),IF(E520&lt;0,"Expense","Income"))))</f>
        <v/>
      </c>
      <c r="G520" s="90">
        <f>IF(A520="","",DATE(YEAR(A520),MONTH(A520),1))</f>
        <v/>
      </c>
      <c r="H520" s="87" t="n"/>
      <c r="I520" s="87" t="n"/>
      <c r="J520" s="91" t="inlineStr">
        <is>
          <t>ACME CORP PAYROLL DIR DEP</t>
        </is>
      </c>
      <c r="K520" s="91" t="inlineStr">
        <is>
          <t>Sample Bank</t>
        </is>
      </c>
      <c r="L520" s="91" t="inlineStr">
        <is>
          <t>Checking</t>
        </is>
      </c>
      <c r="M520" s="91" t="inlineStr">
        <is>
          <t>Checking_Activity.csv</t>
        </is>
      </c>
      <c r="N520" s="91" t="inlineStr">
        <is>
          <t>2026-10-15 20:14:07</t>
        </is>
      </c>
      <c r="O520" s="91" t="n"/>
      <c r="P520" s="91" t="inlineStr">
        <is>
          <t>EVERYDAY CHECKING|20251128|335218|ACMECORPPAYROLLDIRDEP#1</t>
        </is>
      </c>
      <c r="Q520" s="92">
        <f>IF(AND(G520=RptMonth,F520="Expense",N(E520)&lt;0),-E520+ROW()/10000000,"")</f>
        <v/>
      </c>
    </row>
    <row r="521">
      <c r="A521" s="86" t="n">
        <v>45989</v>
      </c>
      <c r="B521" s="87" t="inlineStr">
        <is>
          <t>High-Yield Savings</t>
        </is>
      </c>
      <c r="C521" s="87" t="inlineStr">
        <is>
          <t>INTEREST PAYMENT</t>
        </is>
      </c>
      <c r="D521" s="87" t="inlineStr">
        <is>
          <t>Interest &amp; Dividends</t>
        </is>
      </c>
      <c r="E521" s="88" t="n">
        <v>38.74</v>
      </c>
      <c r="F521" s="89">
        <f>IF(E521="","",IF(OR(D521="",D521="Uncategorized"),IF(E521&lt;0,"Expense","Income"),IFERROR(INDEX(Categories!$B$6:$B$65,MATCH(D521,Categories!$A$6:$A$65,0)),IF(E521&lt;0,"Expense","Income"))))</f>
        <v/>
      </c>
      <c r="G521" s="90">
        <f>IF(A521="","",DATE(YEAR(A521),MONTH(A521),1))</f>
        <v/>
      </c>
      <c r="H521" s="87" t="n"/>
      <c r="I521" s="87" t="n"/>
      <c r="J521" s="91" t="inlineStr">
        <is>
          <t>INTEREST PAYMENT</t>
        </is>
      </c>
      <c r="K521" s="91" t="inlineStr">
        <is>
          <t>Sample Bank</t>
        </is>
      </c>
      <c r="L521" s="91" t="inlineStr">
        <is>
          <t>Savings</t>
        </is>
      </c>
      <c r="M521" s="91" t="inlineStr">
        <is>
          <t>Savings.qfx</t>
        </is>
      </c>
      <c r="N521" s="91" t="inlineStr">
        <is>
          <t>2026-10-15 20:14:07</t>
        </is>
      </c>
      <c r="O521" s="91" t="inlineStr">
        <is>
          <t>773002025112801</t>
        </is>
      </c>
      <c r="P521" s="91" t="inlineStr">
        <is>
          <t>HIGH-YIELD SAVINGS|ID|773002025112801#1</t>
        </is>
      </c>
      <c r="Q521" s="92">
        <f>IF(AND(G521=RptMonth,F521="Expense",N(E521)&lt;0),-E521+ROW()/10000000,"")</f>
        <v/>
      </c>
    </row>
    <row r="522">
      <c r="A522" s="86" t="n">
        <v>45988</v>
      </c>
      <c r="B522" s="87" t="inlineStr">
        <is>
          <t>Rewards Visa</t>
        </is>
      </c>
      <c r="C522" s="87" t="inlineStr">
        <is>
          <t>LOCAL PIZZERIA</t>
        </is>
      </c>
      <c r="D522" s="87" t="inlineStr">
        <is>
          <t>Dining Out</t>
        </is>
      </c>
      <c r="E522" s="88" t="n">
        <v>-34.76</v>
      </c>
      <c r="F522" s="89">
        <f>IF(E522="","",IF(OR(D522="",D522="Uncategorized"),IF(E522&lt;0,"Expense","Income"),IFERROR(INDEX(Categories!$B$6:$B$65,MATCH(D522,Categories!$A$6:$A$65,0)),IF(E522&lt;0,"Expense","Income"))))</f>
        <v/>
      </c>
      <c r="G522" s="90">
        <f>IF(A522="","",DATE(YEAR(A522),MONTH(A522),1))</f>
        <v/>
      </c>
      <c r="H522" s="87" t="n"/>
      <c r="I522" s="87" t="n"/>
      <c r="J522" s="91" t="inlineStr">
        <is>
          <t>LOCAL PIZZERIA</t>
        </is>
      </c>
      <c r="K522" s="91" t="inlineStr">
        <is>
          <t>Sample Card Co</t>
        </is>
      </c>
      <c r="L522" s="91" t="inlineStr">
        <is>
          <t>Credit Card</t>
        </is>
      </c>
      <c r="M522" s="91" t="inlineStr">
        <is>
          <t>Visa_Statement.csv</t>
        </is>
      </c>
      <c r="N522" s="91" t="inlineStr">
        <is>
          <t>2026-10-15 20:14:07</t>
        </is>
      </c>
      <c r="O522" s="91" t="n"/>
      <c r="P522" s="91" t="inlineStr">
        <is>
          <t>REWARDS VISA|20251127|-3476|LOCALPIZZERIA#1</t>
        </is>
      </c>
      <c r="Q522" s="92">
        <f>IF(AND(G522=RptMonth,F522="Expense",N(E522)&lt;0),-E522+ROW()/10000000,"")</f>
        <v/>
      </c>
    </row>
    <row r="523">
      <c r="A523" s="86" t="n">
        <v>45985</v>
      </c>
      <c r="B523" s="87" t="inlineStr">
        <is>
          <t>Rewards Visa</t>
        </is>
      </c>
      <c r="C523" s="87" t="inlineStr">
        <is>
          <t>CVS/PHARMACY #02210</t>
        </is>
      </c>
      <c r="D523" s="87" t="inlineStr">
        <is>
          <t>Shopping</t>
        </is>
      </c>
      <c r="E523" s="88" t="n">
        <v>-42.39</v>
      </c>
      <c r="F523" s="89">
        <f>IF(E523="","",IF(OR(D523="",D523="Uncategorized"),IF(E523&lt;0,"Expense","Income"),IFERROR(INDEX(Categories!$B$6:$B$65,MATCH(D523,Categories!$A$6:$A$65,0)),IF(E523&lt;0,"Expense","Income"))))</f>
        <v/>
      </c>
      <c r="G523" s="90">
        <f>IF(A523="","",DATE(YEAR(A523),MONTH(A523),1))</f>
        <v/>
      </c>
      <c r="H523" s="87" t="n"/>
      <c r="I523" s="87" t="n"/>
      <c r="J523" s="91" t="inlineStr">
        <is>
          <t>CVS/PHARMACY #02210</t>
        </is>
      </c>
      <c r="K523" s="91" t="inlineStr">
        <is>
          <t>Sample Card Co</t>
        </is>
      </c>
      <c r="L523" s="91" t="inlineStr">
        <is>
          <t>Credit Card</t>
        </is>
      </c>
      <c r="M523" s="91" t="inlineStr">
        <is>
          <t>Visa_Statement.csv</t>
        </is>
      </c>
      <c r="N523" s="91" t="inlineStr">
        <is>
          <t>2026-10-15 20:14:07</t>
        </is>
      </c>
      <c r="O523" s="91" t="n"/>
      <c r="P523" s="91" t="inlineStr">
        <is>
          <t>REWARDS VISA|20251124|-4239|CVSPHARMACY02210#1</t>
        </is>
      </c>
      <c r="Q523" s="92">
        <f>IF(AND(G523=RptMonth,F523="Expense",N(E523)&lt;0),-E523+ROW()/10000000,"")</f>
        <v/>
      </c>
    </row>
    <row r="524">
      <c r="A524" s="86" t="n">
        <v>45983</v>
      </c>
      <c r="B524" s="87" t="inlineStr">
        <is>
          <t>Rewards Visa</t>
        </is>
      </c>
      <c r="C524" s="87" t="inlineStr">
        <is>
          <t>H MART #112</t>
        </is>
      </c>
      <c r="D524" s="87" t="inlineStr">
        <is>
          <t>Groceries</t>
        </is>
      </c>
      <c r="E524" s="88" t="n">
        <v>-163.34</v>
      </c>
      <c r="F524" s="89">
        <f>IF(E524="","",IF(OR(D524="",D524="Uncategorized"),IF(E524&lt;0,"Expense","Income"),IFERROR(INDEX(Categories!$B$6:$B$65,MATCH(D524,Categories!$A$6:$A$65,0)),IF(E524&lt;0,"Expense","Income"))))</f>
        <v/>
      </c>
      <c r="G524" s="90">
        <f>IF(A524="","",DATE(YEAR(A524),MONTH(A524),1))</f>
        <v/>
      </c>
      <c r="H524" s="87" t="n"/>
      <c r="I524" s="87" t="n"/>
      <c r="J524" s="91" t="inlineStr">
        <is>
          <t>H MART #112</t>
        </is>
      </c>
      <c r="K524" s="91" t="inlineStr">
        <is>
          <t>Sample Card Co</t>
        </is>
      </c>
      <c r="L524" s="91" t="inlineStr">
        <is>
          <t>Credit Card</t>
        </is>
      </c>
      <c r="M524" s="91" t="inlineStr">
        <is>
          <t>Visa_Statement.csv</t>
        </is>
      </c>
      <c r="N524" s="91" t="inlineStr">
        <is>
          <t>2026-10-15 20:14:07</t>
        </is>
      </c>
      <c r="O524" s="91" t="n"/>
      <c r="P524" s="91" t="inlineStr">
        <is>
          <t>REWARDS VISA|20251122|-16334|HMART112#1</t>
        </is>
      </c>
      <c r="Q524" s="92">
        <f>IF(AND(G524=RptMonth,F524="Expense",N(E524)&lt;0),-E524+ROW()/10000000,"")</f>
        <v/>
      </c>
    </row>
    <row r="525">
      <c r="A525" s="86" t="n">
        <v>45982</v>
      </c>
      <c r="B525" s="87" t="inlineStr">
        <is>
          <t>Rewards Visa</t>
        </is>
      </c>
      <c r="C525" s="87" t="inlineStr">
        <is>
          <t>GREAT CLIPS #4410</t>
        </is>
      </c>
      <c r="D525" s="87" t="inlineStr">
        <is>
          <t>Personal Care</t>
        </is>
      </c>
      <c r="E525" s="88" t="n">
        <v>-29.21</v>
      </c>
      <c r="F525" s="89">
        <f>IF(E525="","",IF(OR(D525="",D525="Uncategorized"),IF(E525&lt;0,"Expense","Income"),IFERROR(INDEX(Categories!$B$6:$B$65,MATCH(D525,Categories!$A$6:$A$65,0)),IF(E525&lt;0,"Expense","Income"))))</f>
        <v/>
      </c>
      <c r="G525" s="90">
        <f>IF(A525="","",DATE(YEAR(A525),MONTH(A525),1))</f>
        <v/>
      </c>
      <c r="H525" s="87" t="n"/>
      <c r="I525" s="87" t="n"/>
      <c r="J525" s="91" t="inlineStr">
        <is>
          <t>GREAT CLIPS #4410</t>
        </is>
      </c>
      <c r="K525" s="91" t="inlineStr">
        <is>
          <t>Sample Card Co</t>
        </is>
      </c>
      <c r="L525" s="91" t="inlineStr">
        <is>
          <t>Credit Card</t>
        </is>
      </c>
      <c r="M525" s="91" t="inlineStr">
        <is>
          <t>Visa_Statement.csv</t>
        </is>
      </c>
      <c r="N525" s="91" t="inlineStr">
        <is>
          <t>2026-10-15 20:14:07</t>
        </is>
      </c>
      <c r="O525" s="91" t="n"/>
      <c r="P525" s="91" t="inlineStr">
        <is>
          <t>REWARDS VISA|20251121|-2921|GREATCLIPS4410#1</t>
        </is>
      </c>
      <c r="Q525" s="92">
        <f>IF(AND(G525=RptMonth,F525="Expense",N(E525)&lt;0),-E525+ROW()/10000000,"")</f>
        <v/>
      </c>
    </row>
    <row r="526">
      <c r="A526" s="86" t="n">
        <v>45982</v>
      </c>
      <c r="B526" s="87" t="inlineStr">
        <is>
          <t>Rewards Visa</t>
        </is>
      </c>
      <c r="C526" s="87" t="inlineStr">
        <is>
          <t>SHELL OIL 57444</t>
        </is>
      </c>
      <c r="D526" s="87" t="inlineStr">
        <is>
          <t>Gas &amp; Fuel</t>
        </is>
      </c>
      <c r="E526" s="88" t="n">
        <v>-58.46</v>
      </c>
      <c r="F526" s="89">
        <f>IF(E526="","",IF(OR(D526="",D526="Uncategorized"),IF(E526&lt;0,"Expense","Income"),IFERROR(INDEX(Categories!$B$6:$B$65,MATCH(D526,Categories!$A$6:$A$65,0)),IF(E526&lt;0,"Expense","Income"))))</f>
        <v/>
      </c>
      <c r="G526" s="90">
        <f>IF(A526="","",DATE(YEAR(A526),MONTH(A526),1))</f>
        <v/>
      </c>
      <c r="H526" s="87" t="n"/>
      <c r="I526" s="87" t="n"/>
      <c r="J526" s="91" t="inlineStr">
        <is>
          <t>SHELL OIL 57444</t>
        </is>
      </c>
      <c r="K526" s="91" t="inlineStr">
        <is>
          <t>Sample Card Co</t>
        </is>
      </c>
      <c r="L526" s="91" t="inlineStr">
        <is>
          <t>Credit Card</t>
        </is>
      </c>
      <c r="M526" s="91" t="inlineStr">
        <is>
          <t>Visa_Statement.csv</t>
        </is>
      </c>
      <c r="N526" s="91" t="inlineStr">
        <is>
          <t>2026-10-15 20:14:07</t>
        </is>
      </c>
      <c r="O526" s="91" t="n"/>
      <c r="P526" s="91" t="inlineStr">
        <is>
          <t>REWARDS VISA|20251121|-5846|SHELLOIL57444#1</t>
        </is>
      </c>
      <c r="Q526" s="92">
        <f>IF(AND(G526=RptMonth,F526="Expense",N(E526)&lt;0),-E526+ROW()/10000000,"")</f>
        <v/>
      </c>
    </row>
    <row r="527">
      <c r="A527" s="86" t="n">
        <v>45981</v>
      </c>
      <c r="B527" s="87" t="inlineStr">
        <is>
          <t>Everyday Checking</t>
        </is>
      </c>
      <c r="C527" s="87" t="inlineStr">
        <is>
          <t>CREDIT CARD PAYMENT REWARDS VISA</t>
        </is>
      </c>
      <c r="D527" s="87" t="inlineStr">
        <is>
          <t>Credit Card Payment</t>
        </is>
      </c>
      <c r="E527" s="88" t="n">
        <v>-2122.79</v>
      </c>
      <c r="F527" s="89">
        <f>IF(E527="","",IF(OR(D527="",D527="Uncategorized"),IF(E527&lt;0,"Expense","Income"),IFERROR(INDEX(Categories!$B$6:$B$65,MATCH(D527,Categories!$A$6:$A$65,0)),IF(E527&lt;0,"Expense","Income"))))</f>
        <v/>
      </c>
      <c r="G527" s="90">
        <f>IF(A527="","",DATE(YEAR(A527),MONTH(A527),1))</f>
        <v/>
      </c>
      <c r="H527" s="87" t="n"/>
      <c r="I527" s="87" t="n"/>
      <c r="J527" s="91" t="inlineStr">
        <is>
          <t>CREDIT CARD PAYMENT REWARDS VISA</t>
        </is>
      </c>
      <c r="K527" s="91" t="inlineStr">
        <is>
          <t>Sample Bank</t>
        </is>
      </c>
      <c r="L527" s="91" t="inlineStr">
        <is>
          <t>Checking</t>
        </is>
      </c>
      <c r="M527" s="91" t="inlineStr">
        <is>
          <t>Checking_Activity.csv</t>
        </is>
      </c>
      <c r="N527" s="91" t="inlineStr">
        <is>
          <t>2026-10-15 20:14:07</t>
        </is>
      </c>
      <c r="O527" s="91" t="n"/>
      <c r="P527" s="91" t="inlineStr">
        <is>
          <t>EVERYDAY CHECKING|20251120|-212279|CREDITCARDPAYMENTREWARDSVISA#1</t>
        </is>
      </c>
      <c r="Q527" s="92">
        <f>IF(AND(G527=RptMonth,F527="Expense",N(E527)&lt;0),-E527+ROW()/10000000,"")</f>
        <v/>
      </c>
    </row>
    <row r="528">
      <c r="A528" s="86" t="n">
        <v>45981</v>
      </c>
      <c r="B528" s="87" t="inlineStr">
        <is>
          <t>Rewards Visa</t>
        </is>
      </c>
      <c r="C528" s="87" t="inlineStr">
        <is>
          <t>AMAZON.COM*2K4LP0</t>
        </is>
      </c>
      <c r="D528" s="87" t="inlineStr">
        <is>
          <t>Shopping</t>
        </is>
      </c>
      <c r="E528" s="88" t="n">
        <v>-29.71</v>
      </c>
      <c r="F528" s="89">
        <f>IF(E528="","",IF(OR(D528="",D528="Uncategorized"),IF(E528&lt;0,"Expense","Income"),IFERROR(INDEX(Categories!$B$6:$B$65,MATCH(D528,Categories!$A$6:$A$65,0)),IF(E528&lt;0,"Expense","Income"))))</f>
        <v/>
      </c>
      <c r="G528" s="90">
        <f>IF(A528="","",DATE(YEAR(A528),MONTH(A528),1))</f>
        <v/>
      </c>
      <c r="H528" s="87" t="n"/>
      <c r="I528" s="87" t="n"/>
      <c r="J528" s="91" t="inlineStr">
        <is>
          <t>AMAZON.COM*2K4LP0</t>
        </is>
      </c>
      <c r="K528" s="91" t="inlineStr">
        <is>
          <t>Sample Card Co</t>
        </is>
      </c>
      <c r="L528" s="91" t="inlineStr">
        <is>
          <t>Credit Card</t>
        </is>
      </c>
      <c r="M528" s="91" t="inlineStr">
        <is>
          <t>Visa_Statement.csv</t>
        </is>
      </c>
      <c r="N528" s="91" t="inlineStr">
        <is>
          <t>2026-10-15 20:14:07</t>
        </is>
      </c>
      <c r="O528" s="91" t="n"/>
      <c r="P528" s="91" t="inlineStr">
        <is>
          <t>REWARDS VISA|20251120|-2971|AMAZONCOM2K4LP0#1</t>
        </is>
      </c>
      <c r="Q528" s="92">
        <f>IF(AND(G528=RptMonth,F528="Expense",N(E528)&lt;0),-E528+ROW()/10000000,"")</f>
        <v/>
      </c>
    </row>
    <row r="529">
      <c r="A529" s="86" t="n">
        <v>45981</v>
      </c>
      <c r="B529" s="87" t="inlineStr">
        <is>
          <t>Rewards Visa</t>
        </is>
      </c>
      <c r="C529" s="87" t="inlineStr">
        <is>
          <t>PAYMENT THANK YOU</t>
        </is>
      </c>
      <c r="D529" s="87" t="inlineStr">
        <is>
          <t>Credit Card Payment</t>
        </is>
      </c>
      <c r="E529" s="88" t="n">
        <v>2122.79</v>
      </c>
      <c r="F529" s="89">
        <f>IF(E529="","",IF(OR(D529="",D529="Uncategorized"),IF(E529&lt;0,"Expense","Income"),IFERROR(INDEX(Categories!$B$6:$B$65,MATCH(D529,Categories!$A$6:$A$65,0)),IF(E529&lt;0,"Expense","Income"))))</f>
        <v/>
      </c>
      <c r="G529" s="90">
        <f>IF(A529="","",DATE(YEAR(A529),MONTH(A529),1))</f>
        <v/>
      </c>
      <c r="H529" s="87" t="n"/>
      <c r="I529" s="87" t="n"/>
      <c r="J529" s="91" t="inlineStr">
        <is>
          <t>PAYMENT THANK YOU</t>
        </is>
      </c>
      <c r="K529" s="91" t="inlineStr">
        <is>
          <t>Sample Card Co</t>
        </is>
      </c>
      <c r="L529" s="91" t="inlineStr">
        <is>
          <t>Credit Card</t>
        </is>
      </c>
      <c r="M529" s="91" t="inlineStr">
        <is>
          <t>Visa_Statement.csv</t>
        </is>
      </c>
      <c r="N529" s="91" t="inlineStr">
        <is>
          <t>2026-10-15 20:14:07</t>
        </is>
      </c>
      <c r="O529" s="91" t="n"/>
      <c r="P529" s="91" t="inlineStr">
        <is>
          <t>REWARDS VISA|20251120|212279|PAYMENTTHANKYOU#1</t>
        </is>
      </c>
      <c r="Q529" s="92">
        <f>IF(AND(G529=RptMonth,F529="Expense",N(E529)&lt;0),-E529+ROW()/10000000,"")</f>
        <v/>
      </c>
    </row>
    <row r="530">
      <c r="A530" s="86" t="n">
        <v>45980</v>
      </c>
      <c r="B530" s="87" t="inlineStr">
        <is>
          <t>Rewards Visa</t>
        </is>
      </c>
      <c r="C530" s="87" t="inlineStr">
        <is>
          <t>AMC THEATRES 0221</t>
        </is>
      </c>
      <c r="D530" s="87" t="inlineStr">
        <is>
          <t>Entertainment</t>
        </is>
      </c>
      <c r="E530" s="88" t="n">
        <v>-80.61</v>
      </c>
      <c r="F530" s="89">
        <f>IF(E530="","",IF(OR(D530="",D530="Uncategorized"),IF(E530&lt;0,"Expense","Income"),IFERROR(INDEX(Categories!$B$6:$B$65,MATCH(D530,Categories!$A$6:$A$65,0)),IF(E530&lt;0,"Expense","Income"))))</f>
        <v/>
      </c>
      <c r="G530" s="90">
        <f>IF(A530="","",DATE(YEAR(A530),MONTH(A530),1))</f>
        <v/>
      </c>
      <c r="H530" s="87" t="n"/>
      <c r="I530" s="87" t="n"/>
      <c r="J530" s="91" t="inlineStr">
        <is>
          <t>AMC THEATRES 0221</t>
        </is>
      </c>
      <c r="K530" s="91" t="inlineStr">
        <is>
          <t>Sample Card Co</t>
        </is>
      </c>
      <c r="L530" s="91" t="inlineStr">
        <is>
          <t>Credit Card</t>
        </is>
      </c>
      <c r="M530" s="91" t="inlineStr">
        <is>
          <t>Visa_Statement.csv</t>
        </is>
      </c>
      <c r="N530" s="91" t="inlineStr">
        <is>
          <t>2026-10-15 20:14:07</t>
        </is>
      </c>
      <c r="O530" s="91" t="n"/>
      <c r="P530" s="91" t="inlineStr">
        <is>
          <t>REWARDS VISA|20251119|-8061|AMCTHEATRES0221#1</t>
        </is>
      </c>
      <c r="Q530" s="92">
        <f>IF(AND(G530=RptMonth,F530="Expense",N(E530)&lt;0),-E530+ROW()/10000000,"")</f>
        <v/>
      </c>
    </row>
    <row r="531">
      <c r="A531" s="86" t="n">
        <v>45980</v>
      </c>
      <c r="B531" s="87" t="inlineStr">
        <is>
          <t>Rewards Visa</t>
        </is>
      </c>
      <c r="C531" s="87" t="inlineStr">
        <is>
          <t>BEST BUY 00412</t>
        </is>
      </c>
      <c r="D531" s="87" t="inlineStr">
        <is>
          <t>Shopping</t>
        </is>
      </c>
      <c r="E531" s="88" t="n">
        <v>-118.13</v>
      </c>
      <c r="F531" s="89">
        <f>IF(E531="","",IF(OR(D531="",D531="Uncategorized"),IF(E531&lt;0,"Expense","Income"),IFERROR(INDEX(Categories!$B$6:$B$65,MATCH(D531,Categories!$A$6:$A$65,0)),IF(E531&lt;0,"Expense","Income"))))</f>
        <v/>
      </c>
      <c r="G531" s="90">
        <f>IF(A531="","",DATE(YEAR(A531),MONTH(A531),1))</f>
        <v/>
      </c>
      <c r="H531" s="87" t="n"/>
      <c r="I531" s="87" t="n"/>
      <c r="J531" s="91" t="inlineStr">
        <is>
          <t>BEST BUY 00412</t>
        </is>
      </c>
      <c r="K531" s="91" t="inlineStr">
        <is>
          <t>Sample Card Co</t>
        </is>
      </c>
      <c r="L531" s="91" t="inlineStr">
        <is>
          <t>Credit Card</t>
        </is>
      </c>
      <c r="M531" s="91" t="inlineStr">
        <is>
          <t>Visa_Statement.csv</t>
        </is>
      </c>
      <c r="N531" s="91" t="inlineStr">
        <is>
          <t>2026-10-15 20:14:07</t>
        </is>
      </c>
      <c r="O531" s="91" t="n"/>
      <c r="P531" s="91" t="inlineStr">
        <is>
          <t>REWARDS VISA|20251119|-11813|BESTBUY00412#1</t>
        </is>
      </c>
      <c r="Q531" s="92">
        <f>IF(AND(G531=RptMonth,F531="Expense",N(E531)&lt;0),-E531+ROW()/10000000,"")</f>
        <v/>
      </c>
    </row>
    <row r="532">
      <c r="A532" s="86" t="n">
        <v>45979</v>
      </c>
      <c r="B532" s="87" t="inlineStr">
        <is>
          <t>Everyday Checking</t>
        </is>
      </c>
      <c r="C532" s="87" t="inlineStr">
        <is>
          <t>SAMPLE LOAN SERVICER STUDENT LOAN</t>
        </is>
      </c>
      <c r="D532" s="87" t="inlineStr">
        <is>
          <t>Loan Payments</t>
        </is>
      </c>
      <c r="E532" s="88" t="n">
        <v>-260</v>
      </c>
      <c r="F532" s="89">
        <f>IF(E532="","",IF(OR(D532="",D532="Uncategorized"),IF(E532&lt;0,"Expense","Income"),IFERROR(INDEX(Categories!$B$6:$B$65,MATCH(D532,Categories!$A$6:$A$65,0)),IF(E532&lt;0,"Expense","Income"))))</f>
        <v/>
      </c>
      <c r="G532" s="90">
        <f>IF(A532="","",DATE(YEAR(A532),MONTH(A532),1))</f>
        <v/>
      </c>
      <c r="H532" s="87" t="n"/>
      <c r="I532" s="87" t="n"/>
      <c r="J532" s="91" t="inlineStr">
        <is>
          <t>SAMPLE LOAN SERVICER STUDENT LOAN</t>
        </is>
      </c>
      <c r="K532" s="91" t="inlineStr">
        <is>
          <t>Sample Bank</t>
        </is>
      </c>
      <c r="L532" s="91" t="inlineStr">
        <is>
          <t>Checking</t>
        </is>
      </c>
      <c r="M532" s="91" t="inlineStr">
        <is>
          <t>Checking_Activity.csv</t>
        </is>
      </c>
      <c r="N532" s="91" t="inlineStr">
        <is>
          <t>2026-10-15 20:14:07</t>
        </is>
      </c>
      <c r="O532" s="91" t="n"/>
      <c r="P532" s="91" t="inlineStr">
        <is>
          <t>EVERYDAY CHECKING|20251118|-26000|SAMPLELOANSERVICERSTUDENTLOAN#1</t>
        </is>
      </c>
      <c r="Q532" s="92">
        <f>IF(AND(G532=RptMonth,F532="Expense",N(E532)&lt;0),-E532+ROW()/10000000,"")</f>
        <v/>
      </c>
    </row>
    <row r="533">
      <c r="A533" s="86" t="n">
        <v>45979</v>
      </c>
      <c r="B533" s="87" t="inlineStr">
        <is>
          <t>Rewards Visa</t>
        </is>
      </c>
      <c r="C533" s="87" t="inlineStr">
        <is>
          <t>STARBUCKS STORE 08123</t>
        </is>
      </c>
      <c r="D533" s="87" t="inlineStr">
        <is>
          <t>Dining Out</t>
        </is>
      </c>
      <c r="E533" s="88" t="n">
        <v>-44.53</v>
      </c>
      <c r="F533" s="89">
        <f>IF(E533="","",IF(OR(D533="",D533="Uncategorized"),IF(E533&lt;0,"Expense","Income"),IFERROR(INDEX(Categories!$B$6:$B$65,MATCH(D533,Categories!$A$6:$A$65,0)),IF(E533&lt;0,"Expense","Income"))))</f>
        <v/>
      </c>
      <c r="G533" s="90">
        <f>IF(A533="","",DATE(YEAR(A533),MONTH(A533),1))</f>
        <v/>
      </c>
      <c r="H533" s="87" t="n"/>
      <c r="I533" s="87" t="n"/>
      <c r="J533" s="91" t="inlineStr">
        <is>
          <t>STARBUCKS STORE 08123</t>
        </is>
      </c>
      <c r="K533" s="91" t="inlineStr">
        <is>
          <t>Sample Card Co</t>
        </is>
      </c>
      <c r="L533" s="91" t="inlineStr">
        <is>
          <t>Credit Card</t>
        </is>
      </c>
      <c r="M533" s="91" t="inlineStr">
        <is>
          <t>Visa_Statement.csv</t>
        </is>
      </c>
      <c r="N533" s="91" t="inlineStr">
        <is>
          <t>2026-10-15 20:14:07</t>
        </is>
      </c>
      <c r="O533" s="91" t="n"/>
      <c r="P533" s="91" t="inlineStr">
        <is>
          <t>REWARDS VISA|20251118|-4453|STARBUCKSSTORE08123#1</t>
        </is>
      </c>
      <c r="Q533" s="92">
        <f>IF(AND(G533=RptMonth,F533="Expense",N(E533)&lt;0),-E533+ROW()/10000000,"")</f>
        <v/>
      </c>
    </row>
    <row r="534">
      <c r="A534" s="86" t="n">
        <v>45977</v>
      </c>
      <c r="B534" s="87" t="inlineStr">
        <is>
          <t>Rewards Visa</t>
        </is>
      </c>
      <c r="C534" s="87" t="inlineStr">
        <is>
          <t>PLANET FITNESS</t>
        </is>
      </c>
      <c r="D534" s="87" t="inlineStr">
        <is>
          <t>Health &amp; Fitness</t>
        </is>
      </c>
      <c r="E534" s="88" t="n">
        <v>-24.99</v>
      </c>
      <c r="F534" s="89">
        <f>IF(E534="","",IF(OR(D534="",D534="Uncategorized"),IF(E534&lt;0,"Expense","Income"),IFERROR(INDEX(Categories!$B$6:$B$65,MATCH(D534,Categories!$A$6:$A$65,0)),IF(E534&lt;0,"Expense","Income"))))</f>
        <v/>
      </c>
      <c r="G534" s="90">
        <f>IF(A534="","",DATE(YEAR(A534),MONTH(A534),1))</f>
        <v/>
      </c>
      <c r="H534" s="87" t="n"/>
      <c r="I534" s="87" t="n"/>
      <c r="J534" s="91" t="inlineStr">
        <is>
          <t>PLANET FITNESS</t>
        </is>
      </c>
      <c r="K534" s="91" t="inlineStr">
        <is>
          <t>Sample Card Co</t>
        </is>
      </c>
      <c r="L534" s="91" t="inlineStr">
        <is>
          <t>Credit Card</t>
        </is>
      </c>
      <c r="M534" s="91" t="inlineStr">
        <is>
          <t>Visa_Statement.csv</t>
        </is>
      </c>
      <c r="N534" s="91" t="inlineStr">
        <is>
          <t>2026-10-15 20:14:07</t>
        </is>
      </c>
      <c r="O534" s="91" t="n"/>
      <c r="P534" s="91" t="inlineStr">
        <is>
          <t>REWARDS VISA|20251116|-2499|PLANETFITNESS#1</t>
        </is>
      </c>
      <c r="Q534" s="92">
        <f>IF(AND(G534=RptMonth,F534="Expense",N(E534)&lt;0),-E534+ROW()/10000000,"")</f>
        <v/>
      </c>
    </row>
    <row r="535">
      <c r="A535" s="86" t="n">
        <v>45976</v>
      </c>
      <c r="B535" s="87" t="inlineStr">
        <is>
          <t>Everyday Checking</t>
        </is>
      </c>
      <c r="C535" s="87" t="inlineStr">
        <is>
          <t>XFINITY INTERNET</t>
        </is>
      </c>
      <c r="D535" s="87" t="inlineStr">
        <is>
          <t>Phone &amp; Internet</t>
        </is>
      </c>
      <c r="E535" s="88" t="n">
        <v>-79.98999999999999</v>
      </c>
      <c r="F535" s="89">
        <f>IF(E535="","",IF(OR(D535="",D535="Uncategorized"),IF(E535&lt;0,"Expense","Income"),IFERROR(INDEX(Categories!$B$6:$B$65,MATCH(D535,Categories!$A$6:$A$65,0)),IF(E535&lt;0,"Expense","Income"))))</f>
        <v/>
      </c>
      <c r="G535" s="90">
        <f>IF(A535="","",DATE(YEAR(A535),MONTH(A535),1))</f>
        <v/>
      </c>
      <c r="H535" s="87" t="n"/>
      <c r="I535" s="87" t="n"/>
      <c r="J535" s="91" t="inlineStr">
        <is>
          <t>XFINITY INTERNET</t>
        </is>
      </c>
      <c r="K535" s="91" t="inlineStr">
        <is>
          <t>Sample Bank</t>
        </is>
      </c>
      <c r="L535" s="91" t="inlineStr">
        <is>
          <t>Checking</t>
        </is>
      </c>
      <c r="M535" s="91" t="inlineStr">
        <is>
          <t>Checking_Activity.csv</t>
        </is>
      </c>
      <c r="N535" s="91" t="inlineStr">
        <is>
          <t>2026-10-15 20:14:07</t>
        </is>
      </c>
      <c r="O535" s="91" t="n"/>
      <c r="P535" s="91" t="inlineStr">
        <is>
          <t>EVERYDAY CHECKING|20251115|-7999|XFINITYINTERNET#1</t>
        </is>
      </c>
      <c r="Q535" s="92">
        <f>IF(AND(G535=RptMonth,F535="Expense",N(E535)&lt;0),-E535+ROW()/10000000,"")</f>
        <v/>
      </c>
    </row>
    <row r="536">
      <c r="A536" s="86" t="n">
        <v>45976</v>
      </c>
      <c r="B536" s="87" t="inlineStr">
        <is>
          <t>Rewards Visa</t>
        </is>
      </c>
      <c r="C536" s="87" t="inlineStr">
        <is>
          <t>WHOLE FOODS MARKET #10312</t>
        </is>
      </c>
      <c r="D536" s="87" t="inlineStr">
        <is>
          <t>Groceries</t>
        </is>
      </c>
      <c r="E536" s="88" t="n">
        <v>-165.55</v>
      </c>
      <c r="F536" s="89">
        <f>IF(E536="","",IF(OR(D536="",D536="Uncategorized"),IF(E536&lt;0,"Expense","Income"),IFERROR(INDEX(Categories!$B$6:$B$65,MATCH(D536,Categories!$A$6:$A$65,0)),IF(E536&lt;0,"Expense","Income"))))</f>
        <v/>
      </c>
      <c r="G536" s="90">
        <f>IF(A536="","",DATE(YEAR(A536),MONTH(A536),1))</f>
        <v/>
      </c>
      <c r="H536" s="87" t="n"/>
      <c r="I536" s="87" t="n"/>
      <c r="J536" s="91" t="inlineStr">
        <is>
          <t>WHOLE FOODS MARKET #10312</t>
        </is>
      </c>
      <c r="K536" s="91" t="inlineStr">
        <is>
          <t>Sample Card Co</t>
        </is>
      </c>
      <c r="L536" s="91" t="inlineStr">
        <is>
          <t>Credit Card</t>
        </is>
      </c>
      <c r="M536" s="91" t="inlineStr">
        <is>
          <t>Visa_Statement.csv</t>
        </is>
      </c>
      <c r="N536" s="91" t="inlineStr">
        <is>
          <t>2026-10-15 20:14:07</t>
        </is>
      </c>
      <c r="O536" s="91" t="n"/>
      <c r="P536" s="91" t="inlineStr">
        <is>
          <t>REWARDS VISA|20251115|-16555|WHOLEFOODSMARKET10312#1</t>
        </is>
      </c>
      <c r="Q536" s="92">
        <f>IF(AND(G536=RptMonth,F536="Expense",N(E536)&lt;0),-E536+ROW()/10000000,"")</f>
        <v/>
      </c>
    </row>
    <row r="537">
      <c r="A537" s="86" t="n">
        <v>45975</v>
      </c>
      <c r="B537" s="87" t="inlineStr">
        <is>
          <t>Everyday Checking</t>
        </is>
      </c>
      <c r="C537" s="87" t="inlineStr">
        <is>
          <t>ACME CORP PAYROLL DIR DEP</t>
        </is>
      </c>
      <c r="D537" s="87" t="inlineStr">
        <is>
          <t>Salary</t>
        </is>
      </c>
      <c r="E537" s="88" t="n">
        <v>3352.18</v>
      </c>
      <c r="F537" s="89">
        <f>IF(E537="","",IF(OR(D537="",D537="Uncategorized"),IF(E537&lt;0,"Expense","Income"),IFERROR(INDEX(Categories!$B$6:$B$65,MATCH(D537,Categories!$A$6:$A$65,0)),IF(E537&lt;0,"Expense","Income"))))</f>
        <v/>
      </c>
      <c r="G537" s="90">
        <f>IF(A537="","",DATE(YEAR(A537),MONTH(A537),1))</f>
        <v/>
      </c>
      <c r="H537" s="87" t="n"/>
      <c r="I537" s="87" t="n"/>
      <c r="J537" s="91" t="inlineStr">
        <is>
          <t>ACME CORP PAYROLL DIR DEP</t>
        </is>
      </c>
      <c r="K537" s="91" t="inlineStr">
        <is>
          <t>Sample Bank</t>
        </is>
      </c>
      <c r="L537" s="91" t="inlineStr">
        <is>
          <t>Checking</t>
        </is>
      </c>
      <c r="M537" s="91" t="inlineStr">
        <is>
          <t>Checking_Activity.csv</t>
        </is>
      </c>
      <c r="N537" s="91" t="inlineStr">
        <is>
          <t>2026-10-15 20:14:07</t>
        </is>
      </c>
      <c r="O537" s="91" t="n"/>
      <c r="P537" s="91" t="inlineStr">
        <is>
          <t>EVERYDAY CHECKING|20251114|335218|ACMECORPPAYROLLDIRDEP#1</t>
        </is>
      </c>
      <c r="Q537" s="92">
        <f>IF(AND(G537=RptMonth,F537="Expense",N(E537)&lt;0),-E537+ROW()/10000000,"")</f>
        <v/>
      </c>
    </row>
    <row r="538">
      <c r="A538" s="86" t="n">
        <v>45975</v>
      </c>
      <c r="B538" s="87" t="inlineStr">
        <is>
          <t>Rewards Visa</t>
        </is>
      </c>
      <c r="C538" s="87" t="inlineStr">
        <is>
          <t>SHELL OIL 57444</t>
        </is>
      </c>
      <c r="D538" s="87" t="inlineStr">
        <is>
          <t>Gas &amp; Fuel</t>
        </is>
      </c>
      <c r="E538" s="88" t="n">
        <v>-46.31</v>
      </c>
      <c r="F538" s="89">
        <f>IF(E538="","",IF(OR(D538="",D538="Uncategorized"),IF(E538&lt;0,"Expense","Income"),IFERROR(INDEX(Categories!$B$6:$B$65,MATCH(D538,Categories!$A$6:$A$65,0)),IF(E538&lt;0,"Expense","Income"))))</f>
        <v/>
      </c>
      <c r="G538" s="90">
        <f>IF(A538="","",DATE(YEAR(A538),MONTH(A538),1))</f>
        <v/>
      </c>
      <c r="H538" s="87" t="n"/>
      <c r="I538" s="87" t="n"/>
      <c r="J538" s="91" t="inlineStr">
        <is>
          <t>SHELL OIL 57444</t>
        </is>
      </c>
      <c r="K538" s="91" t="inlineStr">
        <is>
          <t>Sample Card Co</t>
        </is>
      </c>
      <c r="L538" s="91" t="inlineStr">
        <is>
          <t>Credit Card</t>
        </is>
      </c>
      <c r="M538" s="91" t="inlineStr">
        <is>
          <t>Visa_Statement.csv</t>
        </is>
      </c>
      <c r="N538" s="91" t="inlineStr">
        <is>
          <t>2026-10-15 20:14:07</t>
        </is>
      </c>
      <c r="O538" s="91" t="n"/>
      <c r="P538" s="91" t="inlineStr">
        <is>
          <t>REWARDS VISA|20251114|-4631|SHELLOIL57444#1</t>
        </is>
      </c>
      <c r="Q538" s="92">
        <f>IF(AND(G538=RptMonth,F538="Expense",N(E538)&lt;0),-E538+ROW()/10000000,"")</f>
        <v/>
      </c>
    </row>
    <row r="539">
      <c r="A539" s="86" t="n">
        <v>45973</v>
      </c>
      <c r="B539" s="87" t="inlineStr">
        <is>
          <t>Everyday Checking</t>
        </is>
      </c>
      <c r="C539" s="87" t="inlineStr">
        <is>
          <t>VERIZON WIRELESS</t>
        </is>
      </c>
      <c r="D539" s="87" t="inlineStr">
        <is>
          <t>Phone &amp; Internet</t>
        </is>
      </c>
      <c r="E539" s="88" t="n">
        <v>-95</v>
      </c>
      <c r="F539" s="89">
        <f>IF(E539="","",IF(OR(D539="",D539="Uncategorized"),IF(E539&lt;0,"Expense","Income"),IFERROR(INDEX(Categories!$B$6:$B$65,MATCH(D539,Categories!$A$6:$A$65,0)),IF(E539&lt;0,"Expense","Income"))))</f>
        <v/>
      </c>
      <c r="G539" s="90">
        <f>IF(A539="","",DATE(YEAR(A539),MONTH(A539),1))</f>
        <v/>
      </c>
      <c r="H539" s="87" t="n"/>
      <c r="I539" s="87" t="n"/>
      <c r="J539" s="91" t="inlineStr">
        <is>
          <t>VERIZON WIRELESS</t>
        </is>
      </c>
      <c r="K539" s="91" t="inlineStr">
        <is>
          <t>Sample Bank</t>
        </is>
      </c>
      <c r="L539" s="91" t="inlineStr">
        <is>
          <t>Checking</t>
        </is>
      </c>
      <c r="M539" s="91" t="inlineStr">
        <is>
          <t>Checking_Activity.csv</t>
        </is>
      </c>
      <c r="N539" s="91" t="inlineStr">
        <is>
          <t>2026-10-15 20:14:07</t>
        </is>
      </c>
      <c r="O539" s="91" t="n"/>
      <c r="P539" s="91" t="inlineStr">
        <is>
          <t>EVERYDAY CHECKING|20251112|-9500|VERIZONWIRELESS#1</t>
        </is>
      </c>
      <c r="Q539" s="92">
        <f>IF(AND(G539=RptMonth,F539="Expense",N(E539)&lt;0),-E539+ROW()/10000000,"")</f>
        <v/>
      </c>
    </row>
    <row r="540">
      <c r="A540" s="86" t="n">
        <v>45972</v>
      </c>
      <c r="B540" s="87" t="inlineStr">
        <is>
          <t>Rewards Visa</t>
        </is>
      </c>
      <c r="C540" s="87" t="inlineStr">
        <is>
          <t>APPLE.COM/BILL</t>
        </is>
      </c>
      <c r="D540" s="87" t="inlineStr">
        <is>
          <t>Subscriptions</t>
        </is>
      </c>
      <c r="E540" s="88" t="n">
        <v>-2.99</v>
      </c>
      <c r="F540" s="89">
        <f>IF(E540="","",IF(OR(D540="",D540="Uncategorized"),IF(E540&lt;0,"Expense","Income"),IFERROR(INDEX(Categories!$B$6:$B$65,MATCH(D540,Categories!$A$6:$A$65,0)),IF(E540&lt;0,"Expense","Income"))))</f>
        <v/>
      </c>
      <c r="G540" s="90">
        <f>IF(A540="","",DATE(YEAR(A540),MONTH(A540),1))</f>
        <v/>
      </c>
      <c r="H540" s="87" t="n"/>
      <c r="I540" s="87" t="n"/>
      <c r="J540" s="91" t="inlineStr">
        <is>
          <t>APPLE.COM/BILL</t>
        </is>
      </c>
      <c r="K540" s="91" t="inlineStr">
        <is>
          <t>Sample Card Co</t>
        </is>
      </c>
      <c r="L540" s="91" t="inlineStr">
        <is>
          <t>Credit Card</t>
        </is>
      </c>
      <c r="M540" s="91" t="inlineStr">
        <is>
          <t>Visa_Statement.csv</t>
        </is>
      </c>
      <c r="N540" s="91" t="inlineStr">
        <is>
          <t>2026-10-15 20:14:07</t>
        </is>
      </c>
      <c r="O540" s="91" t="n"/>
      <c r="P540" s="91" t="inlineStr">
        <is>
          <t>REWARDS VISA|20251111|-299|APPLECOMBILL#1</t>
        </is>
      </c>
      <c r="Q540" s="92">
        <f>IF(AND(G540=RptMonth,F540="Expense",N(E540)&lt;0),-E540+ROW()/10000000,"")</f>
        <v/>
      </c>
    </row>
    <row r="541">
      <c r="A541" s="86" t="n">
        <v>45971</v>
      </c>
      <c r="B541" s="87" t="inlineStr">
        <is>
          <t>Everyday Checking</t>
        </is>
      </c>
      <c r="C541" s="87" t="inlineStr">
        <is>
          <t>SAMPLE AUTO FINANCE PMT</t>
        </is>
      </c>
      <c r="D541" s="87" t="inlineStr">
        <is>
          <t>Auto Payment</t>
        </is>
      </c>
      <c r="E541" s="88" t="n">
        <v>-385</v>
      </c>
      <c r="F541" s="89">
        <f>IF(E541="","",IF(OR(D541="",D541="Uncategorized"),IF(E541&lt;0,"Expense","Income"),IFERROR(INDEX(Categories!$B$6:$B$65,MATCH(D541,Categories!$A$6:$A$65,0)),IF(E541&lt;0,"Expense","Income"))))</f>
        <v/>
      </c>
      <c r="G541" s="90">
        <f>IF(A541="","",DATE(YEAR(A541),MONTH(A541),1))</f>
        <v/>
      </c>
      <c r="H541" s="87" t="n"/>
      <c r="I541" s="87" t="n"/>
      <c r="J541" s="91" t="inlineStr">
        <is>
          <t>SAMPLE AUTO FINANCE PMT</t>
        </is>
      </c>
      <c r="K541" s="91" t="inlineStr">
        <is>
          <t>Sample Bank</t>
        </is>
      </c>
      <c r="L541" s="91" t="inlineStr">
        <is>
          <t>Checking</t>
        </is>
      </c>
      <c r="M541" s="91" t="inlineStr">
        <is>
          <t>Checking_Activity.csv</t>
        </is>
      </c>
      <c r="N541" s="91" t="inlineStr">
        <is>
          <t>2026-10-15 20:14:07</t>
        </is>
      </c>
      <c r="O541" s="91" t="n"/>
      <c r="P541" s="91" t="inlineStr">
        <is>
          <t>EVERYDAY CHECKING|20251110|-38500|SAMPLEAUTOFINANCEPMT#1</t>
        </is>
      </c>
      <c r="Q541" s="92">
        <f>IF(AND(G541=RptMonth,F541="Expense",N(E541)&lt;0),-E541+ROW()/10000000,"")</f>
        <v/>
      </c>
    </row>
    <row r="542">
      <c r="A542" s="86" t="n">
        <v>45971</v>
      </c>
      <c r="B542" s="87" t="inlineStr">
        <is>
          <t>Rewards Visa</t>
        </is>
      </c>
      <c r="C542" s="87" t="inlineStr">
        <is>
          <t>LOCAL PIZZERIA</t>
        </is>
      </c>
      <c r="D542" s="87" t="inlineStr">
        <is>
          <t>Dining Out</t>
        </is>
      </c>
      <c r="E542" s="88" t="n">
        <v>-56.95</v>
      </c>
      <c r="F542" s="89">
        <f>IF(E542="","",IF(OR(D542="",D542="Uncategorized"),IF(E542&lt;0,"Expense","Income"),IFERROR(INDEX(Categories!$B$6:$B$65,MATCH(D542,Categories!$A$6:$A$65,0)),IF(E542&lt;0,"Expense","Income"))))</f>
        <v/>
      </c>
      <c r="G542" s="90">
        <f>IF(A542="","",DATE(YEAR(A542),MONTH(A542),1))</f>
        <v/>
      </c>
      <c r="H542" s="87" t="n"/>
      <c r="I542" s="87" t="n"/>
      <c r="J542" s="91" t="inlineStr">
        <is>
          <t>LOCAL PIZZERIA</t>
        </is>
      </c>
      <c r="K542" s="91" t="inlineStr">
        <is>
          <t>Sample Card Co</t>
        </is>
      </c>
      <c r="L542" s="91" t="inlineStr">
        <is>
          <t>Credit Card</t>
        </is>
      </c>
      <c r="M542" s="91" t="inlineStr">
        <is>
          <t>Visa_Statement.csv</t>
        </is>
      </c>
      <c r="N542" s="91" t="inlineStr">
        <is>
          <t>2026-10-15 20:14:07</t>
        </is>
      </c>
      <c r="O542" s="91" t="n"/>
      <c r="P542" s="91" t="inlineStr">
        <is>
          <t>REWARDS VISA|20251110|-5695|LOCALPIZZERIA#1</t>
        </is>
      </c>
      <c r="Q542" s="92">
        <f>IF(AND(G542=RptMonth,F542="Expense",N(E542)&lt;0),-E542+ROW()/10000000,"")</f>
        <v/>
      </c>
    </row>
    <row r="543">
      <c r="A543" s="86" t="n">
        <v>45971</v>
      </c>
      <c r="B543" s="87" t="inlineStr">
        <is>
          <t>Rewards Visa</t>
        </is>
      </c>
      <c r="C543" s="87" t="inlineStr">
        <is>
          <t>TARGET 00012345</t>
        </is>
      </c>
      <c r="D543" s="87" t="inlineStr">
        <is>
          <t>Shopping</t>
        </is>
      </c>
      <c r="E543" s="88" t="n">
        <v>-21.19</v>
      </c>
      <c r="F543" s="89">
        <f>IF(E543="","",IF(OR(D543="",D543="Uncategorized"),IF(E543&lt;0,"Expense","Income"),IFERROR(INDEX(Categories!$B$6:$B$65,MATCH(D543,Categories!$A$6:$A$65,0)),IF(E543&lt;0,"Expense","Income"))))</f>
        <v/>
      </c>
      <c r="G543" s="90">
        <f>IF(A543="","",DATE(YEAR(A543),MONTH(A543),1))</f>
        <v/>
      </c>
      <c r="H543" s="87" t="n"/>
      <c r="I543" s="87" t="n"/>
      <c r="J543" s="91" t="inlineStr">
        <is>
          <t>TARGET 00012345</t>
        </is>
      </c>
      <c r="K543" s="91" t="inlineStr">
        <is>
          <t>Sample Card Co</t>
        </is>
      </c>
      <c r="L543" s="91" t="inlineStr">
        <is>
          <t>Credit Card</t>
        </is>
      </c>
      <c r="M543" s="91" t="inlineStr">
        <is>
          <t>Visa_Statement.csv</t>
        </is>
      </c>
      <c r="N543" s="91" t="inlineStr">
        <is>
          <t>2026-10-15 20:14:07</t>
        </is>
      </c>
      <c r="O543" s="91" t="n"/>
      <c r="P543" s="91" t="inlineStr">
        <is>
          <t>REWARDS VISA|20251110|-2119|TARGET00012345#1</t>
        </is>
      </c>
      <c r="Q543" s="92">
        <f>IF(AND(G543=RptMonth,F543="Expense",N(E543)&lt;0),-E543+ROW()/10000000,"")</f>
        <v/>
      </c>
    </row>
    <row r="544">
      <c r="A544" s="86" t="n">
        <v>45970</v>
      </c>
      <c r="B544" s="87" t="inlineStr">
        <is>
          <t>Everyday Checking</t>
        </is>
      </c>
      <c r="C544" s="87" t="inlineStr">
        <is>
          <t>NJ NATURAL GAS PAYMENT</t>
        </is>
      </c>
      <c r="D544" s="87" t="inlineStr">
        <is>
          <t>Utilities</t>
        </is>
      </c>
      <c r="E544" s="88" t="n">
        <v>-149.16</v>
      </c>
      <c r="F544" s="89">
        <f>IF(E544="","",IF(OR(D544="",D544="Uncategorized"),IF(E544&lt;0,"Expense","Income"),IFERROR(INDEX(Categories!$B$6:$B$65,MATCH(D544,Categories!$A$6:$A$65,0)),IF(E544&lt;0,"Expense","Income"))))</f>
        <v/>
      </c>
      <c r="G544" s="90">
        <f>IF(A544="","",DATE(YEAR(A544),MONTH(A544),1))</f>
        <v/>
      </c>
      <c r="H544" s="87" t="n"/>
      <c r="I544" s="87" t="n"/>
      <c r="J544" s="91" t="inlineStr">
        <is>
          <t>NJ NATURAL GAS PAYMENT</t>
        </is>
      </c>
      <c r="K544" s="91" t="inlineStr">
        <is>
          <t>Sample Bank</t>
        </is>
      </c>
      <c r="L544" s="91" t="inlineStr">
        <is>
          <t>Checking</t>
        </is>
      </c>
      <c r="M544" s="91" t="inlineStr">
        <is>
          <t>Checking_Activity.csv</t>
        </is>
      </c>
      <c r="N544" s="91" t="inlineStr">
        <is>
          <t>2026-10-15 20:14:07</t>
        </is>
      </c>
      <c r="O544" s="91" t="n"/>
      <c r="P544" s="91" t="inlineStr">
        <is>
          <t>EVERYDAY CHECKING|20251109|-14916|NJNATURALGASPAYMENT#1</t>
        </is>
      </c>
      <c r="Q544" s="92">
        <f>IF(AND(G544=RptMonth,F544="Expense",N(E544)&lt;0),-E544+ROW()/10000000,"")</f>
        <v/>
      </c>
    </row>
    <row r="545">
      <c r="A545" s="86" t="n">
        <v>45970</v>
      </c>
      <c r="B545" s="87" t="inlineStr">
        <is>
          <t>Rewards Visa</t>
        </is>
      </c>
      <c r="C545" s="87" t="inlineStr">
        <is>
          <t>TARGET 00012345</t>
        </is>
      </c>
      <c r="D545" s="87" t="inlineStr">
        <is>
          <t>Shopping</t>
        </is>
      </c>
      <c r="E545" s="88" t="n">
        <v>-69.56999999999999</v>
      </c>
      <c r="F545" s="89">
        <f>IF(E545="","",IF(OR(D545="",D545="Uncategorized"),IF(E545&lt;0,"Expense","Income"),IFERROR(INDEX(Categories!$B$6:$B$65,MATCH(D545,Categories!$A$6:$A$65,0)),IF(E545&lt;0,"Expense","Income"))))</f>
        <v/>
      </c>
      <c r="G545" s="90">
        <f>IF(A545="","",DATE(YEAR(A545),MONTH(A545),1))</f>
        <v/>
      </c>
      <c r="H545" s="87" t="n"/>
      <c r="I545" s="87" t="n"/>
      <c r="J545" s="91" t="inlineStr">
        <is>
          <t>TARGET 00012345</t>
        </is>
      </c>
      <c r="K545" s="91" t="inlineStr">
        <is>
          <t>Sample Card Co</t>
        </is>
      </c>
      <c r="L545" s="91" t="inlineStr">
        <is>
          <t>Credit Card</t>
        </is>
      </c>
      <c r="M545" s="91" t="inlineStr">
        <is>
          <t>Visa_Statement.csv</t>
        </is>
      </c>
      <c r="N545" s="91" t="inlineStr">
        <is>
          <t>2026-10-15 20:14:07</t>
        </is>
      </c>
      <c r="O545" s="91" t="n"/>
      <c r="P545" s="91" t="inlineStr">
        <is>
          <t>REWARDS VISA|20251109|-6957|TARGET00012345#1</t>
        </is>
      </c>
      <c r="Q545" s="92">
        <f>IF(AND(G545=RptMonth,F545="Expense",N(E545)&lt;0),-E545+ROW()/10000000,"")</f>
        <v/>
      </c>
    </row>
    <row r="546">
      <c r="A546" s="86" t="n">
        <v>45969</v>
      </c>
      <c r="B546" s="87" t="inlineStr">
        <is>
          <t>Everyday Checking</t>
        </is>
      </c>
      <c r="C546" s="87" t="inlineStr">
        <is>
          <t>PSEG ELECTRIC BILL</t>
        </is>
      </c>
      <c r="D546" s="87" t="inlineStr">
        <is>
          <t>Utilities</t>
        </is>
      </c>
      <c r="E546" s="88" t="n">
        <v>-113.42</v>
      </c>
      <c r="F546" s="89">
        <f>IF(E546="","",IF(OR(D546="",D546="Uncategorized"),IF(E546&lt;0,"Expense","Income"),IFERROR(INDEX(Categories!$B$6:$B$65,MATCH(D546,Categories!$A$6:$A$65,0)),IF(E546&lt;0,"Expense","Income"))))</f>
        <v/>
      </c>
      <c r="G546" s="90">
        <f>IF(A546="","",DATE(YEAR(A546),MONTH(A546),1))</f>
        <v/>
      </c>
      <c r="H546" s="87" t="n"/>
      <c r="I546" s="87" t="n"/>
      <c r="J546" s="91" t="inlineStr">
        <is>
          <t>PSEG ELECTRIC BILL</t>
        </is>
      </c>
      <c r="K546" s="91" t="inlineStr">
        <is>
          <t>Sample Bank</t>
        </is>
      </c>
      <c r="L546" s="91" t="inlineStr">
        <is>
          <t>Checking</t>
        </is>
      </c>
      <c r="M546" s="91" t="inlineStr">
        <is>
          <t>Checking_Activity.csv</t>
        </is>
      </c>
      <c r="N546" s="91" t="inlineStr">
        <is>
          <t>2026-10-15 20:14:07</t>
        </is>
      </c>
      <c r="O546" s="91" t="n"/>
      <c r="P546" s="91" t="inlineStr">
        <is>
          <t>EVERYDAY CHECKING|20251108|-11342|PSEGELECTRICBILL#1</t>
        </is>
      </c>
      <c r="Q546" s="92">
        <f>IF(AND(G546=RptMonth,F546="Expense",N(E546)&lt;0),-E546+ROW()/10000000,"")</f>
        <v/>
      </c>
    </row>
    <row r="547">
      <c r="A547" s="86" t="n">
        <v>45969</v>
      </c>
      <c r="B547" s="87" t="inlineStr">
        <is>
          <t>Rewards Visa</t>
        </is>
      </c>
      <c r="C547" s="87" t="inlineStr">
        <is>
          <t>TRADER JOE'S #548</t>
        </is>
      </c>
      <c r="D547" s="87" t="inlineStr">
        <is>
          <t>Groceries</t>
        </is>
      </c>
      <c r="E547" s="88" t="n">
        <v>-126.75</v>
      </c>
      <c r="F547" s="89">
        <f>IF(E547="","",IF(OR(D547="",D547="Uncategorized"),IF(E547&lt;0,"Expense","Income"),IFERROR(INDEX(Categories!$B$6:$B$65,MATCH(D547,Categories!$A$6:$A$65,0)),IF(E547&lt;0,"Expense","Income"))))</f>
        <v/>
      </c>
      <c r="G547" s="90">
        <f>IF(A547="","",DATE(YEAR(A547),MONTH(A547),1))</f>
        <v/>
      </c>
      <c r="H547" s="87" t="n"/>
      <c r="I547" s="87" t="n"/>
      <c r="J547" s="91" t="inlineStr">
        <is>
          <t>TRADER JOE'S #548</t>
        </is>
      </c>
      <c r="K547" s="91" t="inlineStr">
        <is>
          <t>Sample Card Co</t>
        </is>
      </c>
      <c r="L547" s="91" t="inlineStr">
        <is>
          <t>Credit Card</t>
        </is>
      </c>
      <c r="M547" s="91" t="inlineStr">
        <is>
          <t>Visa_Statement.csv</t>
        </is>
      </c>
      <c r="N547" s="91" t="inlineStr">
        <is>
          <t>2026-10-15 20:14:07</t>
        </is>
      </c>
      <c r="O547" s="91" t="n"/>
      <c r="P547" s="91" t="inlineStr">
        <is>
          <t>REWARDS VISA|20251108|-12675|TRADERJOES548#1</t>
        </is>
      </c>
      <c r="Q547" s="92">
        <f>IF(AND(G547=RptMonth,F547="Expense",N(E547)&lt;0),-E547+ROW()/10000000,"")</f>
        <v/>
      </c>
    </row>
    <row r="548">
      <c r="A548" s="86" t="n">
        <v>45968</v>
      </c>
      <c r="B548" s="87" t="inlineStr">
        <is>
          <t>Rewards Visa</t>
        </is>
      </c>
      <c r="C548" s="87" t="inlineStr">
        <is>
          <t>AMAZON.COM*2K4LP0</t>
        </is>
      </c>
      <c r="D548" s="87" t="inlineStr">
        <is>
          <t>Shopping</t>
        </is>
      </c>
      <c r="E548" s="88" t="n">
        <v>-108.84</v>
      </c>
      <c r="F548" s="89">
        <f>IF(E548="","",IF(OR(D548="",D548="Uncategorized"),IF(E548&lt;0,"Expense","Income"),IFERROR(INDEX(Categories!$B$6:$B$65,MATCH(D548,Categories!$A$6:$A$65,0)),IF(E548&lt;0,"Expense","Income"))))</f>
        <v/>
      </c>
      <c r="G548" s="90">
        <f>IF(A548="","",DATE(YEAR(A548),MONTH(A548),1))</f>
        <v/>
      </c>
      <c r="H548" s="87" t="n"/>
      <c r="I548" s="87" t="n"/>
      <c r="J548" s="91" t="inlineStr">
        <is>
          <t>AMAZON.COM*2K4LP0</t>
        </is>
      </c>
      <c r="K548" s="91" t="inlineStr">
        <is>
          <t>Sample Card Co</t>
        </is>
      </c>
      <c r="L548" s="91" t="inlineStr">
        <is>
          <t>Credit Card</t>
        </is>
      </c>
      <c r="M548" s="91" t="inlineStr">
        <is>
          <t>Visa_Statement.csv</t>
        </is>
      </c>
      <c r="N548" s="91" t="inlineStr">
        <is>
          <t>2026-10-15 20:14:07</t>
        </is>
      </c>
      <c r="O548" s="91" t="n"/>
      <c r="P548" s="91" t="inlineStr">
        <is>
          <t>REWARDS VISA|20251107|-10884|AMAZONCOM2K4LP0#1</t>
        </is>
      </c>
      <c r="Q548" s="92">
        <f>IF(AND(G548=RptMonth,F548="Expense",N(E548)&lt;0),-E548+ROW()/10000000,"")</f>
        <v/>
      </c>
    </row>
    <row r="549">
      <c r="A549" s="86" t="n">
        <v>45968</v>
      </c>
      <c r="B549" s="87" t="inlineStr">
        <is>
          <t>Rewards Visa</t>
        </is>
      </c>
      <c r="C549" s="87" t="inlineStr">
        <is>
          <t>SPOTIFY USA</t>
        </is>
      </c>
      <c r="D549" s="87" t="inlineStr">
        <is>
          <t>Subscriptions</t>
        </is>
      </c>
      <c r="E549" s="88" t="n">
        <v>-11.99</v>
      </c>
      <c r="F549" s="89">
        <f>IF(E549="","",IF(OR(D549="",D549="Uncategorized"),IF(E549&lt;0,"Expense","Income"),IFERROR(INDEX(Categories!$B$6:$B$65,MATCH(D549,Categories!$A$6:$A$65,0)),IF(E549&lt;0,"Expense","Income"))))</f>
        <v/>
      </c>
      <c r="G549" s="90">
        <f>IF(A549="","",DATE(YEAR(A549),MONTH(A549),1))</f>
        <v/>
      </c>
      <c r="H549" s="87" t="n"/>
      <c r="I549" s="87" t="n"/>
      <c r="J549" s="91" t="inlineStr">
        <is>
          <t>SPOTIFY USA</t>
        </is>
      </c>
      <c r="K549" s="91" t="inlineStr">
        <is>
          <t>Sample Card Co</t>
        </is>
      </c>
      <c r="L549" s="91" t="inlineStr">
        <is>
          <t>Credit Card</t>
        </is>
      </c>
      <c r="M549" s="91" t="inlineStr">
        <is>
          <t>Visa_Statement.csv</t>
        </is>
      </c>
      <c r="N549" s="91" t="inlineStr">
        <is>
          <t>2026-10-15 20:14:07</t>
        </is>
      </c>
      <c r="O549" s="91" t="n"/>
      <c r="P549" s="91" t="inlineStr">
        <is>
          <t>REWARDS VISA|20251107|-1199|SPOTIFYUSA#1</t>
        </is>
      </c>
      <c r="Q549" s="92">
        <f>IF(AND(G549=RptMonth,F549="Expense",N(E549)&lt;0),-E549+ROW()/10000000,"")</f>
        <v/>
      </c>
    </row>
    <row r="550">
      <c r="A550" s="86" t="n">
        <v>45966</v>
      </c>
      <c r="B550" s="87" t="inlineStr">
        <is>
          <t>Everyday Checking</t>
        </is>
      </c>
      <c r="C550" s="87" t="inlineStr">
        <is>
          <t>ONLINE TRANSFER TO HIGH-YIELD SAVINGS</t>
        </is>
      </c>
      <c r="D550" s="87" t="inlineStr">
        <is>
          <t>Transfer</t>
        </is>
      </c>
      <c r="E550" s="88" t="n">
        <v>-500</v>
      </c>
      <c r="F550" s="89">
        <f>IF(E550="","",IF(OR(D550="",D550="Uncategorized"),IF(E550&lt;0,"Expense","Income"),IFERROR(INDEX(Categories!$B$6:$B$65,MATCH(D550,Categories!$A$6:$A$65,0)),IF(E550&lt;0,"Expense","Income"))))</f>
        <v/>
      </c>
      <c r="G550" s="90">
        <f>IF(A550="","",DATE(YEAR(A550),MONTH(A550),1))</f>
        <v/>
      </c>
      <c r="H550" s="87" t="n"/>
      <c r="I550" s="87" t="n"/>
      <c r="J550" s="91" t="inlineStr">
        <is>
          <t>ONLINE TRANSFER TO HIGH-YIELD SAVINGS</t>
        </is>
      </c>
      <c r="K550" s="91" t="inlineStr">
        <is>
          <t>Sample Bank</t>
        </is>
      </c>
      <c r="L550" s="91" t="inlineStr">
        <is>
          <t>Checking</t>
        </is>
      </c>
      <c r="M550" s="91" t="inlineStr">
        <is>
          <t>Checking_Activity.csv</t>
        </is>
      </c>
      <c r="N550" s="91" t="inlineStr">
        <is>
          <t>2026-10-15 20:14:07</t>
        </is>
      </c>
      <c r="O550" s="91" t="n"/>
      <c r="P550" s="91" t="inlineStr">
        <is>
          <t>EVERYDAY CHECKING|20251105|-50000|ONLINETRANSFERTOHIGHYIELDSAVINGS#1</t>
        </is>
      </c>
      <c r="Q550" s="92">
        <f>IF(AND(G550=RptMonth,F550="Expense",N(E550)&lt;0),-E550+ROW()/10000000,"")</f>
        <v/>
      </c>
    </row>
    <row r="551">
      <c r="A551" s="86" t="n">
        <v>45966</v>
      </c>
      <c r="B551" s="87" t="inlineStr">
        <is>
          <t>High-Yield Savings</t>
        </is>
      </c>
      <c r="C551" s="87" t="inlineStr">
        <is>
          <t>ONLINE TRANSFER FROM EVERYDAY CHECKING</t>
        </is>
      </c>
      <c r="D551" s="87" t="inlineStr">
        <is>
          <t>Transfer</t>
        </is>
      </c>
      <c r="E551" s="88" t="n">
        <v>500</v>
      </c>
      <c r="F551" s="89">
        <f>IF(E551="","",IF(OR(D551="",D551="Uncategorized"),IF(E551&lt;0,"Expense","Income"),IFERROR(INDEX(Categories!$B$6:$B$65,MATCH(D551,Categories!$A$6:$A$65,0)),IF(E551&lt;0,"Expense","Income"))))</f>
        <v/>
      </c>
      <c r="G551" s="90">
        <f>IF(A551="","",DATE(YEAR(A551),MONTH(A551),1))</f>
        <v/>
      </c>
      <c r="H551" s="87" t="n"/>
      <c r="I551" s="87" t="n"/>
      <c r="J551" s="91" t="inlineStr">
        <is>
          <t>ONLINE TRANSFER FROM EVERYDAY CHECKING</t>
        </is>
      </c>
      <c r="K551" s="91" t="inlineStr">
        <is>
          <t>Sample Bank</t>
        </is>
      </c>
      <c r="L551" s="91" t="inlineStr">
        <is>
          <t>Savings</t>
        </is>
      </c>
      <c r="M551" s="91" t="inlineStr">
        <is>
          <t>Savings.qfx</t>
        </is>
      </c>
      <c r="N551" s="91" t="inlineStr">
        <is>
          <t>2026-10-15 20:14:07</t>
        </is>
      </c>
      <c r="O551" s="91" t="inlineStr">
        <is>
          <t>773002025110501</t>
        </is>
      </c>
      <c r="P551" s="91" t="inlineStr">
        <is>
          <t>HIGH-YIELD SAVINGS|ID|773002025110501#1</t>
        </is>
      </c>
      <c r="Q551" s="92">
        <f>IF(AND(G551=RptMonth,F551="Expense",N(E551)&lt;0),-E551+ROW()/10000000,"")</f>
        <v/>
      </c>
    </row>
    <row r="552">
      <c r="A552" s="86" t="n">
        <v>45966</v>
      </c>
      <c r="B552" s="87" t="inlineStr">
        <is>
          <t>Rewards Visa</t>
        </is>
      </c>
      <c r="C552" s="87" t="inlineStr">
        <is>
          <t>DOORDASH*THAI PALACE</t>
        </is>
      </c>
      <c r="D552" s="87" t="inlineStr">
        <is>
          <t>Dining Out</t>
        </is>
      </c>
      <c r="E552" s="88" t="n">
        <v>-41.41</v>
      </c>
      <c r="F552" s="89">
        <f>IF(E552="","",IF(OR(D552="",D552="Uncategorized"),IF(E552&lt;0,"Expense","Income"),IFERROR(INDEX(Categories!$B$6:$B$65,MATCH(D552,Categories!$A$6:$A$65,0)),IF(E552&lt;0,"Expense","Income"))))</f>
        <v/>
      </c>
      <c r="G552" s="90">
        <f>IF(A552="","",DATE(YEAR(A552),MONTH(A552),1))</f>
        <v/>
      </c>
      <c r="H552" s="87" t="n"/>
      <c r="I552" s="87" t="n"/>
      <c r="J552" s="91" t="inlineStr">
        <is>
          <t>DOORDASH*THAI PALACE</t>
        </is>
      </c>
      <c r="K552" s="91" t="inlineStr">
        <is>
          <t>Sample Card Co</t>
        </is>
      </c>
      <c r="L552" s="91" t="inlineStr">
        <is>
          <t>Credit Card</t>
        </is>
      </c>
      <c r="M552" s="91" t="inlineStr">
        <is>
          <t>Visa_Statement.csv</t>
        </is>
      </c>
      <c r="N552" s="91" t="inlineStr">
        <is>
          <t>2026-10-15 20:14:07</t>
        </is>
      </c>
      <c r="O552" s="91" t="n"/>
      <c r="P552" s="91" t="inlineStr">
        <is>
          <t>REWARDS VISA|20251105|-4141|DOORDASHTHAIPALACE#1</t>
        </is>
      </c>
      <c r="Q552" s="92">
        <f>IF(AND(G552=RptMonth,F552="Expense",N(E552)&lt;0),-E552+ROW()/10000000,"")</f>
        <v/>
      </c>
    </row>
    <row r="553">
      <c r="A553" s="86" t="n">
        <v>45966</v>
      </c>
      <c r="B553" s="87" t="inlineStr">
        <is>
          <t>Rewards Visa</t>
        </is>
      </c>
      <c r="C553" s="87" t="inlineStr">
        <is>
          <t>H MART #112</t>
        </is>
      </c>
      <c r="D553" s="87" t="inlineStr">
        <is>
          <t>Groceries</t>
        </is>
      </c>
      <c r="E553" s="88" t="n">
        <v>-36.9</v>
      </c>
      <c r="F553" s="89">
        <f>IF(E553="","",IF(OR(D553="",D553="Uncategorized"),IF(E553&lt;0,"Expense","Income"),IFERROR(INDEX(Categories!$B$6:$B$65,MATCH(D553,Categories!$A$6:$A$65,0)),IF(E553&lt;0,"Expense","Income"))))</f>
        <v/>
      </c>
      <c r="G553" s="90">
        <f>IF(A553="","",DATE(YEAR(A553),MONTH(A553),1))</f>
        <v/>
      </c>
      <c r="H553" s="87" t="n"/>
      <c r="I553" s="87" t="n"/>
      <c r="J553" s="91" t="inlineStr">
        <is>
          <t>H MART #112</t>
        </is>
      </c>
      <c r="K553" s="91" t="inlineStr">
        <is>
          <t>Sample Card Co</t>
        </is>
      </c>
      <c r="L553" s="91" t="inlineStr">
        <is>
          <t>Credit Card</t>
        </is>
      </c>
      <c r="M553" s="91" t="inlineStr">
        <is>
          <t>Visa_Statement.csv</t>
        </is>
      </c>
      <c r="N553" s="91" t="inlineStr">
        <is>
          <t>2026-10-15 20:14:07</t>
        </is>
      </c>
      <c r="O553" s="91" t="n"/>
      <c r="P553" s="91" t="inlineStr">
        <is>
          <t>REWARDS VISA|20251105|-3690|HMART112#1</t>
        </is>
      </c>
      <c r="Q553" s="92">
        <f>IF(AND(G553=RptMonth,F553="Expense",N(E553)&lt;0),-E553+ROW()/10000000,"")</f>
        <v/>
      </c>
    </row>
    <row r="554">
      <c r="A554" s="86" t="n">
        <v>45965</v>
      </c>
      <c r="B554" s="87" t="inlineStr">
        <is>
          <t>Rewards Visa</t>
        </is>
      </c>
      <c r="C554" s="87" t="inlineStr">
        <is>
          <t>DOORDASH*THAI PALACE</t>
        </is>
      </c>
      <c r="D554" s="87" t="inlineStr">
        <is>
          <t>Dining Out</t>
        </is>
      </c>
      <c r="E554" s="88" t="n">
        <v>-47.88</v>
      </c>
      <c r="F554" s="89">
        <f>IF(E554="","",IF(OR(D554="",D554="Uncategorized"),IF(E554&lt;0,"Expense","Income"),IFERROR(INDEX(Categories!$B$6:$B$65,MATCH(D554,Categories!$A$6:$A$65,0)),IF(E554&lt;0,"Expense","Income"))))</f>
        <v/>
      </c>
      <c r="G554" s="90">
        <f>IF(A554="","",DATE(YEAR(A554),MONTH(A554),1))</f>
        <v/>
      </c>
      <c r="H554" s="87" t="n"/>
      <c r="I554" s="87" t="n"/>
      <c r="J554" s="91" t="inlineStr">
        <is>
          <t>DOORDASH*THAI PALACE</t>
        </is>
      </c>
      <c r="K554" s="91" t="inlineStr">
        <is>
          <t>Sample Card Co</t>
        </is>
      </c>
      <c r="L554" s="91" t="inlineStr">
        <is>
          <t>Credit Card</t>
        </is>
      </c>
      <c r="M554" s="91" t="inlineStr">
        <is>
          <t>Visa_Statement.csv</t>
        </is>
      </c>
      <c r="N554" s="91" t="inlineStr">
        <is>
          <t>2026-10-15 20:14:07</t>
        </is>
      </c>
      <c r="O554" s="91" t="n"/>
      <c r="P554" s="91" t="inlineStr">
        <is>
          <t>REWARDS VISA|20251104|-4788|DOORDASHTHAIPALACE#1</t>
        </is>
      </c>
      <c r="Q554" s="92">
        <f>IF(AND(G554=RptMonth,F554="Expense",N(E554)&lt;0),-E554+ROW()/10000000,"")</f>
        <v/>
      </c>
    </row>
    <row r="555">
      <c r="A555" s="86" t="n">
        <v>45964</v>
      </c>
      <c r="B555" s="87" t="inlineStr">
        <is>
          <t>Everyday Checking</t>
        </is>
      </c>
      <c r="C555" s="87" t="inlineStr">
        <is>
          <t>GEICO AUTO INSURANCE</t>
        </is>
      </c>
      <c r="D555" s="87" t="inlineStr">
        <is>
          <t>Insurance</t>
        </is>
      </c>
      <c r="E555" s="88" t="n">
        <v>-142.5</v>
      </c>
      <c r="F555" s="89">
        <f>IF(E555="","",IF(OR(D555="",D555="Uncategorized"),IF(E555&lt;0,"Expense","Income"),IFERROR(INDEX(Categories!$B$6:$B$65,MATCH(D555,Categories!$A$6:$A$65,0)),IF(E555&lt;0,"Expense","Income"))))</f>
        <v/>
      </c>
      <c r="G555" s="90">
        <f>IF(A555="","",DATE(YEAR(A555),MONTH(A555),1))</f>
        <v/>
      </c>
      <c r="H555" s="87" t="n"/>
      <c r="I555" s="87" t="n"/>
      <c r="J555" s="91" t="inlineStr">
        <is>
          <t>GEICO AUTO INSURANCE</t>
        </is>
      </c>
      <c r="K555" s="91" t="inlineStr">
        <is>
          <t>Sample Bank</t>
        </is>
      </c>
      <c r="L555" s="91" t="inlineStr">
        <is>
          <t>Checking</t>
        </is>
      </c>
      <c r="M555" s="91" t="inlineStr">
        <is>
          <t>Checking_Activity.csv</t>
        </is>
      </c>
      <c r="N555" s="91" t="inlineStr">
        <is>
          <t>2026-10-15 20:14:07</t>
        </is>
      </c>
      <c r="O555" s="91" t="n"/>
      <c r="P555" s="91" t="inlineStr">
        <is>
          <t>EVERYDAY CHECKING|20251103|-14250|GEICOAUTOINSURANCE#1</t>
        </is>
      </c>
      <c r="Q555" s="92">
        <f>IF(AND(G555=RptMonth,F555="Expense",N(E555)&lt;0),-E555+ROW()/10000000,"")</f>
        <v/>
      </c>
    </row>
    <row r="556">
      <c r="A556" s="86" t="n">
        <v>45963</v>
      </c>
      <c r="B556" s="87" t="inlineStr">
        <is>
          <t>Rewards Visa</t>
        </is>
      </c>
      <c r="C556" s="87" t="inlineStr">
        <is>
          <t>LOCAL PIZZERIA</t>
        </is>
      </c>
      <c r="D556" s="87" t="inlineStr">
        <is>
          <t>Dining Out</t>
        </is>
      </c>
      <c r="E556" s="88" t="n">
        <v>-34.21</v>
      </c>
      <c r="F556" s="89">
        <f>IF(E556="","",IF(OR(D556="",D556="Uncategorized"),IF(E556&lt;0,"Expense","Income"),IFERROR(INDEX(Categories!$B$6:$B$65,MATCH(D556,Categories!$A$6:$A$65,0)),IF(E556&lt;0,"Expense","Income"))))</f>
        <v/>
      </c>
      <c r="G556" s="90">
        <f>IF(A556="","",DATE(YEAR(A556),MONTH(A556),1))</f>
        <v/>
      </c>
      <c r="H556" s="87" t="n"/>
      <c r="I556" s="87" t="n"/>
      <c r="J556" s="91" t="inlineStr">
        <is>
          <t>LOCAL PIZZERIA</t>
        </is>
      </c>
      <c r="K556" s="91" t="inlineStr">
        <is>
          <t>Sample Card Co</t>
        </is>
      </c>
      <c r="L556" s="91" t="inlineStr">
        <is>
          <t>Credit Card</t>
        </is>
      </c>
      <c r="M556" s="91" t="inlineStr">
        <is>
          <t>Visa_Statement.csv</t>
        </is>
      </c>
      <c r="N556" s="91" t="inlineStr">
        <is>
          <t>2026-10-15 20:14:07</t>
        </is>
      </c>
      <c r="O556" s="91" t="n"/>
      <c r="P556" s="91" t="inlineStr">
        <is>
          <t>REWARDS VISA|20251102|-3421|LOCALPIZZERIA#1</t>
        </is>
      </c>
      <c r="Q556" s="92">
        <f>IF(AND(G556=RptMonth,F556="Expense",N(E556)&lt;0),-E556+ROW()/10000000,"")</f>
        <v/>
      </c>
    </row>
    <row r="557">
      <c r="A557" s="86" t="n">
        <v>45963</v>
      </c>
      <c r="B557" s="87" t="inlineStr">
        <is>
          <t>Rewards Visa</t>
        </is>
      </c>
      <c r="C557" s="87" t="inlineStr">
        <is>
          <t>NETFLIX.COM</t>
        </is>
      </c>
      <c r="D557" s="87" t="inlineStr">
        <is>
          <t>Subscriptions</t>
        </is>
      </c>
      <c r="E557" s="88" t="n">
        <v>-15.49</v>
      </c>
      <c r="F557" s="89">
        <f>IF(E557="","",IF(OR(D557="",D557="Uncategorized"),IF(E557&lt;0,"Expense","Income"),IFERROR(INDEX(Categories!$B$6:$B$65,MATCH(D557,Categories!$A$6:$A$65,0)),IF(E557&lt;0,"Expense","Income"))))</f>
        <v/>
      </c>
      <c r="G557" s="90">
        <f>IF(A557="","",DATE(YEAR(A557),MONTH(A557),1))</f>
        <v/>
      </c>
      <c r="H557" s="87" t="n"/>
      <c r="I557" s="87" t="n"/>
      <c r="J557" s="91" t="inlineStr">
        <is>
          <t>NETFLIX.COM</t>
        </is>
      </c>
      <c r="K557" s="91" t="inlineStr">
        <is>
          <t>Sample Card Co</t>
        </is>
      </c>
      <c r="L557" s="91" t="inlineStr">
        <is>
          <t>Credit Card</t>
        </is>
      </c>
      <c r="M557" s="91" t="inlineStr">
        <is>
          <t>Visa_Statement.csv</t>
        </is>
      </c>
      <c r="N557" s="91" t="inlineStr">
        <is>
          <t>2026-10-15 20:14:07</t>
        </is>
      </c>
      <c r="O557" s="91" t="n"/>
      <c r="P557" s="91" t="inlineStr">
        <is>
          <t>REWARDS VISA|20251102|-1549|NETFLIXCOM#1</t>
        </is>
      </c>
      <c r="Q557" s="92">
        <f>IF(AND(G557=RptMonth,F557="Expense",N(E557)&lt;0),-E557+ROW()/10000000,"")</f>
        <v/>
      </c>
    </row>
    <row r="558">
      <c r="A558" s="86" t="n">
        <v>45962</v>
      </c>
      <c r="B558" s="87" t="inlineStr">
        <is>
          <t>Everyday Checking</t>
        </is>
      </c>
      <c r="C558" s="87" t="inlineStr">
        <is>
          <t>SAMPLE MORTGAGE CO PAYMENT</t>
        </is>
      </c>
      <c r="D558" s="87" t="inlineStr">
        <is>
          <t>Mortgage / Rent</t>
        </is>
      </c>
      <c r="E558" s="88" t="n">
        <v>-2450</v>
      </c>
      <c r="F558" s="89">
        <f>IF(E558="","",IF(OR(D558="",D558="Uncategorized"),IF(E558&lt;0,"Expense","Income"),IFERROR(INDEX(Categories!$B$6:$B$65,MATCH(D558,Categories!$A$6:$A$65,0)),IF(E558&lt;0,"Expense","Income"))))</f>
        <v/>
      </c>
      <c r="G558" s="90">
        <f>IF(A558="","",DATE(YEAR(A558),MONTH(A558),1))</f>
        <v/>
      </c>
      <c r="H558" s="87" t="inlineStr">
        <is>
          <t>Includes escrow for taxes and insurance</t>
        </is>
      </c>
      <c r="I558" s="87" t="n"/>
      <c r="J558" s="91" t="inlineStr">
        <is>
          <t>SAMPLE MORTGAGE CO PAYMENT</t>
        </is>
      </c>
      <c r="K558" s="91" t="inlineStr">
        <is>
          <t>Sample Bank</t>
        </is>
      </c>
      <c r="L558" s="91" t="inlineStr">
        <is>
          <t>Checking</t>
        </is>
      </c>
      <c r="M558" s="91" t="inlineStr">
        <is>
          <t>Checking_Activity.csv</t>
        </is>
      </c>
      <c r="N558" s="91" t="inlineStr">
        <is>
          <t>2026-10-15 20:14:07</t>
        </is>
      </c>
      <c r="O558" s="91" t="n"/>
      <c r="P558" s="91" t="inlineStr">
        <is>
          <t>EVERYDAY CHECKING|20251101|-245000|SAMPLEMORTGAGECOPAYMENT#1</t>
        </is>
      </c>
      <c r="Q558" s="92">
        <f>IF(AND(G558=RptMonth,F558="Expense",N(E558)&lt;0),-E558+ROW()/10000000,"")</f>
        <v/>
      </c>
    </row>
    <row r="559">
      <c r="A559" s="86" t="n">
        <v>45962</v>
      </c>
      <c r="B559" s="87" t="inlineStr">
        <is>
          <t>Home Mortgage</t>
        </is>
      </c>
      <c r="C559" s="87" t="inlineStr">
        <is>
          <t>Payment</t>
        </is>
      </c>
      <c r="D559" s="87" t="inlineStr">
        <is>
          <t>Transfer</t>
        </is>
      </c>
      <c r="E559" s="88" t="n">
        <v>298.42</v>
      </c>
      <c r="F559" s="89">
        <f>IF(E559="","",IF(OR(D559="",D559="Uncategorized"),IF(E559&lt;0,"Expense","Income"),IFERROR(INDEX(Categories!$B$6:$B$65,MATCH(D559,Categories!$A$6:$A$65,0)),IF(E559&lt;0,"Expense","Income"))))</f>
        <v/>
      </c>
      <c r="G559" s="90">
        <f>IF(A559="","",DATE(YEAR(A559),MONTH(A559),1))</f>
        <v/>
      </c>
      <c r="H559" s="87" t="n"/>
      <c r="I559" s="87" t="n"/>
      <c r="J559" s="91" t="inlineStr">
        <is>
          <t>Payment</t>
        </is>
      </c>
      <c r="K559" s="91" t="inlineStr">
        <is>
          <t>Sample Mortgage Co</t>
        </is>
      </c>
      <c r="L559" s="91" t="inlineStr">
        <is>
          <t>Mortgage</t>
        </is>
      </c>
      <c r="M559" s="91" t="inlineStr">
        <is>
          <t>Mortgage_History.xlsx</t>
        </is>
      </c>
      <c r="N559" s="91" t="inlineStr">
        <is>
          <t>2026-10-15 20:14:07</t>
        </is>
      </c>
      <c r="O559" s="91" t="n"/>
      <c r="P559" s="91" t="inlineStr">
        <is>
          <t>HOME MORTGAGE|20251101|29842|PAYMENT#1</t>
        </is>
      </c>
      <c r="Q559" s="92">
        <f>IF(AND(G559=RptMonth,F559="Expense",N(E559)&lt;0),-E559+ROW()/10000000,"")</f>
        <v/>
      </c>
    </row>
    <row r="560">
      <c r="A560" s="86" t="n">
        <v>45962</v>
      </c>
      <c r="B560" s="87" t="inlineStr">
        <is>
          <t>Rewards Visa</t>
        </is>
      </c>
      <c r="C560" s="87" t="inlineStr">
        <is>
          <t>SHOPRITE #0234</t>
        </is>
      </c>
      <c r="D560" s="87" t="inlineStr">
        <is>
          <t>Groceries</t>
        </is>
      </c>
      <c r="E560" s="88" t="n">
        <v>-163.93</v>
      </c>
      <c r="F560" s="89">
        <f>IF(E560="","",IF(OR(D560="",D560="Uncategorized"),IF(E560&lt;0,"Expense","Income"),IFERROR(INDEX(Categories!$B$6:$B$65,MATCH(D560,Categories!$A$6:$A$65,0)),IF(E560&lt;0,"Expense","Income"))))</f>
        <v/>
      </c>
      <c r="G560" s="90">
        <f>IF(A560="","",DATE(YEAR(A560),MONTH(A560),1))</f>
        <v/>
      </c>
      <c r="H560" s="87" t="n"/>
      <c r="I560" s="87" t="n"/>
      <c r="J560" s="91" t="inlineStr">
        <is>
          <t>SHOPRITE #0234</t>
        </is>
      </c>
      <c r="K560" s="91" t="inlineStr">
        <is>
          <t>Sample Card Co</t>
        </is>
      </c>
      <c r="L560" s="91" t="inlineStr">
        <is>
          <t>Credit Card</t>
        </is>
      </c>
      <c r="M560" s="91" t="inlineStr">
        <is>
          <t>Visa_Statement.csv</t>
        </is>
      </c>
      <c r="N560" s="91" t="inlineStr">
        <is>
          <t>2026-10-15 20:14:07</t>
        </is>
      </c>
      <c r="O560" s="91" t="n"/>
      <c r="P560" s="91" t="inlineStr">
        <is>
          <t>REWARDS VISA|20251101|-16393|SHOPRITE0234#1</t>
        </is>
      </c>
      <c r="Q560" s="92">
        <f>IF(AND(G560=RptMonth,F560="Expense",N(E560)&lt;0),-E560+ROW()/10000000,"")</f>
        <v/>
      </c>
    </row>
    <row r="561">
      <c r="A561" s="86" t="n">
        <v>45961</v>
      </c>
      <c r="B561" s="87" t="inlineStr">
        <is>
          <t>Everyday Checking</t>
        </is>
      </c>
      <c r="C561" s="87" t="inlineStr">
        <is>
          <t>ACME CORP PAYROLL DIR DEP</t>
        </is>
      </c>
      <c r="D561" s="87" t="inlineStr">
        <is>
          <t>Salary</t>
        </is>
      </c>
      <c r="E561" s="88" t="n">
        <v>3352.18</v>
      </c>
      <c r="F561" s="89">
        <f>IF(E561="","",IF(OR(D561="",D561="Uncategorized"),IF(E561&lt;0,"Expense","Income"),IFERROR(INDEX(Categories!$B$6:$B$65,MATCH(D561,Categories!$A$6:$A$65,0)),IF(E561&lt;0,"Expense","Income"))))</f>
        <v/>
      </c>
      <c r="G561" s="90">
        <f>IF(A561="","",DATE(YEAR(A561),MONTH(A561),1))</f>
        <v/>
      </c>
      <c r="H561" s="87" t="n"/>
      <c r="I561" s="87" t="n"/>
      <c r="J561" s="91" t="inlineStr">
        <is>
          <t>ACME CORP PAYROLL DIR DEP</t>
        </is>
      </c>
      <c r="K561" s="91" t="inlineStr">
        <is>
          <t>Sample Bank</t>
        </is>
      </c>
      <c r="L561" s="91" t="inlineStr">
        <is>
          <t>Checking</t>
        </is>
      </c>
      <c r="M561" s="91" t="inlineStr">
        <is>
          <t>Checking_Activity.csv</t>
        </is>
      </c>
      <c r="N561" s="91" t="inlineStr">
        <is>
          <t>2026-10-15 20:14:07</t>
        </is>
      </c>
      <c r="O561" s="91" t="n"/>
      <c r="P561" s="91" t="inlineStr">
        <is>
          <t>EVERYDAY CHECKING|20251031|335218|ACMECORPPAYROLLDIRDEP#1</t>
        </is>
      </c>
      <c r="Q561" s="92">
        <f>IF(AND(G561=RptMonth,F561="Expense",N(E561)&lt;0),-E561+ROW()/10000000,"")</f>
        <v/>
      </c>
    </row>
    <row r="562">
      <c r="A562" s="86" t="n">
        <v>45961</v>
      </c>
      <c r="B562" s="87" t="inlineStr">
        <is>
          <t>Rewards Visa</t>
        </is>
      </c>
      <c r="C562" s="87" t="inlineStr">
        <is>
          <t>LOCAL PIZZERIA</t>
        </is>
      </c>
      <c r="D562" s="87" t="inlineStr">
        <is>
          <t>Dining Out</t>
        </is>
      </c>
      <c r="E562" s="88" t="n">
        <v>-35.29</v>
      </c>
      <c r="F562" s="89">
        <f>IF(E562="","",IF(OR(D562="",D562="Uncategorized"),IF(E562&lt;0,"Expense","Income"),IFERROR(INDEX(Categories!$B$6:$B$65,MATCH(D562,Categories!$A$6:$A$65,0)),IF(E562&lt;0,"Expense","Income"))))</f>
        <v/>
      </c>
      <c r="G562" s="90">
        <f>IF(A562="","",DATE(YEAR(A562),MONTH(A562),1))</f>
        <v/>
      </c>
      <c r="H562" s="87" t="n"/>
      <c r="I562" s="87" t="n"/>
      <c r="J562" s="91" t="inlineStr">
        <is>
          <t>LOCAL PIZZERIA</t>
        </is>
      </c>
      <c r="K562" s="91" t="inlineStr">
        <is>
          <t>Sample Card Co</t>
        </is>
      </c>
      <c r="L562" s="91" t="inlineStr">
        <is>
          <t>Credit Card</t>
        </is>
      </c>
      <c r="M562" s="91" t="inlineStr">
        <is>
          <t>Visa_Statement.csv</t>
        </is>
      </c>
      <c r="N562" s="91" t="inlineStr">
        <is>
          <t>2026-10-15 20:14:07</t>
        </is>
      </c>
      <c r="O562" s="91" t="n"/>
      <c r="P562" s="91" t="inlineStr">
        <is>
          <t>REWARDS VISA|20251031|-3529|LOCALPIZZERIA#1</t>
        </is>
      </c>
      <c r="Q562" s="92">
        <f>IF(AND(G562=RptMonth,F562="Expense",N(E562)&lt;0),-E562+ROW()/10000000,"")</f>
        <v/>
      </c>
    </row>
    <row r="563">
      <c r="A563" s="86" t="n">
        <v>45961</v>
      </c>
      <c r="B563" s="87" t="inlineStr">
        <is>
          <t>Rewards Visa</t>
        </is>
      </c>
      <c r="C563" s="87" t="inlineStr">
        <is>
          <t>OLD NAVY ONLINE</t>
        </is>
      </c>
      <c r="D563" s="87" t="inlineStr">
        <is>
          <t>Shopping</t>
        </is>
      </c>
      <c r="E563" s="88" t="n">
        <v>-117.13</v>
      </c>
      <c r="F563" s="89">
        <f>IF(E563="","",IF(OR(D563="",D563="Uncategorized"),IF(E563&lt;0,"Expense","Income"),IFERROR(INDEX(Categories!$B$6:$B$65,MATCH(D563,Categories!$A$6:$A$65,0)),IF(E563&lt;0,"Expense","Income"))))</f>
        <v/>
      </c>
      <c r="G563" s="90">
        <f>IF(A563="","",DATE(YEAR(A563),MONTH(A563),1))</f>
        <v/>
      </c>
      <c r="H563" s="87" t="n"/>
      <c r="I563" s="87" t="n"/>
      <c r="J563" s="91" t="inlineStr">
        <is>
          <t>OLD NAVY ONLINE</t>
        </is>
      </c>
      <c r="K563" s="91" t="inlineStr">
        <is>
          <t>Sample Card Co</t>
        </is>
      </c>
      <c r="L563" s="91" t="inlineStr">
        <is>
          <t>Credit Card</t>
        </is>
      </c>
      <c r="M563" s="91" t="inlineStr">
        <is>
          <t>Visa_Statement.csv</t>
        </is>
      </c>
      <c r="N563" s="91" t="inlineStr">
        <is>
          <t>2026-10-15 20:14:07</t>
        </is>
      </c>
      <c r="O563" s="91" t="n"/>
      <c r="P563" s="91" t="inlineStr">
        <is>
          <t>REWARDS VISA|20251031|-11713|OLDNAVYONLINE#1</t>
        </is>
      </c>
      <c r="Q563" s="92">
        <f>IF(AND(G563=RptMonth,F563="Expense",N(E563)&lt;0),-E563+ROW()/10000000,"")</f>
        <v/>
      </c>
    </row>
    <row r="564">
      <c r="A564" s="86" t="n">
        <v>45961</v>
      </c>
      <c r="B564" s="87" t="inlineStr">
        <is>
          <t>Rewards Visa</t>
        </is>
      </c>
      <c r="C564" s="87" t="inlineStr">
        <is>
          <t>SHELL OIL 57444</t>
        </is>
      </c>
      <c r="D564" s="87" t="inlineStr">
        <is>
          <t>Gas &amp; Fuel</t>
        </is>
      </c>
      <c r="E564" s="88" t="n">
        <v>-61.24</v>
      </c>
      <c r="F564" s="89">
        <f>IF(E564="","",IF(OR(D564="",D564="Uncategorized"),IF(E564&lt;0,"Expense","Income"),IFERROR(INDEX(Categories!$B$6:$B$65,MATCH(D564,Categories!$A$6:$A$65,0)),IF(E564&lt;0,"Expense","Income"))))</f>
        <v/>
      </c>
      <c r="G564" s="90">
        <f>IF(A564="","",DATE(YEAR(A564),MONTH(A564),1))</f>
        <v/>
      </c>
      <c r="H564" s="87" t="n"/>
      <c r="I564" s="87" t="n"/>
      <c r="J564" s="91" t="inlineStr">
        <is>
          <t>SHELL OIL 57444</t>
        </is>
      </c>
      <c r="K564" s="91" t="inlineStr">
        <is>
          <t>Sample Card Co</t>
        </is>
      </c>
      <c r="L564" s="91" t="inlineStr">
        <is>
          <t>Credit Card</t>
        </is>
      </c>
      <c r="M564" s="91" t="inlineStr">
        <is>
          <t>Visa_Statement.csv</t>
        </is>
      </c>
      <c r="N564" s="91" t="inlineStr">
        <is>
          <t>2026-10-15 20:14:07</t>
        </is>
      </c>
      <c r="O564" s="91" t="n"/>
      <c r="P564" s="91" t="inlineStr">
        <is>
          <t>REWARDS VISA|20251031|-6124|SHELLOIL57444#1</t>
        </is>
      </c>
      <c r="Q564" s="92">
        <f>IF(AND(G564=RptMonth,F564="Expense",N(E564)&lt;0),-E564+ROW()/10000000,"")</f>
        <v/>
      </c>
    </row>
    <row r="565">
      <c r="A565" s="86" t="n">
        <v>45960</v>
      </c>
      <c r="B565" s="87" t="inlineStr">
        <is>
          <t>Rewards Visa</t>
        </is>
      </c>
      <c r="C565" s="87" t="inlineStr">
        <is>
          <t>BEST BUY 00412</t>
        </is>
      </c>
      <c r="D565" s="87" t="inlineStr">
        <is>
          <t>Shopping</t>
        </is>
      </c>
      <c r="E565" s="88" t="n">
        <v>-71.33</v>
      </c>
      <c r="F565" s="89">
        <f>IF(E565="","",IF(OR(D565="",D565="Uncategorized"),IF(E565&lt;0,"Expense","Income"),IFERROR(INDEX(Categories!$B$6:$B$65,MATCH(D565,Categories!$A$6:$A$65,0)),IF(E565&lt;0,"Expense","Income"))))</f>
        <v/>
      </c>
      <c r="G565" s="90">
        <f>IF(A565="","",DATE(YEAR(A565),MONTH(A565),1))</f>
        <v/>
      </c>
      <c r="H565" s="87" t="n"/>
      <c r="I565" s="87" t="n"/>
      <c r="J565" s="91" t="inlineStr">
        <is>
          <t>BEST BUY 00412</t>
        </is>
      </c>
      <c r="K565" s="91" t="inlineStr">
        <is>
          <t>Sample Card Co</t>
        </is>
      </c>
      <c r="L565" s="91" t="inlineStr">
        <is>
          <t>Credit Card</t>
        </is>
      </c>
      <c r="M565" s="91" t="inlineStr">
        <is>
          <t>Visa_Statement.csv</t>
        </is>
      </c>
      <c r="N565" s="91" t="inlineStr">
        <is>
          <t>2026-10-15 20:14:07</t>
        </is>
      </c>
      <c r="O565" s="91" t="n"/>
      <c r="P565" s="91" t="inlineStr">
        <is>
          <t>REWARDS VISA|20251030|-7133|BESTBUY00412#1</t>
        </is>
      </c>
      <c r="Q565" s="92">
        <f>IF(AND(G565=RptMonth,F565="Expense",N(E565)&lt;0),-E565+ROW()/10000000,"")</f>
        <v/>
      </c>
    </row>
    <row r="566">
      <c r="A566" s="86" t="n">
        <v>45959</v>
      </c>
      <c r="B566" s="87" t="inlineStr">
        <is>
          <t>Rewards Visa</t>
        </is>
      </c>
      <c r="C566" s="87" t="inlineStr">
        <is>
          <t>AMAZON.COM*2K4LP0</t>
        </is>
      </c>
      <c r="D566" s="87" t="inlineStr">
        <is>
          <t>Shopping</t>
        </is>
      </c>
      <c r="E566" s="88" t="n">
        <v>-60.17</v>
      </c>
      <c r="F566" s="89">
        <f>IF(E566="","",IF(OR(D566="",D566="Uncategorized"),IF(E566&lt;0,"Expense","Income"),IFERROR(INDEX(Categories!$B$6:$B$65,MATCH(D566,Categories!$A$6:$A$65,0)),IF(E566&lt;0,"Expense","Income"))))</f>
        <v/>
      </c>
      <c r="G566" s="90">
        <f>IF(A566="","",DATE(YEAR(A566),MONTH(A566),1))</f>
        <v/>
      </c>
      <c r="H566" s="87" t="n"/>
      <c r="I566" s="87" t="n"/>
      <c r="J566" s="91" t="inlineStr">
        <is>
          <t>AMAZON.COM*2K4LP0</t>
        </is>
      </c>
      <c r="K566" s="91" t="inlineStr">
        <is>
          <t>Sample Card Co</t>
        </is>
      </c>
      <c r="L566" s="91" t="inlineStr">
        <is>
          <t>Credit Card</t>
        </is>
      </c>
      <c r="M566" s="91" t="inlineStr">
        <is>
          <t>Visa_Statement.csv</t>
        </is>
      </c>
      <c r="N566" s="91" t="inlineStr">
        <is>
          <t>2026-10-15 20:14:07</t>
        </is>
      </c>
      <c r="O566" s="91" t="n"/>
      <c r="P566" s="91" t="inlineStr">
        <is>
          <t>REWARDS VISA|20251029|-6017|AMAZONCOM2K4LP0#1</t>
        </is>
      </c>
      <c r="Q566" s="92">
        <f>IF(AND(G566=RptMonth,F566="Expense",N(E566)&lt;0),-E566+ROW()/10000000,"")</f>
        <v/>
      </c>
    </row>
    <row r="567">
      <c r="A567" s="86" t="n">
        <v>45959</v>
      </c>
      <c r="B567" s="87" t="inlineStr">
        <is>
          <t>Rewards Visa</t>
        </is>
      </c>
      <c r="C567" s="87" t="inlineStr">
        <is>
          <t>H MART #112</t>
        </is>
      </c>
      <c r="D567" s="87" t="inlineStr">
        <is>
          <t>Groceries</t>
        </is>
      </c>
      <c r="E567" s="88" t="n">
        <v>-54.72</v>
      </c>
      <c r="F567" s="89">
        <f>IF(E567="","",IF(OR(D567="",D567="Uncategorized"),IF(E567&lt;0,"Expense","Income"),IFERROR(INDEX(Categories!$B$6:$B$65,MATCH(D567,Categories!$A$6:$A$65,0)),IF(E567&lt;0,"Expense","Income"))))</f>
        <v/>
      </c>
      <c r="G567" s="90">
        <f>IF(A567="","",DATE(YEAR(A567),MONTH(A567),1))</f>
        <v/>
      </c>
      <c r="H567" s="87" t="n"/>
      <c r="I567" s="87" t="n"/>
      <c r="J567" s="91" t="inlineStr">
        <is>
          <t>H MART #112</t>
        </is>
      </c>
      <c r="K567" s="91" t="inlineStr">
        <is>
          <t>Sample Card Co</t>
        </is>
      </c>
      <c r="L567" s="91" t="inlineStr">
        <is>
          <t>Credit Card</t>
        </is>
      </c>
      <c r="M567" s="91" t="inlineStr">
        <is>
          <t>Visa_Statement.csv</t>
        </is>
      </c>
      <c r="N567" s="91" t="inlineStr">
        <is>
          <t>2026-10-15 20:14:07</t>
        </is>
      </c>
      <c r="O567" s="91" t="n"/>
      <c r="P567" s="91" t="inlineStr">
        <is>
          <t>REWARDS VISA|20251029|-5472|HMART112#1</t>
        </is>
      </c>
      <c r="Q567" s="92">
        <f>IF(AND(G567=RptMonth,F567="Expense",N(E567)&lt;0),-E567+ROW()/10000000,"")</f>
        <v/>
      </c>
    </row>
    <row r="568">
      <c r="A568" s="86" t="n">
        <v>45959</v>
      </c>
      <c r="B568" s="87" t="inlineStr">
        <is>
          <t>Rewards Visa</t>
        </is>
      </c>
      <c r="C568" s="87" t="inlineStr">
        <is>
          <t>SWEETGREEN PALISADES</t>
        </is>
      </c>
      <c r="D568" s="87" t="inlineStr">
        <is>
          <t>Dining Out</t>
        </is>
      </c>
      <c r="E568" s="88" t="n">
        <v>-40.23</v>
      </c>
      <c r="F568" s="89">
        <f>IF(E568="","",IF(OR(D568="",D568="Uncategorized"),IF(E568&lt;0,"Expense","Income"),IFERROR(INDEX(Categories!$B$6:$B$65,MATCH(D568,Categories!$A$6:$A$65,0)),IF(E568&lt;0,"Expense","Income"))))</f>
        <v/>
      </c>
      <c r="G568" s="90">
        <f>IF(A568="","",DATE(YEAR(A568),MONTH(A568),1))</f>
        <v/>
      </c>
      <c r="H568" s="87" t="n"/>
      <c r="I568" s="87" t="n"/>
      <c r="J568" s="91" t="inlineStr">
        <is>
          <t>SWEETGREEN PALISADES</t>
        </is>
      </c>
      <c r="K568" s="91" t="inlineStr">
        <is>
          <t>Sample Card Co</t>
        </is>
      </c>
      <c r="L568" s="91" t="inlineStr">
        <is>
          <t>Credit Card</t>
        </is>
      </c>
      <c r="M568" s="91" t="inlineStr">
        <is>
          <t>Visa_Statement.csv</t>
        </is>
      </c>
      <c r="N568" s="91" t="inlineStr">
        <is>
          <t>2026-10-15 20:14:07</t>
        </is>
      </c>
      <c r="O568" s="91" t="n"/>
      <c r="P568" s="91" t="inlineStr">
        <is>
          <t>REWARDS VISA|20251029|-4023|SWEETGREENPALISADES#1</t>
        </is>
      </c>
      <c r="Q568" s="92">
        <f>IF(AND(G568=RptMonth,F568="Expense",N(E568)&lt;0),-E568+ROW()/10000000,"")</f>
        <v/>
      </c>
    </row>
    <row r="569">
      <c r="A569" s="86" t="n">
        <v>45958</v>
      </c>
      <c r="B569" s="87" t="inlineStr">
        <is>
          <t>High-Yield Savings</t>
        </is>
      </c>
      <c r="C569" s="87" t="inlineStr">
        <is>
          <t>INTEREST PAYMENT</t>
        </is>
      </c>
      <c r="D569" s="87" t="inlineStr">
        <is>
          <t>Interest &amp; Dividends</t>
        </is>
      </c>
      <c r="E569" s="88" t="n">
        <v>43.74</v>
      </c>
      <c r="F569" s="89">
        <f>IF(E569="","",IF(OR(D569="",D569="Uncategorized"),IF(E569&lt;0,"Expense","Income"),IFERROR(INDEX(Categories!$B$6:$B$65,MATCH(D569,Categories!$A$6:$A$65,0)),IF(E569&lt;0,"Expense","Income"))))</f>
        <v/>
      </c>
      <c r="G569" s="90">
        <f>IF(A569="","",DATE(YEAR(A569),MONTH(A569),1))</f>
        <v/>
      </c>
      <c r="H569" s="87" t="n"/>
      <c r="I569" s="87" t="n"/>
      <c r="J569" s="91" t="inlineStr">
        <is>
          <t>INTEREST PAYMENT</t>
        </is>
      </c>
      <c r="K569" s="91" t="inlineStr">
        <is>
          <t>Sample Bank</t>
        </is>
      </c>
      <c r="L569" s="91" t="inlineStr">
        <is>
          <t>Savings</t>
        </is>
      </c>
      <c r="M569" s="91" t="inlineStr">
        <is>
          <t>Savings.qfx</t>
        </is>
      </c>
      <c r="N569" s="91" t="inlineStr">
        <is>
          <t>2026-10-15 20:14:07</t>
        </is>
      </c>
      <c r="O569" s="91" t="inlineStr">
        <is>
          <t>773002025102801</t>
        </is>
      </c>
      <c r="P569" s="91" t="inlineStr">
        <is>
          <t>HIGH-YIELD SAVINGS|ID|773002025102801#1</t>
        </is>
      </c>
      <c r="Q569" s="92">
        <f>IF(AND(G569=RptMonth,F569="Expense",N(E569)&lt;0),-E569+ROW()/10000000,"")</f>
        <v/>
      </c>
    </row>
    <row r="570">
      <c r="A570" s="86" t="n">
        <v>45958</v>
      </c>
      <c r="B570" s="87" t="inlineStr">
        <is>
          <t>Rewards Visa</t>
        </is>
      </c>
      <c r="C570" s="87" t="inlineStr">
        <is>
          <t>CHIPOTLE 2291</t>
        </is>
      </c>
      <c r="D570" s="87" t="inlineStr">
        <is>
          <t>Dining Out</t>
        </is>
      </c>
      <c r="E570" s="88" t="n">
        <v>-29.03</v>
      </c>
      <c r="F570" s="89">
        <f>IF(E570="","",IF(OR(D570="",D570="Uncategorized"),IF(E570&lt;0,"Expense","Income"),IFERROR(INDEX(Categories!$B$6:$B$65,MATCH(D570,Categories!$A$6:$A$65,0)),IF(E570&lt;0,"Expense","Income"))))</f>
        <v/>
      </c>
      <c r="G570" s="90">
        <f>IF(A570="","",DATE(YEAR(A570),MONTH(A570),1))</f>
        <v/>
      </c>
      <c r="H570" s="87" t="n"/>
      <c r="I570" s="87" t="n"/>
      <c r="J570" s="91" t="inlineStr">
        <is>
          <t>CHIPOTLE 2291</t>
        </is>
      </c>
      <c r="K570" s="91" t="inlineStr">
        <is>
          <t>Sample Card Co</t>
        </is>
      </c>
      <c r="L570" s="91" t="inlineStr">
        <is>
          <t>Credit Card</t>
        </is>
      </c>
      <c r="M570" s="91" t="inlineStr">
        <is>
          <t>Visa_Statement.csv</t>
        </is>
      </c>
      <c r="N570" s="91" t="inlineStr">
        <is>
          <t>2026-10-15 20:14:07</t>
        </is>
      </c>
      <c r="O570" s="91" t="n"/>
      <c r="P570" s="91" t="inlineStr">
        <is>
          <t>REWARDS VISA|20251028|-2903|CHIPOTLE2291#1</t>
        </is>
      </c>
      <c r="Q570" s="92">
        <f>IF(AND(G570=RptMonth,F570="Expense",N(E570)&lt;0),-E570+ROW()/10000000,"")</f>
        <v/>
      </c>
    </row>
    <row r="571">
      <c r="A571" s="86" t="n">
        <v>45958</v>
      </c>
      <c r="B571" s="87" t="inlineStr">
        <is>
          <t>Rewards Visa</t>
        </is>
      </c>
      <c r="C571" s="87" t="inlineStr">
        <is>
          <t>EXXONMOBIL 4471</t>
        </is>
      </c>
      <c r="D571" s="87" t="inlineStr">
        <is>
          <t>Gas &amp; Fuel</t>
        </is>
      </c>
      <c r="E571" s="88" t="n">
        <v>-46.17</v>
      </c>
      <c r="F571" s="89">
        <f>IF(E571="","",IF(OR(D571="",D571="Uncategorized"),IF(E571&lt;0,"Expense","Income"),IFERROR(INDEX(Categories!$B$6:$B$65,MATCH(D571,Categories!$A$6:$A$65,0)),IF(E571&lt;0,"Expense","Income"))))</f>
        <v/>
      </c>
      <c r="G571" s="90">
        <f>IF(A571="","",DATE(YEAR(A571),MONTH(A571),1))</f>
        <v/>
      </c>
      <c r="H571" s="87" t="n"/>
      <c r="I571" s="87" t="n"/>
      <c r="J571" s="91" t="inlineStr">
        <is>
          <t>EXXONMOBIL 4471</t>
        </is>
      </c>
      <c r="K571" s="91" t="inlineStr">
        <is>
          <t>Sample Card Co</t>
        </is>
      </c>
      <c r="L571" s="91" t="inlineStr">
        <is>
          <t>Credit Card</t>
        </is>
      </c>
      <c r="M571" s="91" t="inlineStr">
        <is>
          <t>Visa_Statement.csv</t>
        </is>
      </c>
      <c r="N571" s="91" t="inlineStr">
        <is>
          <t>2026-10-15 20:14:07</t>
        </is>
      </c>
      <c r="O571" s="91" t="n"/>
      <c r="P571" s="91" t="inlineStr">
        <is>
          <t>REWARDS VISA|20251028|-4617|EXXONMOBIL4471#1</t>
        </is>
      </c>
      <c r="Q571" s="92">
        <f>IF(AND(G571=RptMonth,F571="Expense",N(E571)&lt;0),-E571+ROW()/10000000,"")</f>
        <v/>
      </c>
    </row>
    <row r="572">
      <c r="A572" s="86" t="n">
        <v>45956</v>
      </c>
      <c r="B572" s="87" t="inlineStr">
        <is>
          <t>Rewards Visa</t>
        </is>
      </c>
      <c r="C572" s="87" t="inlineStr">
        <is>
          <t>BLUE MOON DINER</t>
        </is>
      </c>
      <c r="D572" s="87" t="inlineStr">
        <is>
          <t>Dining Out</t>
        </is>
      </c>
      <c r="E572" s="88" t="n">
        <v>-8.210000000000001</v>
      </c>
      <c r="F572" s="89">
        <f>IF(E572="","",IF(OR(D572="",D572="Uncategorized"),IF(E572&lt;0,"Expense","Income"),IFERROR(INDEX(Categories!$B$6:$B$65,MATCH(D572,Categories!$A$6:$A$65,0)),IF(E572&lt;0,"Expense","Income"))))</f>
        <v/>
      </c>
      <c r="G572" s="90">
        <f>IF(A572="","",DATE(YEAR(A572),MONTH(A572),1))</f>
        <v/>
      </c>
      <c r="H572" s="87" t="n"/>
      <c r="I572" s="87" t="n"/>
      <c r="J572" s="91" t="inlineStr">
        <is>
          <t>BLUE MOON DINER</t>
        </is>
      </c>
      <c r="K572" s="91" t="inlineStr">
        <is>
          <t>Sample Card Co</t>
        </is>
      </c>
      <c r="L572" s="91" t="inlineStr">
        <is>
          <t>Credit Card</t>
        </is>
      </c>
      <c r="M572" s="91" t="inlineStr">
        <is>
          <t>Visa_Statement.csv</t>
        </is>
      </c>
      <c r="N572" s="91" t="inlineStr">
        <is>
          <t>2026-10-15 20:14:07</t>
        </is>
      </c>
      <c r="O572" s="91" t="n"/>
      <c r="P572" s="91" t="inlineStr">
        <is>
          <t>REWARDS VISA|20251026|-821|BLUEMOONDINER#1</t>
        </is>
      </c>
      <c r="Q572" s="92">
        <f>IF(AND(G572=RptMonth,F572="Expense",N(E572)&lt;0),-E572+ROW()/10000000,"")</f>
        <v/>
      </c>
    </row>
    <row r="573">
      <c r="A573" s="86" t="n">
        <v>45955</v>
      </c>
      <c r="B573" s="87" t="inlineStr">
        <is>
          <t>Rewards Visa</t>
        </is>
      </c>
      <c r="C573" s="87" t="inlineStr">
        <is>
          <t>TRADER JOE'S #548</t>
        </is>
      </c>
      <c r="D573" s="87" t="inlineStr">
        <is>
          <t>Groceries</t>
        </is>
      </c>
      <c r="E573" s="88" t="n">
        <v>-131.39</v>
      </c>
      <c r="F573" s="89">
        <f>IF(E573="","",IF(OR(D573="",D573="Uncategorized"),IF(E573&lt;0,"Expense","Income"),IFERROR(INDEX(Categories!$B$6:$B$65,MATCH(D573,Categories!$A$6:$A$65,0)),IF(E573&lt;0,"Expense","Income"))))</f>
        <v/>
      </c>
      <c r="G573" s="90">
        <f>IF(A573="","",DATE(YEAR(A573),MONTH(A573),1))</f>
        <v/>
      </c>
      <c r="H573" s="87" t="n"/>
      <c r="I573" s="87" t="n"/>
      <c r="J573" s="91" t="inlineStr">
        <is>
          <t>TRADER JOE'S #548</t>
        </is>
      </c>
      <c r="K573" s="91" t="inlineStr">
        <is>
          <t>Sample Card Co</t>
        </is>
      </c>
      <c r="L573" s="91" t="inlineStr">
        <is>
          <t>Credit Card</t>
        </is>
      </c>
      <c r="M573" s="91" t="inlineStr">
        <is>
          <t>Visa_Statement.csv</t>
        </is>
      </c>
      <c r="N573" s="91" t="inlineStr">
        <is>
          <t>2026-10-15 20:14:07</t>
        </is>
      </c>
      <c r="O573" s="91" t="n"/>
      <c r="P573" s="91" t="inlineStr">
        <is>
          <t>REWARDS VISA|20251025|-13139|TRADERJOES548#1</t>
        </is>
      </c>
      <c r="Q573" s="92">
        <f>IF(AND(G573=RptMonth,F573="Expense",N(E573)&lt;0),-E573+ROW()/10000000,"")</f>
        <v/>
      </c>
    </row>
    <row r="574">
      <c r="A574" s="86" t="n">
        <v>45954</v>
      </c>
      <c r="B574" s="87" t="inlineStr">
        <is>
          <t>Everyday Checking</t>
        </is>
      </c>
      <c r="C574" s="87" t="inlineStr">
        <is>
          <t>CHECK 1041</t>
        </is>
      </c>
      <c r="D574" s="87" t="inlineStr">
        <is>
          <t>Uncategorized</t>
        </is>
      </c>
      <c r="E574" s="88" t="n">
        <v>-232.57</v>
      </c>
      <c r="F574" s="89">
        <f>IF(E574="","",IF(OR(D574="",D574="Uncategorized"),IF(E574&lt;0,"Expense","Income"),IFERROR(INDEX(Categories!$B$6:$B$65,MATCH(D574,Categories!$A$6:$A$65,0)),IF(E574&lt;0,"Expense","Income"))))</f>
        <v/>
      </c>
      <c r="G574" s="90">
        <f>IF(A574="","",DATE(YEAR(A574),MONTH(A574),1))</f>
        <v/>
      </c>
      <c r="H574" s="87" t="n"/>
      <c r="I574" s="87" t="inlineStr">
        <is>
          <t>1041</t>
        </is>
      </c>
      <c r="J574" s="91" t="inlineStr">
        <is>
          <t>CHECK 1041</t>
        </is>
      </c>
      <c r="K574" s="91" t="inlineStr">
        <is>
          <t>Sample Bank</t>
        </is>
      </c>
      <c r="L574" s="91" t="inlineStr">
        <is>
          <t>Checking</t>
        </is>
      </c>
      <c r="M574" s="91" t="inlineStr">
        <is>
          <t>Checking_Activity.csv</t>
        </is>
      </c>
      <c r="N574" s="91" t="inlineStr">
        <is>
          <t>2026-10-15 20:14:07</t>
        </is>
      </c>
      <c r="O574" s="91" t="n"/>
      <c r="P574" s="91" t="inlineStr">
        <is>
          <t>EVERYDAY CHECKING|20251024|-23257|CHECK1041#1</t>
        </is>
      </c>
      <c r="Q574" s="92">
        <f>IF(AND(G574=RptMonth,F574="Expense",N(E574)&lt;0),-E574+ROW()/10000000,"")</f>
        <v/>
      </c>
    </row>
    <row r="575">
      <c r="A575" s="86" t="n">
        <v>45954</v>
      </c>
      <c r="B575" s="87" t="inlineStr">
        <is>
          <t>Rewards Visa</t>
        </is>
      </c>
      <c r="C575" s="87" t="inlineStr">
        <is>
          <t>CVS/PHARMACY #02210</t>
        </is>
      </c>
      <c r="D575" s="87" t="inlineStr">
        <is>
          <t>Shopping</t>
        </is>
      </c>
      <c r="E575" s="88" t="n">
        <v>-18.6</v>
      </c>
      <c r="F575" s="89">
        <f>IF(E575="","",IF(OR(D575="",D575="Uncategorized"),IF(E575&lt;0,"Expense","Income"),IFERROR(INDEX(Categories!$B$6:$B$65,MATCH(D575,Categories!$A$6:$A$65,0)),IF(E575&lt;0,"Expense","Income"))))</f>
        <v/>
      </c>
      <c r="G575" s="90">
        <f>IF(A575="","",DATE(YEAR(A575),MONTH(A575),1))</f>
        <v/>
      </c>
      <c r="H575" s="87" t="n"/>
      <c r="I575" s="87" t="n"/>
      <c r="J575" s="91" t="inlineStr">
        <is>
          <t>CVS/PHARMACY #02210</t>
        </is>
      </c>
      <c r="K575" s="91" t="inlineStr">
        <is>
          <t>Sample Card Co</t>
        </is>
      </c>
      <c r="L575" s="91" t="inlineStr">
        <is>
          <t>Credit Card</t>
        </is>
      </c>
      <c r="M575" s="91" t="inlineStr">
        <is>
          <t>Visa_Statement.csv</t>
        </is>
      </c>
      <c r="N575" s="91" t="inlineStr">
        <is>
          <t>2026-10-15 20:14:07</t>
        </is>
      </c>
      <c r="O575" s="91" t="n"/>
      <c r="P575" s="91" t="inlineStr">
        <is>
          <t>REWARDS VISA|20251024|-1860|CVSPHARMACY02210#1</t>
        </is>
      </c>
      <c r="Q575" s="92">
        <f>IF(AND(G575=RptMonth,F575="Expense",N(E575)&lt;0),-E575+ROW()/10000000,"")</f>
        <v/>
      </c>
    </row>
    <row r="576">
      <c r="A576" s="86" t="n">
        <v>45952</v>
      </c>
      <c r="B576" s="87" t="inlineStr">
        <is>
          <t>Rewards Visa</t>
        </is>
      </c>
      <c r="C576" s="87" t="inlineStr">
        <is>
          <t>H MART #112</t>
        </is>
      </c>
      <c r="D576" s="87" t="inlineStr">
        <is>
          <t>Groceries</t>
        </is>
      </c>
      <c r="E576" s="88" t="n">
        <v>-41.25</v>
      </c>
      <c r="F576" s="89">
        <f>IF(E576="","",IF(OR(D576="",D576="Uncategorized"),IF(E576&lt;0,"Expense","Income"),IFERROR(INDEX(Categories!$B$6:$B$65,MATCH(D576,Categories!$A$6:$A$65,0)),IF(E576&lt;0,"Expense","Income"))))</f>
        <v/>
      </c>
      <c r="G576" s="90">
        <f>IF(A576="","",DATE(YEAR(A576),MONTH(A576),1))</f>
        <v/>
      </c>
      <c r="H576" s="87" t="n"/>
      <c r="I576" s="87" t="n"/>
      <c r="J576" s="91" t="inlineStr">
        <is>
          <t>H MART #112</t>
        </is>
      </c>
      <c r="K576" s="91" t="inlineStr">
        <is>
          <t>Sample Card Co</t>
        </is>
      </c>
      <c r="L576" s="91" t="inlineStr">
        <is>
          <t>Credit Card</t>
        </is>
      </c>
      <c r="M576" s="91" t="inlineStr">
        <is>
          <t>Visa_Statement.csv</t>
        </is>
      </c>
      <c r="N576" s="91" t="inlineStr">
        <is>
          <t>2026-10-15 20:14:07</t>
        </is>
      </c>
      <c r="O576" s="91" t="n"/>
      <c r="P576" s="91" t="inlineStr">
        <is>
          <t>REWARDS VISA|20251022|-4125|HMART112#1</t>
        </is>
      </c>
      <c r="Q576" s="92">
        <f>IF(AND(G576=RptMonth,F576="Expense",N(E576)&lt;0),-E576+ROW()/10000000,"")</f>
        <v/>
      </c>
    </row>
    <row r="577">
      <c r="A577" s="86" t="n">
        <v>45951</v>
      </c>
      <c r="B577" s="87" t="inlineStr">
        <is>
          <t>Rewards Visa</t>
        </is>
      </c>
      <c r="C577" s="87" t="inlineStr">
        <is>
          <t>AMAZON.COM*2K4LP0</t>
        </is>
      </c>
      <c r="D577" s="87" t="inlineStr">
        <is>
          <t>Shopping</t>
        </is>
      </c>
      <c r="E577" s="88" t="n">
        <v>-59.23</v>
      </c>
      <c r="F577" s="89">
        <f>IF(E577="","",IF(OR(D577="",D577="Uncategorized"),IF(E577&lt;0,"Expense","Income"),IFERROR(INDEX(Categories!$B$6:$B$65,MATCH(D577,Categories!$A$6:$A$65,0)),IF(E577&lt;0,"Expense","Income"))))</f>
        <v/>
      </c>
      <c r="G577" s="90">
        <f>IF(A577="","",DATE(YEAR(A577),MONTH(A577),1))</f>
        <v/>
      </c>
      <c r="H577" s="87" t="n"/>
      <c r="I577" s="87" t="n"/>
      <c r="J577" s="91" t="inlineStr">
        <is>
          <t>AMAZON.COM*2K4LP0</t>
        </is>
      </c>
      <c r="K577" s="91" t="inlineStr">
        <is>
          <t>Sample Card Co</t>
        </is>
      </c>
      <c r="L577" s="91" t="inlineStr">
        <is>
          <t>Credit Card</t>
        </is>
      </c>
      <c r="M577" s="91" t="inlineStr">
        <is>
          <t>Visa_Statement.csv</t>
        </is>
      </c>
      <c r="N577" s="91" t="inlineStr">
        <is>
          <t>2026-10-15 20:14:07</t>
        </is>
      </c>
      <c r="O577" s="91" t="n"/>
      <c r="P577" s="91" t="inlineStr">
        <is>
          <t>REWARDS VISA|20251021|-5923|AMAZONCOM2K4LP0#1</t>
        </is>
      </c>
      <c r="Q577" s="92">
        <f>IF(AND(G577=RptMonth,F577="Expense",N(E577)&lt;0),-E577+ROW()/10000000,"")</f>
        <v/>
      </c>
    </row>
    <row r="578">
      <c r="A578" s="86" t="n">
        <v>45951</v>
      </c>
      <c r="B578" s="87" t="inlineStr">
        <is>
          <t>Rewards Visa</t>
        </is>
      </c>
      <c r="C578" s="87" t="inlineStr">
        <is>
          <t>GREAT CLIPS #4410</t>
        </is>
      </c>
      <c r="D578" s="87" t="inlineStr">
        <is>
          <t>Personal Care</t>
        </is>
      </c>
      <c r="E578" s="88" t="n">
        <v>-30.66</v>
      </c>
      <c r="F578" s="89">
        <f>IF(E578="","",IF(OR(D578="",D578="Uncategorized"),IF(E578&lt;0,"Expense","Income"),IFERROR(INDEX(Categories!$B$6:$B$65,MATCH(D578,Categories!$A$6:$A$65,0)),IF(E578&lt;0,"Expense","Income"))))</f>
        <v/>
      </c>
      <c r="G578" s="90">
        <f>IF(A578="","",DATE(YEAR(A578),MONTH(A578),1))</f>
        <v/>
      </c>
      <c r="H578" s="87" t="n"/>
      <c r="I578" s="87" t="n"/>
      <c r="J578" s="91" t="inlineStr">
        <is>
          <t>GREAT CLIPS #4410</t>
        </is>
      </c>
      <c r="K578" s="91" t="inlineStr">
        <is>
          <t>Sample Card Co</t>
        </is>
      </c>
      <c r="L578" s="91" t="inlineStr">
        <is>
          <t>Credit Card</t>
        </is>
      </c>
      <c r="M578" s="91" t="inlineStr">
        <is>
          <t>Visa_Statement.csv</t>
        </is>
      </c>
      <c r="N578" s="91" t="inlineStr">
        <is>
          <t>2026-10-15 20:14:07</t>
        </is>
      </c>
      <c r="O578" s="91" t="n"/>
      <c r="P578" s="91" t="inlineStr">
        <is>
          <t>REWARDS VISA|20251021|-3066|GREATCLIPS4410#1</t>
        </is>
      </c>
      <c r="Q578" s="92">
        <f>IF(AND(G578=RptMonth,F578="Expense",N(E578)&lt;0),-E578+ROW()/10000000,"")</f>
        <v/>
      </c>
    </row>
    <row r="579">
      <c r="A579" s="86" t="n">
        <v>45951</v>
      </c>
      <c r="B579" s="87" t="inlineStr">
        <is>
          <t>Rewards Visa</t>
        </is>
      </c>
      <c r="C579" s="87" t="inlineStr">
        <is>
          <t>SUNOCO 0391</t>
        </is>
      </c>
      <c r="D579" s="87" t="inlineStr">
        <is>
          <t>Gas &amp; Fuel</t>
        </is>
      </c>
      <c r="E579" s="88" t="n">
        <v>-47.69</v>
      </c>
      <c r="F579" s="89">
        <f>IF(E579="","",IF(OR(D579="",D579="Uncategorized"),IF(E579&lt;0,"Expense","Income"),IFERROR(INDEX(Categories!$B$6:$B$65,MATCH(D579,Categories!$A$6:$A$65,0)),IF(E579&lt;0,"Expense","Income"))))</f>
        <v/>
      </c>
      <c r="G579" s="90">
        <f>IF(A579="","",DATE(YEAR(A579),MONTH(A579),1))</f>
        <v/>
      </c>
      <c r="H579" s="87" t="n"/>
      <c r="I579" s="87" t="n"/>
      <c r="J579" s="91" t="inlineStr">
        <is>
          <t>SUNOCO 0391</t>
        </is>
      </c>
      <c r="K579" s="91" t="inlineStr">
        <is>
          <t>Sample Card Co</t>
        </is>
      </c>
      <c r="L579" s="91" t="inlineStr">
        <is>
          <t>Credit Card</t>
        </is>
      </c>
      <c r="M579" s="91" t="inlineStr">
        <is>
          <t>Visa_Statement.csv</t>
        </is>
      </c>
      <c r="N579" s="91" t="inlineStr">
        <is>
          <t>2026-10-15 20:14:07</t>
        </is>
      </c>
      <c r="O579" s="91" t="n"/>
      <c r="P579" s="91" t="inlineStr">
        <is>
          <t>REWARDS VISA|20251021|-4769|SUNOCO0391#1</t>
        </is>
      </c>
      <c r="Q579" s="92">
        <f>IF(AND(G579=RptMonth,F579="Expense",N(E579)&lt;0),-E579+ROW()/10000000,"")</f>
        <v/>
      </c>
    </row>
    <row r="580">
      <c r="A580" s="86" t="n">
        <v>45950</v>
      </c>
      <c r="B580" s="87" t="inlineStr">
        <is>
          <t>Everyday Checking</t>
        </is>
      </c>
      <c r="C580" s="87" t="inlineStr">
        <is>
          <t>CREDIT CARD PAYMENT REWARDS VISA</t>
        </is>
      </c>
      <c r="D580" s="87" t="inlineStr">
        <is>
          <t>Credit Card Payment</t>
        </is>
      </c>
      <c r="E580" s="88" t="n">
        <v>-1696.94</v>
      </c>
      <c r="F580" s="89">
        <f>IF(E580="","",IF(OR(D580="",D580="Uncategorized"),IF(E580&lt;0,"Expense","Income"),IFERROR(INDEX(Categories!$B$6:$B$65,MATCH(D580,Categories!$A$6:$A$65,0)),IF(E580&lt;0,"Expense","Income"))))</f>
        <v/>
      </c>
      <c r="G580" s="90">
        <f>IF(A580="","",DATE(YEAR(A580),MONTH(A580),1))</f>
        <v/>
      </c>
      <c r="H580" s="87" t="n"/>
      <c r="I580" s="87" t="n"/>
      <c r="J580" s="91" t="inlineStr">
        <is>
          <t>CREDIT CARD PAYMENT REWARDS VISA</t>
        </is>
      </c>
      <c r="K580" s="91" t="inlineStr">
        <is>
          <t>Sample Bank</t>
        </is>
      </c>
      <c r="L580" s="91" t="inlineStr">
        <is>
          <t>Checking</t>
        </is>
      </c>
      <c r="M580" s="91" t="inlineStr">
        <is>
          <t>Checking_Activity.csv</t>
        </is>
      </c>
      <c r="N580" s="91" t="inlineStr">
        <is>
          <t>2026-10-15 20:14:07</t>
        </is>
      </c>
      <c r="O580" s="91" t="n"/>
      <c r="P580" s="91" t="inlineStr">
        <is>
          <t>EVERYDAY CHECKING|20251020|-169694|CREDITCARDPAYMENTREWARDSVISA#1</t>
        </is>
      </c>
      <c r="Q580" s="92">
        <f>IF(AND(G580=RptMonth,F580="Expense",N(E580)&lt;0),-E580+ROW()/10000000,"")</f>
        <v/>
      </c>
    </row>
    <row r="581">
      <c r="A581" s="86" t="n">
        <v>45950</v>
      </c>
      <c r="B581" s="87" t="inlineStr">
        <is>
          <t>Rewards Visa</t>
        </is>
      </c>
      <c r="C581" s="87" t="inlineStr">
        <is>
          <t>LOCAL PIZZERIA</t>
        </is>
      </c>
      <c r="D581" s="87" t="inlineStr">
        <is>
          <t>Dining Out</t>
        </is>
      </c>
      <c r="E581" s="88" t="n">
        <v>-52.23</v>
      </c>
      <c r="F581" s="89">
        <f>IF(E581="","",IF(OR(D581="",D581="Uncategorized"),IF(E581&lt;0,"Expense","Income"),IFERROR(INDEX(Categories!$B$6:$B$65,MATCH(D581,Categories!$A$6:$A$65,0)),IF(E581&lt;0,"Expense","Income"))))</f>
        <v/>
      </c>
      <c r="G581" s="90">
        <f>IF(A581="","",DATE(YEAR(A581),MONTH(A581),1))</f>
        <v/>
      </c>
      <c r="H581" s="87" t="n"/>
      <c r="I581" s="87" t="n"/>
      <c r="J581" s="91" t="inlineStr">
        <is>
          <t>LOCAL PIZZERIA</t>
        </is>
      </c>
      <c r="K581" s="91" t="inlineStr">
        <is>
          <t>Sample Card Co</t>
        </is>
      </c>
      <c r="L581" s="91" t="inlineStr">
        <is>
          <t>Credit Card</t>
        </is>
      </c>
      <c r="M581" s="91" t="inlineStr">
        <is>
          <t>Visa_Statement.csv</t>
        </is>
      </c>
      <c r="N581" s="91" t="inlineStr">
        <is>
          <t>2026-10-15 20:14:07</t>
        </is>
      </c>
      <c r="O581" s="91" t="n"/>
      <c r="P581" s="91" t="inlineStr">
        <is>
          <t>REWARDS VISA|20251020|-5223|LOCALPIZZERIA#1</t>
        </is>
      </c>
      <c r="Q581" s="92">
        <f>IF(AND(G581=RptMonth,F581="Expense",N(E581)&lt;0),-E581+ROW()/10000000,"")</f>
        <v/>
      </c>
    </row>
    <row r="582">
      <c r="A582" s="86" t="n">
        <v>45950</v>
      </c>
      <c r="B582" s="87" t="inlineStr">
        <is>
          <t>Rewards Visa</t>
        </is>
      </c>
      <c r="C582" s="87" t="inlineStr">
        <is>
          <t>PAYMENT THANK YOU</t>
        </is>
      </c>
      <c r="D582" s="87" t="inlineStr">
        <is>
          <t>Credit Card Payment</t>
        </is>
      </c>
      <c r="E582" s="88" t="n">
        <v>1696.94</v>
      </c>
      <c r="F582" s="89">
        <f>IF(E582="","",IF(OR(D582="",D582="Uncategorized"),IF(E582&lt;0,"Expense","Income"),IFERROR(INDEX(Categories!$B$6:$B$65,MATCH(D582,Categories!$A$6:$A$65,0)),IF(E582&lt;0,"Expense","Income"))))</f>
        <v/>
      </c>
      <c r="G582" s="90">
        <f>IF(A582="","",DATE(YEAR(A582),MONTH(A582),1))</f>
        <v/>
      </c>
      <c r="H582" s="87" t="n"/>
      <c r="I582" s="87" t="n"/>
      <c r="J582" s="91" t="inlineStr">
        <is>
          <t>PAYMENT THANK YOU</t>
        </is>
      </c>
      <c r="K582" s="91" t="inlineStr">
        <is>
          <t>Sample Card Co</t>
        </is>
      </c>
      <c r="L582" s="91" t="inlineStr">
        <is>
          <t>Credit Card</t>
        </is>
      </c>
      <c r="M582" s="91" t="inlineStr">
        <is>
          <t>Visa_Statement.csv</t>
        </is>
      </c>
      <c r="N582" s="91" t="inlineStr">
        <is>
          <t>2026-10-15 20:14:07</t>
        </is>
      </c>
      <c r="O582" s="91" t="n"/>
      <c r="P582" s="91" t="inlineStr">
        <is>
          <t>REWARDS VISA|20251020|169694|PAYMENTTHANKYOU#1</t>
        </is>
      </c>
      <c r="Q582" s="92">
        <f>IF(AND(G582=RptMonth,F582="Expense",N(E582)&lt;0),-E582+ROW()/10000000,"")</f>
        <v/>
      </c>
    </row>
    <row r="583">
      <c r="A583" s="86" t="n">
        <v>45949</v>
      </c>
      <c r="B583" s="87" t="inlineStr">
        <is>
          <t>Rewards Visa</t>
        </is>
      </c>
      <c r="C583" s="87" t="inlineStr">
        <is>
          <t>HOME DEPOT #0911</t>
        </is>
      </c>
      <c r="D583" s="87" t="inlineStr">
        <is>
          <t>Home Improvement</t>
        </is>
      </c>
      <c r="E583" s="88" t="n">
        <v>-80.40000000000001</v>
      </c>
      <c r="F583" s="89">
        <f>IF(E583="","",IF(OR(D583="",D583="Uncategorized"),IF(E583&lt;0,"Expense","Income"),IFERROR(INDEX(Categories!$B$6:$B$65,MATCH(D583,Categories!$A$6:$A$65,0)),IF(E583&lt;0,"Expense","Income"))))</f>
        <v/>
      </c>
      <c r="G583" s="90">
        <f>IF(A583="","",DATE(YEAR(A583),MONTH(A583),1))</f>
        <v/>
      </c>
      <c r="H583" s="87" t="n"/>
      <c r="I583" s="87" t="n"/>
      <c r="J583" s="91" t="inlineStr">
        <is>
          <t>HOME DEPOT #0911</t>
        </is>
      </c>
      <c r="K583" s="91" t="inlineStr">
        <is>
          <t>Sample Card Co</t>
        </is>
      </c>
      <c r="L583" s="91" t="inlineStr">
        <is>
          <t>Credit Card</t>
        </is>
      </c>
      <c r="M583" s="91" t="inlineStr">
        <is>
          <t>Visa_Statement.csv</t>
        </is>
      </c>
      <c r="N583" s="91" t="inlineStr">
        <is>
          <t>2026-10-15 20:14:07</t>
        </is>
      </c>
      <c r="O583" s="91" t="n"/>
      <c r="P583" s="91" t="inlineStr">
        <is>
          <t>REWARDS VISA|20251019|-8040|HOMEDEPOT0911#1</t>
        </is>
      </c>
      <c r="Q583" s="92">
        <f>IF(AND(G583=RptMonth,F583="Expense",N(E583)&lt;0),-E583+ROW()/10000000,"")</f>
        <v/>
      </c>
    </row>
    <row r="584">
      <c r="A584" s="86" t="n">
        <v>45948</v>
      </c>
      <c r="B584" s="87" t="inlineStr">
        <is>
          <t>Everyday Checking</t>
        </is>
      </c>
      <c r="C584" s="87" t="inlineStr">
        <is>
          <t>SAMPLE LOAN SERVICER STUDENT LOAN</t>
        </is>
      </c>
      <c r="D584" s="87" t="inlineStr">
        <is>
          <t>Loan Payments</t>
        </is>
      </c>
      <c r="E584" s="88" t="n">
        <v>-260</v>
      </c>
      <c r="F584" s="89">
        <f>IF(E584="","",IF(OR(D584="",D584="Uncategorized"),IF(E584&lt;0,"Expense","Income"),IFERROR(INDEX(Categories!$B$6:$B$65,MATCH(D584,Categories!$A$6:$A$65,0)),IF(E584&lt;0,"Expense","Income"))))</f>
        <v/>
      </c>
      <c r="G584" s="90">
        <f>IF(A584="","",DATE(YEAR(A584),MONTH(A584),1))</f>
        <v/>
      </c>
      <c r="H584" s="87" t="n"/>
      <c r="I584" s="87" t="n"/>
      <c r="J584" s="91" t="inlineStr">
        <is>
          <t>SAMPLE LOAN SERVICER STUDENT LOAN</t>
        </is>
      </c>
      <c r="K584" s="91" t="inlineStr">
        <is>
          <t>Sample Bank</t>
        </is>
      </c>
      <c r="L584" s="91" t="inlineStr">
        <is>
          <t>Checking</t>
        </is>
      </c>
      <c r="M584" s="91" t="inlineStr">
        <is>
          <t>Checking_Activity.csv</t>
        </is>
      </c>
      <c r="N584" s="91" t="inlineStr">
        <is>
          <t>2026-10-15 20:14:07</t>
        </is>
      </c>
      <c r="O584" s="91" t="n"/>
      <c r="P584" s="91" t="inlineStr">
        <is>
          <t>EVERYDAY CHECKING|20251018|-26000|SAMPLELOANSERVICERSTUDENTLOAN#1</t>
        </is>
      </c>
      <c r="Q584" s="92">
        <f>IF(AND(G584=RptMonth,F584="Expense",N(E584)&lt;0),-E584+ROW()/10000000,"")</f>
        <v/>
      </c>
    </row>
    <row r="585">
      <c r="A585" s="86" t="n">
        <v>45948</v>
      </c>
      <c r="B585" s="87" t="inlineStr">
        <is>
          <t>Rewards Visa</t>
        </is>
      </c>
      <c r="C585" s="87" t="inlineStr">
        <is>
          <t>WHOLE FOODS MARKET #10312</t>
        </is>
      </c>
      <c r="D585" s="87" t="inlineStr">
        <is>
          <t>Groceries</t>
        </is>
      </c>
      <c r="E585" s="88" t="n">
        <v>-91.66</v>
      </c>
      <c r="F585" s="89">
        <f>IF(E585="","",IF(OR(D585="",D585="Uncategorized"),IF(E585&lt;0,"Expense","Income"),IFERROR(INDEX(Categories!$B$6:$B$65,MATCH(D585,Categories!$A$6:$A$65,0)),IF(E585&lt;0,"Expense","Income"))))</f>
        <v/>
      </c>
      <c r="G585" s="90">
        <f>IF(A585="","",DATE(YEAR(A585),MONTH(A585),1))</f>
        <v/>
      </c>
      <c r="H585" s="87" t="n"/>
      <c r="I585" s="87" t="n"/>
      <c r="J585" s="91" t="inlineStr">
        <is>
          <t>WHOLE FOODS MARKET #10312</t>
        </is>
      </c>
      <c r="K585" s="91" t="inlineStr">
        <is>
          <t>Sample Card Co</t>
        </is>
      </c>
      <c r="L585" s="91" t="inlineStr">
        <is>
          <t>Credit Card</t>
        </is>
      </c>
      <c r="M585" s="91" t="inlineStr">
        <is>
          <t>Visa_Statement.csv</t>
        </is>
      </c>
      <c r="N585" s="91" t="inlineStr">
        <is>
          <t>2026-10-15 20:14:07</t>
        </is>
      </c>
      <c r="O585" s="91" t="n"/>
      <c r="P585" s="91" t="inlineStr">
        <is>
          <t>REWARDS VISA|20251018|-9166|WHOLEFOODSMARKET10312#1</t>
        </is>
      </c>
      <c r="Q585" s="92">
        <f>IF(AND(G585=RptMonth,F585="Expense",N(E585)&lt;0),-E585+ROW()/10000000,"")</f>
        <v/>
      </c>
    </row>
    <row r="586">
      <c r="A586" s="86" t="n">
        <v>45947</v>
      </c>
      <c r="B586" s="87" t="inlineStr">
        <is>
          <t>Everyday Checking</t>
        </is>
      </c>
      <c r="C586" s="87" t="inlineStr">
        <is>
          <t>ACME CORP PAYROLL DIR DEP</t>
        </is>
      </c>
      <c r="D586" s="87" t="inlineStr">
        <is>
          <t>Salary</t>
        </is>
      </c>
      <c r="E586" s="88" t="n">
        <v>3352.18</v>
      </c>
      <c r="F586" s="89">
        <f>IF(E586="","",IF(OR(D586="",D586="Uncategorized"),IF(E586&lt;0,"Expense","Income"),IFERROR(INDEX(Categories!$B$6:$B$65,MATCH(D586,Categories!$A$6:$A$65,0)),IF(E586&lt;0,"Expense","Income"))))</f>
        <v/>
      </c>
      <c r="G586" s="90">
        <f>IF(A586="","",DATE(YEAR(A586),MONTH(A586),1))</f>
        <v/>
      </c>
      <c r="H586" s="87" t="n"/>
      <c r="I586" s="87" t="n"/>
      <c r="J586" s="91" t="inlineStr">
        <is>
          <t>ACME CORP PAYROLL DIR DEP</t>
        </is>
      </c>
      <c r="K586" s="91" t="inlineStr">
        <is>
          <t>Sample Bank</t>
        </is>
      </c>
      <c r="L586" s="91" t="inlineStr">
        <is>
          <t>Checking</t>
        </is>
      </c>
      <c r="M586" s="91" t="inlineStr">
        <is>
          <t>Checking_Activity.csv</t>
        </is>
      </c>
      <c r="N586" s="91" t="inlineStr">
        <is>
          <t>2026-10-15 20:14:07</t>
        </is>
      </c>
      <c r="O586" s="91" t="n"/>
      <c r="P586" s="91" t="inlineStr">
        <is>
          <t>EVERYDAY CHECKING|20251017|335218|ACMECORPPAYROLLDIRDEP#1</t>
        </is>
      </c>
      <c r="Q586" s="92">
        <f>IF(AND(G586=RptMonth,F586="Expense",N(E586)&lt;0),-E586+ROW()/10000000,"")</f>
        <v/>
      </c>
    </row>
    <row r="587">
      <c r="A587" s="86" t="n">
        <v>45947</v>
      </c>
      <c r="B587" s="87" t="inlineStr">
        <is>
          <t>Rewards Visa</t>
        </is>
      </c>
      <c r="C587" s="87" t="inlineStr">
        <is>
          <t>SHELL OIL 57444</t>
        </is>
      </c>
      <c r="D587" s="87" t="inlineStr">
        <is>
          <t>Gas &amp; Fuel</t>
        </is>
      </c>
      <c r="E587" s="88" t="n">
        <v>-38.89</v>
      </c>
      <c r="F587" s="89">
        <f>IF(E587="","",IF(OR(D587="",D587="Uncategorized"),IF(E587&lt;0,"Expense","Income"),IFERROR(INDEX(Categories!$B$6:$B$65,MATCH(D587,Categories!$A$6:$A$65,0)),IF(E587&lt;0,"Expense","Income"))))</f>
        <v/>
      </c>
      <c r="G587" s="90">
        <f>IF(A587="","",DATE(YEAR(A587),MONTH(A587),1))</f>
        <v/>
      </c>
      <c r="H587" s="87" t="n"/>
      <c r="I587" s="87" t="n"/>
      <c r="J587" s="91" t="inlineStr">
        <is>
          <t>SHELL OIL 57444</t>
        </is>
      </c>
      <c r="K587" s="91" t="inlineStr">
        <is>
          <t>Sample Card Co</t>
        </is>
      </c>
      <c r="L587" s="91" t="inlineStr">
        <is>
          <t>Credit Card</t>
        </is>
      </c>
      <c r="M587" s="91" t="inlineStr">
        <is>
          <t>Visa_Statement.csv</t>
        </is>
      </c>
      <c r="N587" s="91" t="inlineStr">
        <is>
          <t>2026-10-15 20:14:07</t>
        </is>
      </c>
      <c r="O587" s="91" t="n"/>
      <c r="P587" s="91" t="inlineStr">
        <is>
          <t>REWARDS VISA|20251017|-3889|SHELLOIL57444#1</t>
        </is>
      </c>
      <c r="Q587" s="92">
        <f>IF(AND(G587=RptMonth,F587="Expense",N(E587)&lt;0),-E587+ROW()/10000000,"")</f>
        <v/>
      </c>
    </row>
    <row r="588">
      <c r="A588" s="86" t="n">
        <v>45946</v>
      </c>
      <c r="B588" s="87" t="inlineStr">
        <is>
          <t>Rewards Visa</t>
        </is>
      </c>
      <c r="C588" s="87" t="inlineStr">
        <is>
          <t>PLANET FITNESS</t>
        </is>
      </c>
      <c r="D588" s="87" t="inlineStr">
        <is>
          <t>Health &amp; Fitness</t>
        </is>
      </c>
      <c r="E588" s="88" t="n">
        <v>-24.99</v>
      </c>
      <c r="F588" s="89">
        <f>IF(E588="","",IF(OR(D588="",D588="Uncategorized"),IF(E588&lt;0,"Expense","Income"),IFERROR(INDEX(Categories!$B$6:$B$65,MATCH(D588,Categories!$A$6:$A$65,0)),IF(E588&lt;0,"Expense","Income"))))</f>
        <v/>
      </c>
      <c r="G588" s="90">
        <f>IF(A588="","",DATE(YEAR(A588),MONTH(A588),1))</f>
        <v/>
      </c>
      <c r="H588" s="87" t="n"/>
      <c r="I588" s="87" t="n"/>
      <c r="J588" s="91" t="inlineStr">
        <is>
          <t>PLANET FITNESS</t>
        </is>
      </c>
      <c r="K588" s="91" t="inlineStr">
        <is>
          <t>Sample Card Co</t>
        </is>
      </c>
      <c r="L588" s="91" t="inlineStr">
        <is>
          <t>Credit Card</t>
        </is>
      </c>
      <c r="M588" s="91" t="inlineStr">
        <is>
          <t>Visa_Statement.csv</t>
        </is>
      </c>
      <c r="N588" s="91" t="inlineStr">
        <is>
          <t>2026-10-15 20:14:07</t>
        </is>
      </c>
      <c r="O588" s="91" t="n"/>
      <c r="P588" s="91" t="inlineStr">
        <is>
          <t>REWARDS VISA|20251016|-2499|PLANETFITNESS#1</t>
        </is>
      </c>
      <c r="Q588" s="92">
        <f>IF(AND(G588=RptMonth,F588="Expense",N(E588)&lt;0),-E588+ROW()/10000000,"")</f>
        <v/>
      </c>
    </row>
    <row r="589">
      <c r="A589" s="86" t="n">
        <v>45946</v>
      </c>
      <c r="B589" s="87" t="inlineStr">
        <is>
          <t>Rewards Visa</t>
        </is>
      </c>
      <c r="C589" s="87" t="inlineStr">
        <is>
          <t>SWEETGREEN PALISADES</t>
        </is>
      </c>
      <c r="D589" s="87" t="inlineStr">
        <is>
          <t>Dining Out</t>
        </is>
      </c>
      <c r="E589" s="88" t="n">
        <v>-66.72</v>
      </c>
      <c r="F589" s="89">
        <f>IF(E589="","",IF(OR(D589="",D589="Uncategorized"),IF(E589&lt;0,"Expense","Income"),IFERROR(INDEX(Categories!$B$6:$B$65,MATCH(D589,Categories!$A$6:$A$65,0)),IF(E589&lt;0,"Expense","Income"))))</f>
        <v/>
      </c>
      <c r="G589" s="90">
        <f>IF(A589="","",DATE(YEAR(A589),MONTH(A589),1))</f>
        <v/>
      </c>
      <c r="H589" s="87" t="n"/>
      <c r="I589" s="87" t="n"/>
      <c r="J589" s="91" t="inlineStr">
        <is>
          <t>SWEETGREEN PALISADES</t>
        </is>
      </c>
      <c r="K589" s="91" t="inlineStr">
        <is>
          <t>Sample Card Co</t>
        </is>
      </c>
      <c r="L589" s="91" t="inlineStr">
        <is>
          <t>Credit Card</t>
        </is>
      </c>
      <c r="M589" s="91" t="inlineStr">
        <is>
          <t>Visa_Statement.csv</t>
        </is>
      </c>
      <c r="N589" s="91" t="inlineStr">
        <is>
          <t>2026-10-15 20:14:07</t>
        </is>
      </c>
      <c r="O589" s="91" t="n"/>
      <c r="P589" s="91" t="inlineStr">
        <is>
          <t>REWARDS VISA|20251016|-6672|SWEETGREENPALISADES#1</t>
        </is>
      </c>
      <c r="Q589" s="92">
        <f>IF(AND(G589=RptMonth,F589="Expense",N(E589)&lt;0),-E589+ROW()/10000000,"")</f>
        <v/>
      </c>
    </row>
    <row r="590">
      <c r="A590" s="86" t="n">
        <v>45945</v>
      </c>
      <c r="B590" s="87" t="inlineStr">
        <is>
          <t>Everyday Checking</t>
        </is>
      </c>
      <c r="C590" s="87" t="inlineStr">
        <is>
          <t>XFINITY INTERNET</t>
        </is>
      </c>
      <c r="D590" s="87" t="inlineStr">
        <is>
          <t>Phone &amp; Internet</t>
        </is>
      </c>
      <c r="E590" s="88" t="n">
        <v>-79.98999999999999</v>
      </c>
      <c r="F590" s="89">
        <f>IF(E590="","",IF(OR(D590="",D590="Uncategorized"),IF(E590&lt;0,"Expense","Income"),IFERROR(INDEX(Categories!$B$6:$B$65,MATCH(D590,Categories!$A$6:$A$65,0)),IF(E590&lt;0,"Expense","Income"))))</f>
        <v/>
      </c>
      <c r="G590" s="90">
        <f>IF(A590="","",DATE(YEAR(A590),MONTH(A590),1))</f>
        <v/>
      </c>
      <c r="H590" s="87" t="n"/>
      <c r="I590" s="87" t="n"/>
      <c r="J590" s="91" t="inlineStr">
        <is>
          <t>XFINITY INTERNET</t>
        </is>
      </c>
      <c r="K590" s="91" t="inlineStr">
        <is>
          <t>Sample Bank</t>
        </is>
      </c>
      <c r="L590" s="91" t="inlineStr">
        <is>
          <t>Checking</t>
        </is>
      </c>
      <c r="M590" s="91" t="inlineStr">
        <is>
          <t>Checking_Activity.csv</t>
        </is>
      </c>
      <c r="N590" s="91" t="inlineStr">
        <is>
          <t>2026-10-15 20:14:07</t>
        </is>
      </c>
      <c r="O590" s="91" t="n"/>
      <c r="P590" s="91" t="inlineStr">
        <is>
          <t>EVERYDAY CHECKING|20251015|-7999|XFINITYINTERNET#1</t>
        </is>
      </c>
      <c r="Q590" s="92">
        <f>IF(AND(G590=RptMonth,F590="Expense",N(E590)&lt;0),-E590+ROW()/10000000,"")</f>
        <v/>
      </c>
    </row>
    <row r="591">
      <c r="A591" s="86" t="n">
        <v>45945</v>
      </c>
      <c r="B591" s="87" t="inlineStr">
        <is>
          <t>Rewards Visa</t>
        </is>
      </c>
      <c r="C591" s="87" t="inlineStr">
        <is>
          <t>H MART #112</t>
        </is>
      </c>
      <c r="D591" s="87" t="inlineStr">
        <is>
          <t>Groceries</t>
        </is>
      </c>
      <c r="E591" s="88" t="n">
        <v>-67.7</v>
      </c>
      <c r="F591" s="89">
        <f>IF(E591="","",IF(OR(D591="",D591="Uncategorized"),IF(E591&lt;0,"Expense","Income"),IFERROR(INDEX(Categories!$B$6:$B$65,MATCH(D591,Categories!$A$6:$A$65,0)),IF(E591&lt;0,"Expense","Income"))))</f>
        <v/>
      </c>
      <c r="G591" s="90">
        <f>IF(A591="","",DATE(YEAR(A591),MONTH(A591),1))</f>
        <v/>
      </c>
      <c r="H591" s="87" t="n"/>
      <c r="I591" s="87" t="n"/>
      <c r="J591" s="91" t="inlineStr">
        <is>
          <t>H MART #112</t>
        </is>
      </c>
      <c r="K591" s="91" t="inlineStr">
        <is>
          <t>Sample Card Co</t>
        </is>
      </c>
      <c r="L591" s="91" t="inlineStr">
        <is>
          <t>Credit Card</t>
        </is>
      </c>
      <c r="M591" s="91" t="inlineStr">
        <is>
          <t>Visa_Statement.csv</t>
        </is>
      </c>
      <c r="N591" s="91" t="inlineStr">
        <is>
          <t>2026-10-15 20:14:07</t>
        </is>
      </c>
      <c r="O591" s="91" t="n"/>
      <c r="P591" s="91" t="inlineStr">
        <is>
          <t>REWARDS VISA|20251015|-6770|HMART112#1</t>
        </is>
      </c>
      <c r="Q591" s="92">
        <f>IF(AND(G591=RptMonth,F591="Expense",N(E591)&lt;0),-E591+ROW()/10000000,"")</f>
        <v/>
      </c>
    </row>
    <row r="592">
      <c r="A592" s="86" t="n">
        <v>45944</v>
      </c>
      <c r="B592" s="87" t="inlineStr">
        <is>
          <t>Everyday Checking</t>
        </is>
      </c>
      <c r="C592" s="87" t="inlineStr">
        <is>
          <t>CITY WATER UTILITY</t>
        </is>
      </c>
      <c r="D592" s="87" t="inlineStr">
        <is>
          <t>Utilities</t>
        </is>
      </c>
      <c r="E592" s="88" t="n">
        <v>-68.62</v>
      </c>
      <c r="F592" s="89">
        <f>IF(E592="","",IF(OR(D592="",D592="Uncategorized"),IF(E592&lt;0,"Expense","Income"),IFERROR(INDEX(Categories!$B$6:$B$65,MATCH(D592,Categories!$A$6:$A$65,0)),IF(E592&lt;0,"Expense","Income"))))</f>
        <v/>
      </c>
      <c r="G592" s="90">
        <f>IF(A592="","",DATE(YEAR(A592),MONTH(A592),1))</f>
        <v/>
      </c>
      <c r="H592" s="87" t="n"/>
      <c r="I592" s="87" t="n"/>
      <c r="J592" s="91" t="inlineStr">
        <is>
          <t>CITY WATER UTILITY</t>
        </is>
      </c>
      <c r="K592" s="91" t="inlineStr">
        <is>
          <t>Sample Bank</t>
        </is>
      </c>
      <c r="L592" s="91" t="inlineStr">
        <is>
          <t>Checking</t>
        </is>
      </c>
      <c r="M592" s="91" t="inlineStr">
        <is>
          <t>Checking_Activity.csv</t>
        </is>
      </c>
      <c r="N592" s="91" t="inlineStr">
        <is>
          <t>2026-10-15 20:14:07</t>
        </is>
      </c>
      <c r="O592" s="91" t="n"/>
      <c r="P592" s="91" t="inlineStr">
        <is>
          <t>EVERYDAY CHECKING|20251014|-6862|CITYWATERUTILITY#1</t>
        </is>
      </c>
      <c r="Q592" s="92">
        <f>IF(AND(G592=RptMonth,F592="Expense",N(E592)&lt;0),-E592+ROW()/10000000,"")</f>
        <v/>
      </c>
    </row>
    <row r="593">
      <c r="A593" s="86" t="n">
        <v>45944</v>
      </c>
      <c r="B593" s="87" t="inlineStr">
        <is>
          <t>Rewards Visa</t>
        </is>
      </c>
      <c r="C593" s="87" t="inlineStr">
        <is>
          <t>SUNOCO 0391</t>
        </is>
      </c>
      <c r="D593" s="87" t="inlineStr">
        <is>
          <t>Gas &amp; Fuel</t>
        </is>
      </c>
      <c r="E593" s="88" t="n">
        <v>-50.68</v>
      </c>
      <c r="F593" s="89">
        <f>IF(E593="","",IF(OR(D593="",D593="Uncategorized"),IF(E593&lt;0,"Expense","Income"),IFERROR(INDEX(Categories!$B$6:$B$65,MATCH(D593,Categories!$A$6:$A$65,0)),IF(E593&lt;0,"Expense","Income"))))</f>
        <v/>
      </c>
      <c r="G593" s="90">
        <f>IF(A593="","",DATE(YEAR(A593),MONTH(A593),1))</f>
        <v/>
      </c>
      <c r="H593" s="87" t="n"/>
      <c r="I593" s="87" t="n"/>
      <c r="J593" s="91" t="inlineStr">
        <is>
          <t>SUNOCO 0391</t>
        </is>
      </c>
      <c r="K593" s="91" t="inlineStr">
        <is>
          <t>Sample Card Co</t>
        </is>
      </c>
      <c r="L593" s="91" t="inlineStr">
        <is>
          <t>Credit Card</t>
        </is>
      </c>
      <c r="M593" s="91" t="inlineStr">
        <is>
          <t>Visa_Statement.csv</t>
        </is>
      </c>
      <c r="N593" s="91" t="inlineStr">
        <is>
          <t>2026-10-15 20:14:07</t>
        </is>
      </c>
      <c r="O593" s="91" t="n"/>
      <c r="P593" s="91" t="inlineStr">
        <is>
          <t>REWARDS VISA|20251014|-5068|SUNOCO0391#1</t>
        </is>
      </c>
      <c r="Q593" s="92">
        <f>IF(AND(G593=RptMonth,F593="Expense",N(E593)&lt;0),-E593+ROW()/10000000,"")</f>
        <v/>
      </c>
    </row>
    <row r="594">
      <c r="A594" s="86" t="n">
        <v>45942</v>
      </c>
      <c r="B594" s="87" t="inlineStr">
        <is>
          <t>Everyday Checking</t>
        </is>
      </c>
      <c r="C594" s="87" t="inlineStr">
        <is>
          <t>VERIZON WIRELESS</t>
        </is>
      </c>
      <c r="D594" s="87" t="inlineStr">
        <is>
          <t>Phone &amp; Internet</t>
        </is>
      </c>
      <c r="E594" s="88" t="n">
        <v>-95</v>
      </c>
      <c r="F594" s="89">
        <f>IF(E594="","",IF(OR(D594="",D594="Uncategorized"),IF(E594&lt;0,"Expense","Income"),IFERROR(INDEX(Categories!$B$6:$B$65,MATCH(D594,Categories!$A$6:$A$65,0)),IF(E594&lt;0,"Expense","Income"))))</f>
        <v/>
      </c>
      <c r="G594" s="90">
        <f>IF(A594="","",DATE(YEAR(A594),MONTH(A594),1))</f>
        <v/>
      </c>
      <c r="H594" s="87" t="n"/>
      <c r="I594" s="87" t="n"/>
      <c r="J594" s="91" t="inlineStr">
        <is>
          <t>VERIZON WIRELESS</t>
        </is>
      </c>
      <c r="K594" s="91" t="inlineStr">
        <is>
          <t>Sample Bank</t>
        </is>
      </c>
      <c r="L594" s="91" t="inlineStr">
        <is>
          <t>Checking</t>
        </is>
      </c>
      <c r="M594" s="91" t="inlineStr">
        <is>
          <t>Checking_Activity.csv</t>
        </is>
      </c>
      <c r="N594" s="91" t="inlineStr">
        <is>
          <t>2026-10-15 20:14:07</t>
        </is>
      </c>
      <c r="O594" s="91" t="n"/>
      <c r="P594" s="91" t="inlineStr">
        <is>
          <t>EVERYDAY CHECKING|20251012|-9500|VERIZONWIRELESS#1</t>
        </is>
      </c>
      <c r="Q594" s="92">
        <f>IF(AND(G594=RptMonth,F594="Expense",N(E594)&lt;0),-E594+ROW()/10000000,"")</f>
        <v/>
      </c>
    </row>
    <row r="595">
      <c r="A595" s="86" t="n">
        <v>45941</v>
      </c>
      <c r="B595" s="87" t="inlineStr">
        <is>
          <t>Everyday Checking</t>
        </is>
      </c>
      <c r="C595" s="87" t="inlineStr">
        <is>
          <t>ATM WITHDRAWAL 1234 MAIN ST</t>
        </is>
      </c>
      <c r="D595" s="87" t="inlineStr">
        <is>
          <t>Cash &amp; ATM</t>
        </is>
      </c>
      <c r="E595" s="88" t="n">
        <v>-60</v>
      </c>
      <c r="F595" s="89">
        <f>IF(E595="","",IF(OR(D595="",D595="Uncategorized"),IF(E595&lt;0,"Expense","Income"),IFERROR(INDEX(Categories!$B$6:$B$65,MATCH(D595,Categories!$A$6:$A$65,0)),IF(E595&lt;0,"Expense","Income"))))</f>
        <v/>
      </c>
      <c r="G595" s="90">
        <f>IF(A595="","",DATE(YEAR(A595),MONTH(A595),1))</f>
        <v/>
      </c>
      <c r="H595" s="87" t="n"/>
      <c r="I595" s="87" t="n"/>
      <c r="J595" s="91" t="inlineStr">
        <is>
          <t>ATM WITHDRAWAL 1234 MAIN ST</t>
        </is>
      </c>
      <c r="K595" s="91" t="inlineStr">
        <is>
          <t>Sample Bank</t>
        </is>
      </c>
      <c r="L595" s="91" t="inlineStr">
        <is>
          <t>Checking</t>
        </is>
      </c>
      <c r="M595" s="91" t="inlineStr">
        <is>
          <t>Checking_Activity.csv</t>
        </is>
      </c>
      <c r="N595" s="91" t="inlineStr">
        <is>
          <t>2026-10-15 20:14:07</t>
        </is>
      </c>
      <c r="O595" s="91" t="n"/>
      <c r="P595" s="91" t="inlineStr">
        <is>
          <t>EVERYDAY CHECKING|20251011|-6000|ATMWITHDRAWAL1234MAINST#1</t>
        </is>
      </c>
      <c r="Q595" s="92">
        <f>IF(AND(G595=RptMonth,F595="Expense",N(E595)&lt;0),-E595+ROW()/10000000,"")</f>
        <v/>
      </c>
    </row>
    <row r="596">
      <c r="A596" s="86" t="n">
        <v>45941</v>
      </c>
      <c r="B596" s="87" t="inlineStr">
        <is>
          <t>Rewards Visa</t>
        </is>
      </c>
      <c r="C596" s="87" t="inlineStr">
        <is>
          <t>APPLE.COM/BILL</t>
        </is>
      </c>
      <c r="D596" s="87" t="inlineStr">
        <is>
          <t>Subscriptions</t>
        </is>
      </c>
      <c r="E596" s="88" t="n">
        <v>-2.99</v>
      </c>
      <c r="F596" s="89">
        <f>IF(E596="","",IF(OR(D596="",D596="Uncategorized"),IF(E596&lt;0,"Expense","Income"),IFERROR(INDEX(Categories!$B$6:$B$65,MATCH(D596,Categories!$A$6:$A$65,0)),IF(E596&lt;0,"Expense","Income"))))</f>
        <v/>
      </c>
      <c r="G596" s="90">
        <f>IF(A596="","",DATE(YEAR(A596),MONTH(A596),1))</f>
        <v/>
      </c>
      <c r="H596" s="87" t="n"/>
      <c r="I596" s="87" t="n"/>
      <c r="J596" s="91" t="inlineStr">
        <is>
          <t>APPLE.COM/BILL</t>
        </is>
      </c>
      <c r="K596" s="91" t="inlineStr">
        <is>
          <t>Sample Card Co</t>
        </is>
      </c>
      <c r="L596" s="91" t="inlineStr">
        <is>
          <t>Credit Card</t>
        </is>
      </c>
      <c r="M596" s="91" t="inlineStr">
        <is>
          <t>Visa_Statement.csv</t>
        </is>
      </c>
      <c r="N596" s="91" t="inlineStr">
        <is>
          <t>2026-10-15 20:14:07</t>
        </is>
      </c>
      <c r="O596" s="91" t="n"/>
      <c r="P596" s="91" t="inlineStr">
        <is>
          <t>REWARDS VISA|20251011|-299|APPLECOMBILL#1</t>
        </is>
      </c>
      <c r="Q596" s="92">
        <f>IF(AND(G596=RptMonth,F596="Expense",N(E596)&lt;0),-E596+ROW()/10000000,"")</f>
        <v/>
      </c>
    </row>
    <row r="597">
      <c r="A597" s="86" t="n">
        <v>45941</v>
      </c>
      <c r="B597" s="87" t="inlineStr">
        <is>
          <t>Rewards Visa</t>
        </is>
      </c>
      <c r="C597" s="87" t="inlineStr">
        <is>
          <t>WHOLE FOODS MARKET #10312</t>
        </is>
      </c>
      <c r="D597" s="87" t="inlineStr">
        <is>
          <t>Groceries</t>
        </is>
      </c>
      <c r="E597" s="88" t="n">
        <v>-144.82</v>
      </c>
      <c r="F597" s="89">
        <f>IF(E597="","",IF(OR(D597="",D597="Uncategorized"),IF(E597&lt;0,"Expense","Income"),IFERROR(INDEX(Categories!$B$6:$B$65,MATCH(D597,Categories!$A$6:$A$65,0)),IF(E597&lt;0,"Expense","Income"))))</f>
        <v/>
      </c>
      <c r="G597" s="90">
        <f>IF(A597="","",DATE(YEAR(A597),MONTH(A597),1))</f>
        <v/>
      </c>
      <c r="H597" s="87" t="n"/>
      <c r="I597" s="87" t="n"/>
      <c r="J597" s="91" t="inlineStr">
        <is>
          <t>WHOLE FOODS MARKET #10312</t>
        </is>
      </c>
      <c r="K597" s="91" t="inlineStr">
        <is>
          <t>Sample Card Co</t>
        </is>
      </c>
      <c r="L597" s="91" t="inlineStr">
        <is>
          <t>Credit Card</t>
        </is>
      </c>
      <c r="M597" s="91" t="inlineStr">
        <is>
          <t>Visa_Statement.csv</t>
        </is>
      </c>
      <c r="N597" s="91" t="inlineStr">
        <is>
          <t>2026-10-15 20:14:07</t>
        </is>
      </c>
      <c r="O597" s="91" t="n"/>
      <c r="P597" s="91" t="inlineStr">
        <is>
          <t>REWARDS VISA|20251011|-14482|WHOLEFOODSMARKET10312#1</t>
        </is>
      </c>
      <c r="Q597" s="92">
        <f>IF(AND(G597=RptMonth,F597="Expense",N(E597)&lt;0),-E597+ROW()/10000000,"")</f>
        <v/>
      </c>
    </row>
    <row r="598">
      <c r="A598" s="86" t="n">
        <v>45940</v>
      </c>
      <c r="B598" s="87" t="inlineStr">
        <is>
          <t>Everyday Checking</t>
        </is>
      </c>
      <c r="C598" s="87" t="inlineStr">
        <is>
          <t>SAMPLE AUTO FINANCE PMT</t>
        </is>
      </c>
      <c r="D598" s="87" t="inlineStr">
        <is>
          <t>Auto Payment</t>
        </is>
      </c>
      <c r="E598" s="88" t="n">
        <v>-385</v>
      </c>
      <c r="F598" s="89">
        <f>IF(E598="","",IF(OR(D598="",D598="Uncategorized"),IF(E598&lt;0,"Expense","Income"),IFERROR(INDEX(Categories!$B$6:$B$65,MATCH(D598,Categories!$A$6:$A$65,0)),IF(E598&lt;0,"Expense","Income"))))</f>
        <v/>
      </c>
      <c r="G598" s="90">
        <f>IF(A598="","",DATE(YEAR(A598),MONTH(A598),1))</f>
        <v/>
      </c>
      <c r="H598" s="87" t="n"/>
      <c r="I598" s="87" t="n"/>
      <c r="J598" s="91" t="inlineStr">
        <is>
          <t>SAMPLE AUTO FINANCE PMT</t>
        </is>
      </c>
      <c r="K598" s="91" t="inlineStr">
        <is>
          <t>Sample Bank</t>
        </is>
      </c>
      <c r="L598" s="91" t="inlineStr">
        <is>
          <t>Checking</t>
        </is>
      </c>
      <c r="M598" s="91" t="inlineStr">
        <is>
          <t>Checking_Activity.csv</t>
        </is>
      </c>
      <c r="N598" s="91" t="inlineStr">
        <is>
          <t>2026-10-15 20:14:07</t>
        </is>
      </c>
      <c r="O598" s="91" t="n"/>
      <c r="P598" s="91" t="inlineStr">
        <is>
          <t>EVERYDAY CHECKING|20251010|-38500|SAMPLEAUTOFINANCEPMT#1</t>
        </is>
      </c>
      <c r="Q598" s="92">
        <f>IF(AND(G598=RptMonth,F598="Expense",N(E598)&lt;0),-E598+ROW()/10000000,"")</f>
        <v/>
      </c>
    </row>
    <row r="599">
      <c r="A599" s="86" t="n">
        <v>45940</v>
      </c>
      <c r="B599" s="87" t="inlineStr">
        <is>
          <t>Rewards Visa</t>
        </is>
      </c>
      <c r="C599" s="87" t="inlineStr">
        <is>
          <t>SHELL OIL 57444</t>
        </is>
      </c>
      <c r="D599" s="87" t="inlineStr">
        <is>
          <t>Gas &amp; Fuel</t>
        </is>
      </c>
      <c r="E599" s="88" t="n">
        <v>-55.6</v>
      </c>
      <c r="F599" s="89">
        <f>IF(E599="","",IF(OR(D599="",D599="Uncategorized"),IF(E599&lt;0,"Expense","Income"),IFERROR(INDEX(Categories!$B$6:$B$65,MATCH(D599,Categories!$A$6:$A$65,0)),IF(E599&lt;0,"Expense","Income"))))</f>
        <v/>
      </c>
      <c r="G599" s="90">
        <f>IF(A599="","",DATE(YEAR(A599),MONTH(A599),1))</f>
        <v/>
      </c>
      <c r="H599" s="87" t="n"/>
      <c r="I599" s="87" t="n"/>
      <c r="J599" s="91" t="inlineStr">
        <is>
          <t>SHELL OIL 57444</t>
        </is>
      </c>
      <c r="K599" s="91" t="inlineStr">
        <is>
          <t>Sample Card Co</t>
        </is>
      </c>
      <c r="L599" s="91" t="inlineStr">
        <is>
          <t>Credit Card</t>
        </is>
      </c>
      <c r="M599" s="91" t="inlineStr">
        <is>
          <t>Visa_Statement.csv</t>
        </is>
      </c>
      <c r="N599" s="91" t="inlineStr">
        <is>
          <t>2026-10-15 20:14:07</t>
        </is>
      </c>
      <c r="O599" s="91" t="n"/>
      <c r="P599" s="91" t="inlineStr">
        <is>
          <t>REWARDS VISA|20251010|-5560|SHELLOIL57444#1</t>
        </is>
      </c>
      <c r="Q599" s="92">
        <f>IF(AND(G599=RptMonth,F599="Expense",N(E599)&lt;0),-E599+ROW()/10000000,"")</f>
        <v/>
      </c>
    </row>
    <row r="600">
      <c r="A600" s="86" t="n">
        <v>45939</v>
      </c>
      <c r="B600" s="87" t="inlineStr">
        <is>
          <t>Everyday Checking</t>
        </is>
      </c>
      <c r="C600" s="87" t="inlineStr">
        <is>
          <t>NJ NATURAL GAS PAYMENT</t>
        </is>
      </c>
      <c r="D600" s="87" t="inlineStr">
        <is>
          <t>Utilities</t>
        </is>
      </c>
      <c r="E600" s="88" t="n">
        <v>-44.9</v>
      </c>
      <c r="F600" s="89">
        <f>IF(E600="","",IF(OR(D600="",D600="Uncategorized"),IF(E600&lt;0,"Expense","Income"),IFERROR(INDEX(Categories!$B$6:$B$65,MATCH(D600,Categories!$A$6:$A$65,0)),IF(E600&lt;0,"Expense","Income"))))</f>
        <v/>
      </c>
      <c r="G600" s="90">
        <f>IF(A600="","",DATE(YEAR(A600),MONTH(A600),1))</f>
        <v/>
      </c>
      <c r="H600" s="87" t="n"/>
      <c r="I600" s="87" t="n"/>
      <c r="J600" s="91" t="inlineStr">
        <is>
          <t>NJ NATURAL GAS PAYMENT</t>
        </is>
      </c>
      <c r="K600" s="91" t="inlineStr">
        <is>
          <t>Sample Bank</t>
        </is>
      </c>
      <c r="L600" s="91" t="inlineStr">
        <is>
          <t>Checking</t>
        </is>
      </c>
      <c r="M600" s="91" t="inlineStr">
        <is>
          <t>Checking_Activity.csv</t>
        </is>
      </c>
      <c r="N600" s="91" t="inlineStr">
        <is>
          <t>2026-10-15 20:14:07</t>
        </is>
      </c>
      <c r="O600" s="91" t="n"/>
      <c r="P600" s="91" t="inlineStr">
        <is>
          <t>EVERYDAY CHECKING|20251009|-4490|NJNATURALGASPAYMENT#1</t>
        </is>
      </c>
      <c r="Q600" s="92">
        <f>IF(AND(G600=RptMonth,F600="Expense",N(E600)&lt;0),-E600+ROW()/10000000,"")</f>
        <v/>
      </c>
    </row>
    <row r="601">
      <c r="A601" s="86" t="n">
        <v>45938</v>
      </c>
      <c r="B601" s="87" t="inlineStr">
        <is>
          <t>Everyday Checking</t>
        </is>
      </c>
      <c r="C601" s="87" t="inlineStr">
        <is>
          <t>PSEG ELECTRIC BILL</t>
        </is>
      </c>
      <c r="D601" s="87" t="inlineStr">
        <is>
          <t>Utilities</t>
        </is>
      </c>
      <c r="E601" s="88" t="n">
        <v>-99.67</v>
      </c>
      <c r="F601" s="89">
        <f>IF(E601="","",IF(OR(D601="",D601="Uncategorized"),IF(E601&lt;0,"Expense","Income"),IFERROR(INDEX(Categories!$B$6:$B$65,MATCH(D601,Categories!$A$6:$A$65,0)),IF(E601&lt;0,"Expense","Income"))))</f>
        <v/>
      </c>
      <c r="G601" s="90">
        <f>IF(A601="","",DATE(YEAR(A601),MONTH(A601),1))</f>
        <v/>
      </c>
      <c r="H601" s="87" t="n"/>
      <c r="I601" s="87" t="n"/>
      <c r="J601" s="91" t="inlineStr">
        <is>
          <t>PSEG ELECTRIC BILL</t>
        </is>
      </c>
      <c r="K601" s="91" t="inlineStr">
        <is>
          <t>Sample Bank</t>
        </is>
      </c>
      <c r="L601" s="91" t="inlineStr">
        <is>
          <t>Checking</t>
        </is>
      </c>
      <c r="M601" s="91" t="inlineStr">
        <is>
          <t>Checking_Activity.csv</t>
        </is>
      </c>
      <c r="N601" s="91" t="inlineStr">
        <is>
          <t>2026-10-15 20:14:07</t>
        </is>
      </c>
      <c r="O601" s="91" t="n"/>
      <c r="P601" s="91" t="inlineStr">
        <is>
          <t>EVERYDAY CHECKING|20251008|-9967|PSEGELECTRICBILL#1</t>
        </is>
      </c>
      <c r="Q601" s="92">
        <f>IF(AND(G601=RptMonth,F601="Expense",N(E601)&lt;0),-E601+ROW()/10000000,"")</f>
        <v/>
      </c>
    </row>
    <row r="602">
      <c r="A602" s="86" t="n">
        <v>45938</v>
      </c>
      <c r="B602" s="87" t="inlineStr">
        <is>
          <t>Rewards Visa</t>
        </is>
      </c>
      <c r="C602" s="87" t="inlineStr">
        <is>
          <t>AMAZON.COM*2K4LP0</t>
        </is>
      </c>
      <c r="D602" s="87" t="inlineStr">
        <is>
          <t>Shopping</t>
        </is>
      </c>
      <c r="E602" s="88" t="n">
        <v>-28.67</v>
      </c>
      <c r="F602" s="89">
        <f>IF(E602="","",IF(OR(D602="",D602="Uncategorized"),IF(E602&lt;0,"Expense","Income"),IFERROR(INDEX(Categories!$B$6:$B$65,MATCH(D602,Categories!$A$6:$A$65,0)),IF(E602&lt;0,"Expense","Income"))))</f>
        <v/>
      </c>
      <c r="G602" s="90">
        <f>IF(A602="","",DATE(YEAR(A602),MONTH(A602),1))</f>
        <v/>
      </c>
      <c r="H602" s="87" t="n"/>
      <c r="I602" s="87" t="n"/>
      <c r="J602" s="91" t="inlineStr">
        <is>
          <t>AMAZON.COM*2K4LP0</t>
        </is>
      </c>
      <c r="K602" s="91" t="inlineStr">
        <is>
          <t>Sample Card Co</t>
        </is>
      </c>
      <c r="L602" s="91" t="inlineStr">
        <is>
          <t>Credit Card</t>
        </is>
      </c>
      <c r="M602" s="91" t="inlineStr">
        <is>
          <t>Visa_Statement.csv</t>
        </is>
      </c>
      <c r="N602" s="91" t="inlineStr">
        <is>
          <t>2026-10-15 20:14:07</t>
        </is>
      </c>
      <c r="O602" s="91" t="n"/>
      <c r="P602" s="91" t="inlineStr">
        <is>
          <t>REWARDS VISA|20251008|-2867|AMAZONCOM2K4LP0#1</t>
        </is>
      </c>
      <c r="Q602" s="92">
        <f>IF(AND(G602=RptMonth,F602="Expense",N(E602)&lt;0),-E602+ROW()/10000000,"")</f>
        <v/>
      </c>
    </row>
    <row r="603">
      <c r="A603" s="86" t="n">
        <v>45937</v>
      </c>
      <c r="B603" s="87" t="inlineStr">
        <is>
          <t>Rewards Visa</t>
        </is>
      </c>
      <c r="C603" s="87" t="inlineStr">
        <is>
          <t>BLUE MOON DINER</t>
        </is>
      </c>
      <c r="D603" s="87" t="inlineStr">
        <is>
          <t>Dining Out</t>
        </is>
      </c>
      <c r="E603" s="88" t="n">
        <v>-22.72</v>
      </c>
      <c r="F603" s="89">
        <f>IF(E603="","",IF(OR(D603="",D603="Uncategorized"),IF(E603&lt;0,"Expense","Income"),IFERROR(INDEX(Categories!$B$6:$B$65,MATCH(D603,Categories!$A$6:$A$65,0)),IF(E603&lt;0,"Expense","Income"))))</f>
        <v/>
      </c>
      <c r="G603" s="90">
        <f>IF(A603="","",DATE(YEAR(A603),MONTH(A603),1))</f>
        <v/>
      </c>
      <c r="H603" s="87" t="n"/>
      <c r="I603" s="87" t="n"/>
      <c r="J603" s="91" t="inlineStr">
        <is>
          <t>BLUE MOON DINER</t>
        </is>
      </c>
      <c r="K603" s="91" t="inlineStr">
        <is>
          <t>Sample Card Co</t>
        </is>
      </c>
      <c r="L603" s="91" t="inlineStr">
        <is>
          <t>Credit Card</t>
        </is>
      </c>
      <c r="M603" s="91" t="inlineStr">
        <is>
          <t>Visa_Statement.csv</t>
        </is>
      </c>
      <c r="N603" s="91" t="inlineStr">
        <is>
          <t>2026-10-15 20:14:07</t>
        </is>
      </c>
      <c r="O603" s="91" t="n"/>
      <c r="P603" s="91" t="inlineStr">
        <is>
          <t>REWARDS VISA|20251007|-2272|BLUEMOONDINER#1</t>
        </is>
      </c>
      <c r="Q603" s="92">
        <f>IF(AND(G603=RptMonth,F603="Expense",N(E603)&lt;0),-E603+ROW()/10000000,"")</f>
        <v/>
      </c>
    </row>
    <row r="604">
      <c r="A604" s="86" t="n">
        <v>45937</v>
      </c>
      <c r="B604" s="87" t="inlineStr">
        <is>
          <t>Rewards Visa</t>
        </is>
      </c>
      <c r="C604" s="87" t="inlineStr">
        <is>
          <t>SPOTIFY USA</t>
        </is>
      </c>
      <c r="D604" s="87" t="inlineStr">
        <is>
          <t>Subscriptions</t>
        </is>
      </c>
      <c r="E604" s="88" t="n">
        <v>-11.99</v>
      </c>
      <c r="F604" s="89">
        <f>IF(E604="","",IF(OR(D604="",D604="Uncategorized"),IF(E604&lt;0,"Expense","Income"),IFERROR(INDEX(Categories!$B$6:$B$65,MATCH(D604,Categories!$A$6:$A$65,0)),IF(E604&lt;0,"Expense","Income"))))</f>
        <v/>
      </c>
      <c r="G604" s="90">
        <f>IF(A604="","",DATE(YEAR(A604),MONTH(A604),1))</f>
        <v/>
      </c>
      <c r="H604" s="87" t="n"/>
      <c r="I604" s="87" t="n"/>
      <c r="J604" s="91" t="inlineStr">
        <is>
          <t>SPOTIFY USA</t>
        </is>
      </c>
      <c r="K604" s="91" t="inlineStr">
        <is>
          <t>Sample Card Co</t>
        </is>
      </c>
      <c r="L604" s="91" t="inlineStr">
        <is>
          <t>Credit Card</t>
        </is>
      </c>
      <c r="M604" s="91" t="inlineStr">
        <is>
          <t>Visa_Statement.csv</t>
        </is>
      </c>
      <c r="N604" s="91" t="inlineStr">
        <is>
          <t>2026-10-15 20:14:07</t>
        </is>
      </c>
      <c r="O604" s="91" t="n"/>
      <c r="P604" s="91" t="inlineStr">
        <is>
          <t>REWARDS VISA|20251007|-1199|SPOTIFYUSA#1</t>
        </is>
      </c>
      <c r="Q604" s="92">
        <f>IF(AND(G604=RptMonth,F604="Expense",N(E604)&lt;0),-E604+ROW()/10000000,"")</f>
        <v/>
      </c>
    </row>
    <row r="605">
      <c r="A605" s="86" t="n">
        <v>45935</v>
      </c>
      <c r="B605" s="87" t="inlineStr">
        <is>
          <t>Everyday Checking</t>
        </is>
      </c>
      <c r="C605" s="87" t="inlineStr">
        <is>
          <t>ONLINE TRANSFER TO HIGH-YIELD SAVINGS</t>
        </is>
      </c>
      <c r="D605" s="87" t="inlineStr">
        <is>
          <t>Transfer</t>
        </is>
      </c>
      <c r="E605" s="88" t="n">
        <v>-500</v>
      </c>
      <c r="F605" s="89">
        <f>IF(E605="","",IF(OR(D605="",D605="Uncategorized"),IF(E605&lt;0,"Expense","Income"),IFERROR(INDEX(Categories!$B$6:$B$65,MATCH(D605,Categories!$A$6:$A$65,0)),IF(E605&lt;0,"Expense","Income"))))</f>
        <v/>
      </c>
      <c r="G605" s="90">
        <f>IF(A605="","",DATE(YEAR(A605),MONTH(A605),1))</f>
        <v/>
      </c>
      <c r="H605" s="87" t="n"/>
      <c r="I605" s="87" t="n"/>
      <c r="J605" s="91" t="inlineStr">
        <is>
          <t>ONLINE TRANSFER TO HIGH-YIELD SAVINGS</t>
        </is>
      </c>
      <c r="K605" s="91" t="inlineStr">
        <is>
          <t>Sample Bank</t>
        </is>
      </c>
      <c r="L605" s="91" t="inlineStr">
        <is>
          <t>Checking</t>
        </is>
      </c>
      <c r="M605" s="91" t="inlineStr">
        <is>
          <t>Checking_Activity.csv</t>
        </is>
      </c>
      <c r="N605" s="91" t="inlineStr">
        <is>
          <t>2026-10-15 20:14:07</t>
        </is>
      </c>
      <c r="O605" s="91" t="n"/>
      <c r="P605" s="91" t="inlineStr">
        <is>
          <t>EVERYDAY CHECKING|20251005|-50000|ONLINETRANSFERTOHIGHYIELDSAVINGS#1</t>
        </is>
      </c>
      <c r="Q605" s="92">
        <f>IF(AND(G605=RptMonth,F605="Expense",N(E605)&lt;0),-E605+ROW()/10000000,"")</f>
        <v/>
      </c>
    </row>
    <row r="606">
      <c r="A606" s="86" t="n">
        <v>45935</v>
      </c>
      <c r="B606" s="87" t="inlineStr">
        <is>
          <t>High-Yield Savings</t>
        </is>
      </c>
      <c r="C606" s="87" t="inlineStr">
        <is>
          <t>ONLINE TRANSFER FROM EVERYDAY CHECKING</t>
        </is>
      </c>
      <c r="D606" s="87" t="inlineStr">
        <is>
          <t>Transfer</t>
        </is>
      </c>
      <c r="E606" s="88" t="n">
        <v>500</v>
      </c>
      <c r="F606" s="89">
        <f>IF(E606="","",IF(OR(D606="",D606="Uncategorized"),IF(E606&lt;0,"Expense","Income"),IFERROR(INDEX(Categories!$B$6:$B$65,MATCH(D606,Categories!$A$6:$A$65,0)),IF(E606&lt;0,"Expense","Income"))))</f>
        <v/>
      </c>
      <c r="G606" s="90">
        <f>IF(A606="","",DATE(YEAR(A606),MONTH(A606),1))</f>
        <v/>
      </c>
      <c r="H606" s="87" t="n"/>
      <c r="I606" s="87" t="n"/>
      <c r="J606" s="91" t="inlineStr">
        <is>
          <t>ONLINE TRANSFER FROM EVERYDAY CHECKING</t>
        </is>
      </c>
      <c r="K606" s="91" t="inlineStr">
        <is>
          <t>Sample Bank</t>
        </is>
      </c>
      <c r="L606" s="91" t="inlineStr">
        <is>
          <t>Savings</t>
        </is>
      </c>
      <c r="M606" s="91" t="inlineStr">
        <is>
          <t>Savings.qfx</t>
        </is>
      </c>
      <c r="N606" s="91" t="inlineStr">
        <is>
          <t>2026-10-15 20:14:07</t>
        </is>
      </c>
      <c r="O606" s="91" t="inlineStr">
        <is>
          <t>773002025100501</t>
        </is>
      </c>
      <c r="P606" s="91" t="inlineStr">
        <is>
          <t>HIGH-YIELD SAVINGS|ID|773002025100501#1</t>
        </is>
      </c>
      <c r="Q606" s="92">
        <f>IF(AND(G606=RptMonth,F606="Expense",N(E606)&lt;0),-E606+ROW()/10000000,"")</f>
        <v/>
      </c>
    </row>
    <row r="607">
      <c r="A607" s="86" t="n">
        <v>45934</v>
      </c>
      <c r="B607" s="87" t="inlineStr">
        <is>
          <t>Rewards Visa</t>
        </is>
      </c>
      <c r="C607" s="87" t="inlineStr">
        <is>
          <t>WHOLE FOODS MARKET #10312</t>
        </is>
      </c>
      <c r="D607" s="87" t="inlineStr">
        <is>
          <t>Groceries</t>
        </is>
      </c>
      <c r="E607" s="88" t="n">
        <v>-121.75</v>
      </c>
      <c r="F607" s="89">
        <f>IF(E607="","",IF(OR(D607="",D607="Uncategorized"),IF(E607&lt;0,"Expense","Income"),IFERROR(INDEX(Categories!$B$6:$B$65,MATCH(D607,Categories!$A$6:$A$65,0)),IF(E607&lt;0,"Expense","Income"))))</f>
        <v/>
      </c>
      <c r="G607" s="90">
        <f>IF(A607="","",DATE(YEAR(A607),MONTH(A607),1))</f>
        <v/>
      </c>
      <c r="H607" s="87" t="n"/>
      <c r="I607" s="87" t="n"/>
      <c r="J607" s="91" t="inlineStr">
        <is>
          <t>WHOLE FOODS MARKET #10312</t>
        </is>
      </c>
      <c r="K607" s="91" t="inlineStr">
        <is>
          <t>Sample Card Co</t>
        </is>
      </c>
      <c r="L607" s="91" t="inlineStr">
        <is>
          <t>Credit Card</t>
        </is>
      </c>
      <c r="M607" s="91" t="inlineStr">
        <is>
          <t>Visa_Statement.csv</t>
        </is>
      </c>
      <c r="N607" s="91" t="inlineStr">
        <is>
          <t>2026-10-15 20:14:07</t>
        </is>
      </c>
      <c r="O607" s="91" t="n"/>
      <c r="P607" s="91" t="inlineStr">
        <is>
          <t>REWARDS VISA|20251004|-12175|WHOLEFOODSMARKET10312#1</t>
        </is>
      </c>
      <c r="Q607" s="92">
        <f>IF(AND(G607=RptMonth,F607="Expense",N(E607)&lt;0),-E607+ROW()/10000000,"")</f>
        <v/>
      </c>
    </row>
    <row r="608">
      <c r="A608" s="86" t="n">
        <v>45933</v>
      </c>
      <c r="B608" s="87" t="inlineStr">
        <is>
          <t>Everyday Checking</t>
        </is>
      </c>
      <c r="C608" s="87" t="inlineStr">
        <is>
          <t>ACME CORP PAYROLL DIR DEP</t>
        </is>
      </c>
      <c r="D608" s="87" t="inlineStr">
        <is>
          <t>Salary</t>
        </is>
      </c>
      <c r="E608" s="88" t="n">
        <v>3352.18</v>
      </c>
      <c r="F608" s="89">
        <f>IF(E608="","",IF(OR(D608="",D608="Uncategorized"),IF(E608&lt;0,"Expense","Income"),IFERROR(INDEX(Categories!$B$6:$B$65,MATCH(D608,Categories!$A$6:$A$65,0)),IF(E608&lt;0,"Expense","Income"))))</f>
        <v/>
      </c>
      <c r="G608" s="90">
        <f>IF(A608="","",DATE(YEAR(A608),MONTH(A608),1))</f>
        <v/>
      </c>
      <c r="H608" s="87" t="n"/>
      <c r="I608" s="87" t="n"/>
      <c r="J608" s="91" t="inlineStr">
        <is>
          <t>ACME CORP PAYROLL DIR DEP</t>
        </is>
      </c>
      <c r="K608" s="91" t="inlineStr">
        <is>
          <t>Sample Bank</t>
        </is>
      </c>
      <c r="L608" s="91" t="inlineStr">
        <is>
          <t>Checking</t>
        </is>
      </c>
      <c r="M608" s="91" t="inlineStr">
        <is>
          <t>Checking_Activity.csv</t>
        </is>
      </c>
      <c r="N608" s="91" t="inlineStr">
        <is>
          <t>2026-10-15 20:14:07</t>
        </is>
      </c>
      <c r="O608" s="91" t="n"/>
      <c r="P608" s="91" t="inlineStr">
        <is>
          <t>EVERYDAY CHECKING|20251003|335218|ACMECORPPAYROLLDIRDEP#1</t>
        </is>
      </c>
      <c r="Q608" s="92">
        <f>IF(AND(G608=RptMonth,F608="Expense",N(E608)&lt;0),-E608+ROW()/10000000,"")</f>
        <v/>
      </c>
    </row>
    <row r="609">
      <c r="A609" s="86" t="n">
        <v>45933</v>
      </c>
      <c r="B609" s="87" t="inlineStr">
        <is>
          <t>Everyday Checking</t>
        </is>
      </c>
      <c r="C609" s="87" t="inlineStr">
        <is>
          <t>GEICO AUTO INSURANCE</t>
        </is>
      </c>
      <c r="D609" s="87" t="inlineStr">
        <is>
          <t>Insurance</t>
        </is>
      </c>
      <c r="E609" s="88" t="n">
        <v>-142.5</v>
      </c>
      <c r="F609" s="89">
        <f>IF(E609="","",IF(OR(D609="",D609="Uncategorized"),IF(E609&lt;0,"Expense","Income"),IFERROR(INDEX(Categories!$B$6:$B$65,MATCH(D609,Categories!$A$6:$A$65,0)),IF(E609&lt;0,"Expense","Income"))))</f>
        <v/>
      </c>
      <c r="G609" s="90">
        <f>IF(A609="","",DATE(YEAR(A609),MONTH(A609),1))</f>
        <v/>
      </c>
      <c r="H609" s="87" t="n"/>
      <c r="I609" s="87" t="n"/>
      <c r="J609" s="91" t="inlineStr">
        <is>
          <t>GEICO AUTO INSURANCE</t>
        </is>
      </c>
      <c r="K609" s="91" t="inlineStr">
        <is>
          <t>Sample Bank</t>
        </is>
      </c>
      <c r="L609" s="91" t="inlineStr">
        <is>
          <t>Checking</t>
        </is>
      </c>
      <c r="M609" s="91" t="inlineStr">
        <is>
          <t>Checking_Activity.csv</t>
        </is>
      </c>
      <c r="N609" s="91" t="inlineStr">
        <is>
          <t>2026-10-15 20:14:07</t>
        </is>
      </c>
      <c r="O609" s="91" t="n"/>
      <c r="P609" s="91" t="inlineStr">
        <is>
          <t>EVERYDAY CHECKING|20251003|-14250|GEICOAUTOINSURANCE#1</t>
        </is>
      </c>
      <c r="Q609" s="92">
        <f>IF(AND(G609=RptMonth,F609="Expense",N(E609)&lt;0),-E609+ROW()/10000000,"")</f>
        <v/>
      </c>
    </row>
    <row r="610">
      <c r="A610" s="86" t="n">
        <v>45933</v>
      </c>
      <c r="B610" s="87" t="inlineStr">
        <is>
          <t>Rewards Visa</t>
        </is>
      </c>
      <c r="C610" s="87" t="inlineStr">
        <is>
          <t>CHIPOTLE 2291</t>
        </is>
      </c>
      <c r="D610" s="87" t="inlineStr">
        <is>
          <t>Dining Out</t>
        </is>
      </c>
      <c r="E610" s="88" t="n">
        <v>-21.87</v>
      </c>
      <c r="F610" s="89">
        <f>IF(E610="","",IF(OR(D610="",D610="Uncategorized"),IF(E610&lt;0,"Expense","Income"),IFERROR(INDEX(Categories!$B$6:$B$65,MATCH(D610,Categories!$A$6:$A$65,0)),IF(E610&lt;0,"Expense","Income"))))</f>
        <v/>
      </c>
      <c r="G610" s="90">
        <f>IF(A610="","",DATE(YEAR(A610),MONTH(A610),1))</f>
        <v/>
      </c>
      <c r="H610" s="87" t="n"/>
      <c r="I610" s="87" t="n"/>
      <c r="J610" s="91" t="inlineStr">
        <is>
          <t>CHIPOTLE 2291</t>
        </is>
      </c>
      <c r="K610" s="91" t="inlineStr">
        <is>
          <t>Sample Card Co</t>
        </is>
      </c>
      <c r="L610" s="91" t="inlineStr">
        <is>
          <t>Credit Card</t>
        </is>
      </c>
      <c r="M610" s="91" t="inlineStr">
        <is>
          <t>Visa_Statement.csv</t>
        </is>
      </c>
      <c r="N610" s="91" t="inlineStr">
        <is>
          <t>2026-10-15 20:14:07</t>
        </is>
      </c>
      <c r="O610" s="91" t="n"/>
      <c r="P610" s="91" t="inlineStr">
        <is>
          <t>REWARDS VISA|20251003|-2187|CHIPOTLE2291#1</t>
        </is>
      </c>
      <c r="Q610" s="92">
        <f>IF(AND(G610=RptMonth,F610="Expense",N(E610)&lt;0),-E610+ROW()/10000000,"")</f>
        <v/>
      </c>
    </row>
    <row r="611">
      <c r="A611" s="86" t="n">
        <v>45932</v>
      </c>
      <c r="B611" s="87" t="inlineStr">
        <is>
          <t>Rewards Visa</t>
        </is>
      </c>
      <c r="C611" s="87" t="inlineStr">
        <is>
          <t>NETFLIX.COM</t>
        </is>
      </c>
      <c r="D611" s="87" t="inlineStr">
        <is>
          <t>Subscriptions</t>
        </is>
      </c>
      <c r="E611" s="88" t="n">
        <v>-15.49</v>
      </c>
      <c r="F611" s="89">
        <f>IF(E611="","",IF(OR(D611="",D611="Uncategorized"),IF(E611&lt;0,"Expense","Income"),IFERROR(INDEX(Categories!$B$6:$B$65,MATCH(D611,Categories!$A$6:$A$65,0)),IF(E611&lt;0,"Expense","Income"))))</f>
        <v/>
      </c>
      <c r="G611" s="90">
        <f>IF(A611="","",DATE(YEAR(A611),MONTH(A611),1))</f>
        <v/>
      </c>
      <c r="H611" s="87" t="n"/>
      <c r="I611" s="87" t="n"/>
      <c r="J611" s="91" t="inlineStr">
        <is>
          <t>NETFLIX.COM</t>
        </is>
      </c>
      <c r="K611" s="91" t="inlineStr">
        <is>
          <t>Sample Card Co</t>
        </is>
      </c>
      <c r="L611" s="91" t="inlineStr">
        <is>
          <t>Credit Card</t>
        </is>
      </c>
      <c r="M611" s="91" t="inlineStr">
        <is>
          <t>Visa_Statement.csv</t>
        </is>
      </c>
      <c r="N611" s="91" t="inlineStr">
        <is>
          <t>2026-10-15 20:14:07</t>
        </is>
      </c>
      <c r="O611" s="91" t="n"/>
      <c r="P611" s="91" t="inlineStr">
        <is>
          <t>REWARDS VISA|20251002|-1549|NETFLIXCOM#1</t>
        </is>
      </c>
      <c r="Q611" s="92">
        <f>IF(AND(G611=RptMonth,F611="Expense",N(E611)&lt;0),-E611+ROW()/10000000,"")</f>
        <v/>
      </c>
    </row>
    <row r="612">
      <c r="A612" s="86" t="n">
        <v>45931</v>
      </c>
      <c r="B612" s="87" t="inlineStr">
        <is>
          <t>Everyday Checking</t>
        </is>
      </c>
      <c r="C612" s="87" t="inlineStr">
        <is>
          <t>SAMPLE MORTGAGE CO PAYMENT</t>
        </is>
      </c>
      <c r="D612" s="87" t="inlineStr">
        <is>
          <t>Mortgage / Rent</t>
        </is>
      </c>
      <c r="E612" s="88" t="n">
        <v>-2450</v>
      </c>
      <c r="F612" s="89">
        <f>IF(E612="","",IF(OR(D612="",D612="Uncategorized"),IF(E612&lt;0,"Expense","Income"),IFERROR(INDEX(Categories!$B$6:$B$65,MATCH(D612,Categories!$A$6:$A$65,0)),IF(E612&lt;0,"Expense","Income"))))</f>
        <v/>
      </c>
      <c r="G612" s="90">
        <f>IF(A612="","",DATE(YEAR(A612),MONTH(A612),1))</f>
        <v/>
      </c>
      <c r="H612" s="87" t="inlineStr">
        <is>
          <t>Includes escrow for taxes and insurance</t>
        </is>
      </c>
      <c r="I612" s="87" t="n"/>
      <c r="J612" s="91" t="inlineStr">
        <is>
          <t>SAMPLE MORTGAGE CO PAYMENT</t>
        </is>
      </c>
      <c r="K612" s="91" t="inlineStr">
        <is>
          <t>Sample Bank</t>
        </is>
      </c>
      <c r="L612" s="91" t="inlineStr">
        <is>
          <t>Checking</t>
        </is>
      </c>
      <c r="M612" s="91" t="inlineStr">
        <is>
          <t>Checking_Activity.csv</t>
        </is>
      </c>
      <c r="N612" s="91" t="inlineStr">
        <is>
          <t>2026-10-15 20:14:07</t>
        </is>
      </c>
      <c r="O612" s="91" t="n"/>
      <c r="P612" s="91" t="inlineStr">
        <is>
          <t>EVERYDAY CHECKING|20251001|-245000|SAMPLEMORTGAGECOPAYMENT#1</t>
        </is>
      </c>
      <c r="Q612" s="92">
        <f>IF(AND(G612=RptMonth,F612="Expense",N(E612)&lt;0),-E612+ROW()/10000000,"")</f>
        <v/>
      </c>
    </row>
    <row r="613">
      <c r="A613" s="86" t="n">
        <v>45931</v>
      </c>
      <c r="B613" s="87" t="inlineStr">
        <is>
          <t>Home Mortgage</t>
        </is>
      </c>
      <c r="C613" s="87" t="inlineStr">
        <is>
          <t>Payment</t>
        </is>
      </c>
      <c r="D613" s="87" t="inlineStr">
        <is>
          <t>Transfer</t>
        </is>
      </c>
      <c r="E613" s="88" t="n">
        <v>296.88</v>
      </c>
      <c r="F613" s="89">
        <f>IF(E613="","",IF(OR(D613="",D613="Uncategorized"),IF(E613&lt;0,"Expense","Income"),IFERROR(INDEX(Categories!$B$6:$B$65,MATCH(D613,Categories!$A$6:$A$65,0)),IF(E613&lt;0,"Expense","Income"))))</f>
        <v/>
      </c>
      <c r="G613" s="90">
        <f>IF(A613="","",DATE(YEAR(A613),MONTH(A613),1))</f>
        <v/>
      </c>
      <c r="H613" s="87" t="n"/>
      <c r="I613" s="87" t="n"/>
      <c r="J613" s="91" t="inlineStr">
        <is>
          <t>Payment</t>
        </is>
      </c>
      <c r="K613" s="91" t="inlineStr">
        <is>
          <t>Sample Mortgage Co</t>
        </is>
      </c>
      <c r="L613" s="91" t="inlineStr">
        <is>
          <t>Mortgage</t>
        </is>
      </c>
      <c r="M613" s="91" t="inlineStr">
        <is>
          <t>Mortgage_History.xlsx</t>
        </is>
      </c>
      <c r="N613" s="91" t="inlineStr">
        <is>
          <t>2026-10-15 20:14:07</t>
        </is>
      </c>
      <c r="O613" s="91" t="n"/>
      <c r="P613" s="91" t="inlineStr">
        <is>
          <t>HOME MORTGAGE|20251001|29688|PAYMENT#1</t>
        </is>
      </c>
      <c r="Q613" s="92">
        <f>IF(AND(G613=RptMonth,F613="Expense",N(E613)&lt;0),-E613+ROW()/10000000,"")</f>
        <v/>
      </c>
    </row>
  </sheetData>
  <conditionalFormatting sqref="D6:D50005">
    <cfRule type="cellIs" priority="1" operator="equal" dxfId="3">
      <formula>"Uncategorized"</formula>
    </cfRule>
  </conditionalFormatting>
  <dataValidations count="2">
    <dataValidation sqref="D6:D613" showDropDown="0" showInputMessage="0" showErrorMessage="1" allowBlank="1" errorTitle="Not in the list" error="This value isn't in the list. Keep it anyway?" type="list" errorStyle="warning">
      <formula1>=lst_Categories</formula1>
    </dataValidation>
    <dataValidation sqref="B6:B613" showDropDown="0" showInputMessage="0" showErrorMessage="1" allowBlank="1" errorTitle="Not in the list" error="This value isn't in the list. Keep it anyway?" type="list" errorStyle="warning">
      <formula1>=lst_Accounts</formula1>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BtnDrw"/>
  <legacyDrawing xmlns:r="http://schemas.openxmlformats.org/officeDocument/2006/relationships" r:id="anysvml"/>
  <tableParts count="1">
    <tablePart xmlns:r="http://schemas.openxmlformats.org/officeDocument/2006/relationships" r:id="rId1"/>
  </tableParts>
</worksheet>
</file>

<file path=xl/worksheets/sheet6.xml><?xml version="1.0" encoding="utf-8"?>
<worksheet xmlns="http://schemas.openxmlformats.org/spreadsheetml/2006/main">
  <sheetPr codeName="shAccounts">
    <tabColor rgb="00177A5A"/>
    <outlinePr summaryBelow="1" summaryRight="1"/>
    <pageSetUpPr fitToPage="1"/>
  </sheetPr>
  <dimension ref="A1:V105"/>
  <sheetViews>
    <sheetView showGridLines="0" tabSelected="0" zoomScale="100" workbookViewId="0">
      <pane xSplit="1" ySplit="5" topLeftCell="B6" activePane="bottomRight" state="frozen"/>
      <selection pane="topRight"/>
      <selection pane="bottomLeft"/>
      <selection pane="bottomRight" activeCell="A1" sqref="A1"/>
    </sheetView>
  </sheetViews>
  <sheetFormatPr baseColWidth="8" defaultRowHeight="15"/>
  <cols>
    <col width="24" customWidth="1" min="1" max="1"/>
    <col width="20" customWidth="1" min="2" max="2"/>
    <col width="17" customWidth="1" min="3" max="3"/>
    <col width="8" customWidth="1" min="4" max="4"/>
    <col width="9" customWidth="1" min="5" max="5"/>
    <col width="15" customWidth="1" min="6" max="6"/>
    <col width="11" customWidth="1" min="7" max="7"/>
    <col width="14" customWidth="1" min="8" max="8"/>
    <col width="13" customWidth="1" min="9" max="9"/>
    <col width="15" customWidth="1" min="10" max="10"/>
    <col width="14" customWidth="1" min="11" max="11"/>
    <col width="12" customWidth="1" min="12" max="12"/>
    <col width="15" customWidth="1" min="13" max="13"/>
    <col width="11" customWidth="1" min="14" max="14"/>
    <col width="11" customWidth="1" min="15" max="15"/>
    <col width="12" customWidth="1" min="16" max="16"/>
    <col width="28" customWidth="1" min="17" max="17"/>
    <col width="18" customWidth="1" min="18" max="18"/>
    <col width="13" customWidth="1" min="19" max="19"/>
    <col width="13" customWidth="1" min="20" max="20"/>
    <col width="40" customWidth="1" min="21" max="21"/>
    <col hidden="1"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Accounts</t>
        </is>
      </c>
    </row>
    <row r="2" ht="20" customHeight="1">
      <c r="A2" s="61" t="inlineStr">
        <is>
          <t>Every bank, card, lender and brokerage you track. Balances: money you have is positive, money you owe is negative.</t>
        </is>
      </c>
      <c r="B2" s="2" t="n"/>
      <c r="C2" s="2" t="n"/>
      <c r="D2" s="2" t="n"/>
      <c r="E2" s="2" t="n"/>
      <c r="F2" s="2" t="n"/>
      <c r="G2" s="2" t="n"/>
      <c r="H2" s="2" t="n"/>
      <c r="I2" s="2" t="n"/>
      <c r="J2" s="2" t="n"/>
      <c r="K2" s="2" t="n"/>
      <c r="L2" s="2" t="n"/>
      <c r="M2" s="2" t="n"/>
      <c r="N2" s="2" t="n"/>
      <c r="O2" s="2" t="n"/>
      <c r="P2" s="2" t="n"/>
      <c r="Q2" s="2" t="n"/>
      <c r="R2" s="2" t="n"/>
      <c r="S2" s="2" t="n"/>
      <c r="T2" s="2" t="n"/>
      <c r="U2" s="2" t="n"/>
    </row>
    <row r="5" ht="42" customHeight="1">
      <c r="A5" s="35" t="inlineStr">
        <is>
          <t>Account Name</t>
        </is>
      </c>
      <c r="B5" s="35" t="inlineStr">
        <is>
          <t>Institution</t>
        </is>
      </c>
      <c r="C5" s="35" t="inlineStr">
        <is>
          <t>Account Type</t>
        </is>
      </c>
      <c r="D5" s="35" t="inlineStr">
        <is>
          <t>Last 4</t>
        </is>
      </c>
      <c r="E5" s="35" t="inlineStr">
        <is>
          <t>Class</t>
        </is>
      </c>
      <c r="F5" s="35" t="inlineStr">
        <is>
          <t>Net Worth Group</t>
        </is>
      </c>
      <c r="G5" s="35" t="inlineStr">
        <is>
          <t>Emergency Fund?</t>
        </is>
      </c>
      <c r="H5" s="38" t="inlineStr">
        <is>
          <t>Opening Balance</t>
        </is>
      </c>
      <c r="I5" s="35" t="inlineStr">
        <is>
          <t>Opening Balance Date</t>
        </is>
      </c>
      <c r="J5" s="38" t="inlineStr">
        <is>
          <t>Balance from Transactions</t>
        </is>
      </c>
      <c r="K5" s="38" t="inlineStr">
        <is>
          <t>Statement Balance</t>
        </is>
      </c>
      <c r="L5" s="35" t="inlineStr">
        <is>
          <t>Statement Date</t>
        </is>
      </c>
      <c r="M5" s="38" t="inlineStr">
        <is>
          <t>Current Balance</t>
        </is>
      </c>
      <c r="N5" s="38" t="inlineStr">
        <is>
          <t>Credit Limit</t>
        </is>
      </c>
      <c r="O5" s="38" t="inlineStr">
        <is>
          <t>Interest Rate (APR)</t>
        </is>
      </c>
      <c r="P5" s="38" t="inlineStr">
        <is>
          <t>Monthly Payment</t>
        </is>
      </c>
      <c r="Q5" s="35" t="inlineStr">
        <is>
          <t>Default Import Profile</t>
        </is>
      </c>
      <c r="R5" s="35" t="inlineStr">
        <is>
          <t>Website</t>
        </is>
      </c>
      <c r="S5" s="35" t="inlineStr">
        <is>
          <t>Last Imported</t>
        </is>
      </c>
      <c r="T5" s="38" t="inlineStr">
        <is>
          <t>Transactions</t>
        </is>
      </c>
      <c r="U5" s="35" t="inlineStr">
        <is>
          <t>Notes</t>
        </is>
      </c>
      <c r="V5" s="39" t="inlineStr">
        <is>
          <t>Order</t>
        </is>
      </c>
    </row>
    <row r="6">
      <c r="A6" s="87" t="inlineStr">
        <is>
          <t>Everyday Checking</t>
        </is>
      </c>
      <c r="B6" s="87" t="inlineStr">
        <is>
          <t>Sample Bank</t>
        </is>
      </c>
      <c r="C6" s="93" t="inlineStr">
        <is>
          <t>Checking</t>
        </is>
      </c>
      <c r="D6" s="87" t="inlineStr">
        <is>
          <t>4821</t>
        </is>
      </c>
      <c r="E6" s="89">
        <f>IF(C6="","",IFERROR(INDEX(Lists!$B$5:$B$22,MATCH(C6,Lists!$A$5:$A$22,0)),"Asset"))</f>
        <v/>
      </c>
      <c r="F6" s="89">
        <f>IF(C6="","",IFERROR(INDEX(Lists!$C$5:$C$22,MATCH(C6,Lists!$A$5:$A$22,0)),"Other Assets"))</f>
        <v/>
      </c>
      <c r="G6" s="94" t="inlineStr">
        <is>
          <t>Yes</t>
        </is>
      </c>
      <c r="H6" s="88" t="n">
        <v>3200</v>
      </c>
      <c r="I6" s="86" t="n">
        <v>45931</v>
      </c>
      <c r="J6" s="95">
        <f>IF(A6="","",N(H6)+SUMIFS(Transactions!$E:$E,Transactions!$B:$B,A6,Transactions!$A:$A,"&gt;="&amp;IF(I6="",0,I6)))</f>
        <v/>
      </c>
      <c r="K6" s="88" t="n"/>
      <c r="L6" s="86" t="n"/>
      <c r="M6" s="96">
        <f>IF(A6="","",IF(K6="",J6,K6+IF(L6="",0,SUMIFS(Transactions!$E:$E,Transactions!$B:$B,A6,Transactions!$A:$A,"&gt;"&amp;L6))))</f>
        <v/>
      </c>
      <c r="N6" s="97" t="n"/>
      <c r="O6" s="98" t="n"/>
      <c r="P6" s="88" t="n"/>
      <c r="Q6" s="93" t="inlineStr">
        <is>
          <t>Sample Bank - Checking (CSV)</t>
        </is>
      </c>
      <c r="R6" s="87" t="inlineStr">
        <is>
          <t>www.example.com</t>
        </is>
      </c>
      <c r="S6" s="99">
        <f>IF(OR(A6="",T6=0),"",SUMPRODUCT(MAX((Transactions!$B$6:$B$50005=A6)*Transactions!$A$6:$A$50005)))</f>
        <v/>
      </c>
      <c r="T6" s="100">
        <f>IF(A6="","",COUNTIFS(Transactions!$B:$B,A6))</f>
        <v/>
      </c>
      <c r="U6" s="93" t="n"/>
      <c r="V6">
        <f>IF(A6="","",COUNTIF($A$6:A6,"?*"))</f>
        <v/>
      </c>
    </row>
    <row r="7">
      <c r="A7" s="87" t="inlineStr">
        <is>
          <t>High-Yield Savings</t>
        </is>
      </c>
      <c r="B7" s="87" t="inlineStr">
        <is>
          <t>Sample Bank</t>
        </is>
      </c>
      <c r="C7" s="93" t="inlineStr">
        <is>
          <t>Savings</t>
        </is>
      </c>
      <c r="D7" s="87" t="inlineStr">
        <is>
          <t>7730</t>
        </is>
      </c>
      <c r="E7" s="89">
        <f>IF(C7="","",IFERROR(INDEX(Lists!$B$5:$B$22,MATCH(C7,Lists!$A$5:$A$22,0)),"Asset"))</f>
        <v/>
      </c>
      <c r="F7" s="89">
        <f>IF(C7="","",IFERROR(INDEX(Lists!$C$5:$C$22,MATCH(C7,Lists!$A$5:$A$22,0)),"Other Assets"))</f>
        <v/>
      </c>
      <c r="G7" s="94" t="inlineStr">
        <is>
          <t>Yes</t>
        </is>
      </c>
      <c r="H7" s="88" t="n">
        <v>12000</v>
      </c>
      <c r="I7" s="86" t="n">
        <v>45931</v>
      </c>
      <c r="J7" s="95">
        <f>IF(A7="","",N(H7)+SUMIFS(Transactions!$E:$E,Transactions!$B:$B,A7,Transactions!$A:$A,"&gt;="&amp;IF(I7="",0,I7)))</f>
        <v/>
      </c>
      <c r="K7" s="88" t="n"/>
      <c r="L7" s="86" t="n"/>
      <c r="M7" s="96">
        <f>IF(A7="","",IF(K7="",J7,K7+IF(L7="",0,SUMIFS(Transactions!$E:$E,Transactions!$B:$B,A7,Transactions!$A:$A,"&gt;"&amp;L7))))</f>
        <v/>
      </c>
      <c r="N7" s="97" t="n"/>
      <c r="O7" s="98" t="n">
        <v>0.041</v>
      </c>
      <c r="P7" s="88" t="n"/>
      <c r="Q7" s="93" t="inlineStr">
        <is>
          <t>Sample Bank - Savings (QFX)</t>
        </is>
      </c>
      <c r="R7" s="87" t="inlineStr">
        <is>
          <t>www.example.com</t>
        </is>
      </c>
      <c r="S7" s="99">
        <f>IF(OR(A7="",T7=0),"",SUMPRODUCT(MAX((Transactions!$B$6:$B$50005=A7)*Transactions!$A$6:$A$50005)))</f>
        <v/>
      </c>
      <c r="T7" s="100">
        <f>IF(A7="","",COUNTIFS(Transactions!$B:$B,A7))</f>
        <v/>
      </c>
      <c r="U7" s="93" t="n"/>
      <c r="V7">
        <f>IF(A7="","",COUNTIF($A$6:A7,"?*"))</f>
        <v/>
      </c>
    </row>
    <row r="8">
      <c r="A8" s="87" t="inlineStr">
        <is>
          <t>Rewards Visa</t>
        </is>
      </c>
      <c r="B8" s="87" t="inlineStr">
        <is>
          <t>Sample Card Co</t>
        </is>
      </c>
      <c r="C8" s="93" t="inlineStr">
        <is>
          <t>Credit Card</t>
        </is>
      </c>
      <c r="D8" s="87" t="inlineStr">
        <is>
          <t>1186</t>
        </is>
      </c>
      <c r="E8" s="89">
        <f>IF(C8="","",IFERROR(INDEX(Lists!$B$5:$B$22,MATCH(C8,Lists!$A$5:$A$22,0)),"Asset"))</f>
        <v/>
      </c>
      <c r="F8" s="89">
        <f>IF(C8="","",IFERROR(INDEX(Lists!$C$5:$C$22,MATCH(C8,Lists!$A$5:$A$22,0)),"Other Assets"))</f>
        <v/>
      </c>
      <c r="G8" s="94" t="inlineStr">
        <is>
          <t>No</t>
        </is>
      </c>
      <c r="H8" s="88" t="n">
        <v>-1450</v>
      </c>
      <c r="I8" s="86" t="n">
        <v>45931</v>
      </c>
      <c r="J8" s="95">
        <f>IF(A8="","",N(H8)+SUMIFS(Transactions!$E:$E,Transactions!$B:$B,A8,Transactions!$A:$A,"&gt;="&amp;IF(I8="",0,I8)))</f>
        <v/>
      </c>
      <c r="K8" s="88" t="n"/>
      <c r="L8" s="86" t="n"/>
      <c r="M8" s="96">
        <f>IF(A8="","",IF(K8="",J8,K8+IF(L8="",0,SUMIFS(Transactions!$E:$E,Transactions!$B:$B,A8,Transactions!$A:$A,"&gt;"&amp;L8))))</f>
        <v/>
      </c>
      <c r="N8" s="97" t="n">
        <v>12000</v>
      </c>
      <c r="O8" s="98" t="n">
        <v>0.2299</v>
      </c>
      <c r="P8" s="88" t="n">
        <v>35</v>
      </c>
      <c r="Q8" s="93" t="inlineStr">
        <is>
          <t>Sample Card - Visa (CSV)</t>
        </is>
      </c>
      <c r="R8" s="87" t="inlineStr">
        <is>
          <t>www.example.com</t>
        </is>
      </c>
      <c r="S8" s="99">
        <f>IF(OR(A8="",T8=0),"",SUMPRODUCT(MAX((Transactions!$B$6:$B$50005=A8)*Transactions!$A$6:$A$50005)))</f>
        <v/>
      </c>
      <c r="T8" s="100">
        <f>IF(A8="","",COUNTIFS(Transactions!$B:$B,A8))</f>
        <v/>
      </c>
      <c r="U8" s="93" t="n"/>
      <c r="V8">
        <f>IF(A8="","",COUNTIF($A$6:A8,"?*"))</f>
        <v/>
      </c>
    </row>
    <row r="9">
      <c r="A9" s="87" t="inlineStr">
        <is>
          <t>Home Mortgage</t>
        </is>
      </c>
      <c r="B9" s="87" t="inlineStr">
        <is>
          <t>Sample Mortgage Co</t>
        </is>
      </c>
      <c r="C9" s="93" t="inlineStr">
        <is>
          <t>Mortgage</t>
        </is>
      </c>
      <c r="D9" s="87" t="inlineStr">
        <is>
          <t>9034</t>
        </is>
      </c>
      <c r="E9" s="89">
        <f>IF(C9="","",IFERROR(INDEX(Lists!$B$5:$B$22,MATCH(C9,Lists!$A$5:$A$22,0)),"Asset"))</f>
        <v/>
      </c>
      <c r="F9" s="89">
        <f>IF(C9="","",IFERROR(INDEX(Lists!$C$5:$C$22,MATCH(C9,Lists!$A$5:$A$22,0)),"Other Assets"))</f>
        <v/>
      </c>
      <c r="G9" s="94" t="inlineStr">
        <is>
          <t>No</t>
        </is>
      </c>
      <c r="H9" s="88" t="n">
        <v>-312400</v>
      </c>
      <c r="I9" s="86" t="n">
        <v>45931</v>
      </c>
      <c r="J9" s="95">
        <f>IF(A9="","",N(H9)+SUMIFS(Transactions!$E:$E,Transactions!$B:$B,A9,Transactions!$A:$A,"&gt;="&amp;IF(I9="",0,I9)))</f>
        <v/>
      </c>
      <c r="K9" s="88" t="n"/>
      <c r="L9" s="86" t="n"/>
      <c r="M9" s="96">
        <f>IF(A9="","",IF(K9="",J9,K9+IF(L9="",0,SUMIFS(Transactions!$E:$E,Transactions!$B:$B,A9,Transactions!$A:$A,"&gt;"&amp;L9))))</f>
        <v/>
      </c>
      <c r="N9" s="97" t="n"/>
      <c r="O9" s="98" t="n">
        <v>0.0625</v>
      </c>
      <c r="P9" s="88" t="n">
        <v>2450</v>
      </c>
      <c r="Q9" s="93" t="inlineStr">
        <is>
          <t>Sample Mortgage Co (Excel)</t>
        </is>
      </c>
      <c r="R9" s="87" t="inlineStr">
        <is>
          <t>www.example.com</t>
        </is>
      </c>
      <c r="S9" s="99">
        <f>IF(OR(A9="",T9=0),"",SUMPRODUCT(MAX((Transactions!$B$6:$B$50005=A9)*Transactions!$A$6:$A$50005)))</f>
        <v/>
      </c>
      <c r="T9" s="100">
        <f>IF(A9="","",COUNTIFS(Transactions!$B:$B,A9))</f>
        <v/>
      </c>
      <c r="U9" s="93" t="n"/>
      <c r="V9">
        <f>IF(A9="","",COUNTIF($A$6:A9,"?*"))</f>
        <v/>
      </c>
    </row>
    <row r="10">
      <c r="A10" s="87" t="inlineStr">
        <is>
          <t>Auto Loan</t>
        </is>
      </c>
      <c r="B10" s="87" t="inlineStr">
        <is>
          <t>Sample Auto Finance</t>
        </is>
      </c>
      <c r="C10" s="93" t="inlineStr">
        <is>
          <t>Auto Loan</t>
        </is>
      </c>
      <c r="D10" s="87" t="inlineStr">
        <is>
          <t>6612</t>
        </is>
      </c>
      <c r="E10" s="89">
        <f>IF(C10="","",IFERROR(INDEX(Lists!$B$5:$B$22,MATCH(C10,Lists!$A$5:$A$22,0)),"Asset"))</f>
        <v/>
      </c>
      <c r="F10" s="89">
        <f>IF(C10="","",IFERROR(INDEX(Lists!$C$5:$C$22,MATCH(C10,Lists!$A$5:$A$22,0)),"Other Assets"))</f>
        <v/>
      </c>
      <c r="G10" s="94" t="inlineStr">
        <is>
          <t>No</t>
        </is>
      </c>
      <c r="H10" s="88" t="n"/>
      <c r="I10" s="86" t="n"/>
      <c r="J10" s="95">
        <f>IF(A10="","",N(H10)+SUMIFS(Transactions!$E:$E,Transactions!$B:$B,A10,Transactions!$A:$A,"&gt;="&amp;IF(I10="",0,I10)))</f>
        <v/>
      </c>
      <c r="K10" s="88" t="n">
        <v>-14600</v>
      </c>
      <c r="L10" s="86" t="n">
        <v>46295</v>
      </c>
      <c r="M10" s="96">
        <f>IF(A10="","",IF(K10="",J10,K10+IF(L10="",0,SUMIFS(Transactions!$E:$E,Transactions!$B:$B,A10,Transactions!$A:$A,"&gt;"&amp;L10))))</f>
        <v/>
      </c>
      <c r="N10" s="97" t="n"/>
      <c r="O10" s="98" t="n">
        <v>0.064</v>
      </c>
      <c r="P10" s="88" t="n">
        <v>385</v>
      </c>
      <c r="Q10" s="93" t="n"/>
      <c r="R10" s="87" t="n"/>
      <c r="S10" s="99">
        <f>IF(OR(A10="",T10=0),"",SUMPRODUCT(MAX((Transactions!$B$6:$B$50005=A10)*Transactions!$A$6:$A$50005)))</f>
        <v/>
      </c>
      <c r="T10" s="100">
        <f>IF(A10="","",COUNTIFS(Transactions!$B:$B,A10))</f>
        <v/>
      </c>
      <c r="U10" s="93" t="inlineStr">
        <is>
          <t>Balance from the latest statement.</t>
        </is>
      </c>
      <c r="V10">
        <f>IF(A10="","",COUNTIF($A$6:A10,"?*"))</f>
        <v/>
      </c>
    </row>
    <row r="11">
      <c r="A11" s="87" t="inlineStr">
        <is>
          <t>Student Loan</t>
        </is>
      </c>
      <c r="B11" s="87" t="inlineStr">
        <is>
          <t>Sample Loan Servicer</t>
        </is>
      </c>
      <c r="C11" s="93" t="inlineStr">
        <is>
          <t>Student Loan</t>
        </is>
      </c>
      <c r="D11" s="87" t="inlineStr">
        <is>
          <t>3307</t>
        </is>
      </c>
      <c r="E11" s="89">
        <f>IF(C11="","",IFERROR(INDEX(Lists!$B$5:$B$22,MATCH(C11,Lists!$A$5:$A$22,0)),"Asset"))</f>
        <v/>
      </c>
      <c r="F11" s="89">
        <f>IF(C11="","",IFERROR(INDEX(Lists!$C$5:$C$22,MATCH(C11,Lists!$A$5:$A$22,0)),"Other Assets"))</f>
        <v/>
      </c>
      <c r="G11" s="94" t="inlineStr">
        <is>
          <t>No</t>
        </is>
      </c>
      <c r="H11" s="88" t="n"/>
      <c r="I11" s="86" t="n"/>
      <c r="J11" s="95">
        <f>IF(A11="","",N(H11)+SUMIFS(Transactions!$E:$E,Transactions!$B:$B,A11,Transactions!$A:$A,"&gt;="&amp;IF(I11="",0,I11)))</f>
        <v/>
      </c>
      <c r="K11" s="88" t="n">
        <v>-21300</v>
      </c>
      <c r="L11" s="86" t="n">
        <v>46295</v>
      </c>
      <c r="M11" s="96">
        <f>IF(A11="","",IF(K11="",J11,K11+IF(L11="",0,SUMIFS(Transactions!$E:$E,Transactions!$B:$B,A11,Transactions!$A:$A,"&gt;"&amp;L11))))</f>
        <v/>
      </c>
      <c r="N11" s="97" t="n"/>
      <c r="O11" s="98" t="n">
        <v>0.055</v>
      </c>
      <c r="P11" s="88" t="n">
        <v>260</v>
      </c>
      <c r="Q11" s="93" t="n"/>
      <c r="R11" s="87" t="n"/>
      <c r="S11" s="99">
        <f>IF(OR(A11="",T11=0),"",SUMPRODUCT(MAX((Transactions!$B$6:$B$50005=A11)*Transactions!$A$6:$A$50005)))</f>
        <v/>
      </c>
      <c r="T11" s="100">
        <f>IF(A11="","",COUNTIFS(Transactions!$B:$B,A11))</f>
        <v/>
      </c>
      <c r="U11" s="93" t="inlineStr">
        <is>
          <t>Balance from the latest statement.</t>
        </is>
      </c>
      <c r="V11">
        <f>IF(A11="","",COUNTIF($A$6:A11,"?*"))</f>
        <v/>
      </c>
    </row>
    <row r="12">
      <c r="A12" s="87" t="inlineStr">
        <is>
          <t>401(k)</t>
        </is>
      </c>
      <c r="B12" s="87" t="inlineStr">
        <is>
          <t>Sample Retirement Plan</t>
        </is>
      </c>
      <c r="C12" s="93" t="inlineStr">
        <is>
          <t>Retirement 401(k)</t>
        </is>
      </c>
      <c r="D12" s="87" t="n"/>
      <c r="E12" s="89">
        <f>IF(C12="","",IFERROR(INDEX(Lists!$B$5:$B$22,MATCH(C12,Lists!$A$5:$A$22,0)),"Asset"))</f>
        <v/>
      </c>
      <c r="F12" s="89">
        <f>IF(C12="","",IFERROR(INDEX(Lists!$C$5:$C$22,MATCH(C12,Lists!$A$5:$A$22,0)),"Other Assets"))</f>
        <v/>
      </c>
      <c r="G12" s="94" t="inlineStr">
        <is>
          <t>No</t>
        </is>
      </c>
      <c r="H12" s="88" t="n"/>
      <c r="I12" s="86" t="n"/>
      <c r="J12" s="95">
        <f>IF(A12="","",N(H12)+SUMIFS(Transactions!$E:$E,Transactions!$B:$B,A12,Transactions!$A:$A,"&gt;="&amp;IF(I12="",0,I12)))</f>
        <v/>
      </c>
      <c r="K12" s="88" t="n">
        <v>68500</v>
      </c>
      <c r="L12" s="86" t="n">
        <v>46295</v>
      </c>
      <c r="M12" s="96">
        <f>IF(A12="","",IF(K12="",J12,K12+IF(L12="",0,SUMIFS(Transactions!$E:$E,Transactions!$B:$B,A12,Transactions!$A:$A,"&gt;"&amp;L12))))</f>
        <v/>
      </c>
      <c r="N12" s="97" t="n"/>
      <c r="O12" s="98" t="n"/>
      <c r="P12" s="88" t="n"/>
      <c r="Q12" s="93" t="n"/>
      <c r="R12" s="87" t="n"/>
      <c r="S12" s="99">
        <f>IF(OR(A12="",T12=0),"",SUMPRODUCT(MAX((Transactions!$B$6:$B$50005=A12)*Transactions!$A$6:$A$50005)))</f>
        <v/>
      </c>
      <c r="T12" s="100">
        <f>IF(A12="","",COUNTIFS(Transactions!$B:$B,A12))</f>
        <v/>
      </c>
      <c r="U12" s="93" t="inlineStr">
        <is>
          <t>Update the statement balance each quarter.</t>
        </is>
      </c>
      <c r="V12">
        <f>IF(A12="","",COUNTIF($A$6:A12,"?*"))</f>
        <v/>
      </c>
    </row>
    <row r="13">
      <c r="A13" s="87" t="inlineStr">
        <is>
          <t>Roth IRA</t>
        </is>
      </c>
      <c r="B13" s="87" t="inlineStr">
        <is>
          <t>Sample Brokerage</t>
        </is>
      </c>
      <c r="C13" s="93" t="inlineStr">
        <is>
          <t>IRA</t>
        </is>
      </c>
      <c r="D13" s="87" t="n"/>
      <c r="E13" s="89">
        <f>IF(C13="","",IFERROR(INDEX(Lists!$B$5:$B$22,MATCH(C13,Lists!$A$5:$A$22,0)),"Asset"))</f>
        <v/>
      </c>
      <c r="F13" s="89">
        <f>IF(C13="","",IFERROR(INDEX(Lists!$C$5:$C$22,MATCH(C13,Lists!$A$5:$A$22,0)),"Other Assets"))</f>
        <v/>
      </c>
      <c r="G13" s="94" t="inlineStr">
        <is>
          <t>No</t>
        </is>
      </c>
      <c r="H13" s="88" t="n"/>
      <c r="I13" s="86" t="n"/>
      <c r="J13" s="95">
        <f>IF(A13="","",N(H13)+SUMIFS(Transactions!$E:$E,Transactions!$B:$B,A13,Transactions!$A:$A,"&gt;="&amp;IF(I13="",0,I13)))</f>
        <v/>
      </c>
      <c r="K13" s="88" t="n">
        <v>25000</v>
      </c>
      <c r="L13" s="86" t="n">
        <v>46295</v>
      </c>
      <c r="M13" s="96">
        <f>IF(A13="","",IF(K13="",J13,K13+IF(L13="",0,SUMIFS(Transactions!$E:$E,Transactions!$B:$B,A13,Transactions!$A:$A,"&gt;"&amp;L13))))</f>
        <v/>
      </c>
      <c r="N13" s="97" t="n"/>
      <c r="O13" s="98" t="n"/>
      <c r="P13" s="88" t="n"/>
      <c r="Q13" s="93" t="n"/>
      <c r="R13" s="87" t="n"/>
      <c r="S13" s="99">
        <f>IF(OR(A13="",T13=0),"",SUMPRODUCT(MAX((Transactions!$B$6:$B$50005=A13)*Transactions!$A$6:$A$50005)))</f>
        <v/>
      </c>
      <c r="T13" s="100">
        <f>IF(A13="","",COUNTIFS(Transactions!$B:$B,A13))</f>
        <v/>
      </c>
      <c r="U13" s="93" t="n"/>
      <c r="V13">
        <f>IF(A13="","",COUNTIF($A$6:A13,"?*"))</f>
        <v/>
      </c>
    </row>
    <row r="14">
      <c r="A14" s="87" t="inlineStr">
        <is>
          <t>Home (estimated value)</t>
        </is>
      </c>
      <c r="B14" s="87" t="n"/>
      <c r="C14" s="93" t="inlineStr">
        <is>
          <t>Real Estate</t>
        </is>
      </c>
      <c r="D14" s="87" t="n"/>
      <c r="E14" s="89">
        <f>IF(C14="","",IFERROR(INDEX(Lists!$B$5:$B$22,MATCH(C14,Lists!$A$5:$A$22,0)),"Asset"))</f>
        <v/>
      </c>
      <c r="F14" s="89">
        <f>IF(C14="","",IFERROR(INDEX(Lists!$C$5:$C$22,MATCH(C14,Lists!$A$5:$A$22,0)),"Other Assets"))</f>
        <v/>
      </c>
      <c r="G14" s="94" t="inlineStr">
        <is>
          <t>No</t>
        </is>
      </c>
      <c r="H14" s="88" t="n"/>
      <c r="I14" s="86" t="n"/>
      <c r="J14" s="95">
        <f>IF(A14="","",N(H14)+SUMIFS(Transactions!$E:$E,Transactions!$B:$B,A14,Transactions!$A:$A,"&gt;="&amp;IF(I14="",0,I14)))</f>
        <v/>
      </c>
      <c r="K14" s="88" t="n">
        <v>430000</v>
      </c>
      <c r="L14" s="86" t="n">
        <v>46266</v>
      </c>
      <c r="M14" s="96">
        <f>IF(A14="","",IF(K14="",J14,K14+IF(L14="",0,SUMIFS(Transactions!$E:$E,Transactions!$B:$B,A14,Transactions!$A:$A,"&gt;"&amp;L14))))</f>
        <v/>
      </c>
      <c r="N14" s="97" t="n"/>
      <c r="O14" s="98" t="n"/>
      <c r="P14" s="88" t="n"/>
      <c r="Q14" s="93" t="n"/>
      <c r="R14" s="87" t="n"/>
      <c r="S14" s="99">
        <f>IF(OR(A14="",T14=0),"",SUMPRODUCT(MAX((Transactions!$B$6:$B$50005=A14)*Transactions!$A$6:$A$50005)))</f>
        <v/>
      </c>
      <c r="T14" s="100">
        <f>IF(A14="","",COUNTIFS(Transactions!$B:$B,A14))</f>
        <v/>
      </c>
      <c r="U14" s="93" t="inlineStr">
        <is>
          <t>Use a recent estimate of what the home would sell for.</t>
        </is>
      </c>
      <c r="V14">
        <f>IF(A14="","",COUNTIF($A$6:A14,"?*"))</f>
        <v/>
      </c>
    </row>
    <row r="15">
      <c r="A15" s="87" t="n"/>
      <c r="B15" s="87" t="n"/>
      <c r="C15" s="93" t="n"/>
      <c r="D15" s="87" t="n"/>
      <c r="E15" s="89">
        <f>IF(C15="","",IFERROR(INDEX(Lists!$B$5:$B$22,MATCH(C15,Lists!$A$5:$A$22,0)),"Asset"))</f>
        <v/>
      </c>
      <c r="F15" s="89">
        <f>IF(C15="","",IFERROR(INDEX(Lists!$C$5:$C$22,MATCH(C15,Lists!$A$5:$A$22,0)),"Other Assets"))</f>
        <v/>
      </c>
      <c r="G15" s="94" t="n"/>
      <c r="H15" s="88" t="n"/>
      <c r="I15" s="86" t="n"/>
      <c r="J15" s="95">
        <f>IF(A15="","",N(H15)+SUMIFS(Transactions!$E:$E,Transactions!$B:$B,A15,Transactions!$A:$A,"&gt;="&amp;IF(I15="",0,I15)))</f>
        <v/>
      </c>
      <c r="K15" s="88" t="n"/>
      <c r="L15" s="86" t="n"/>
      <c r="M15" s="96">
        <f>IF(A15="","",IF(K15="",J15,K15+IF(L15="",0,SUMIFS(Transactions!$E:$E,Transactions!$B:$B,A15,Transactions!$A:$A,"&gt;"&amp;L15))))</f>
        <v/>
      </c>
      <c r="N15" s="97" t="n"/>
      <c r="O15" s="98" t="n"/>
      <c r="P15" s="88" t="n"/>
      <c r="Q15" s="93" t="n"/>
      <c r="R15" s="87" t="n"/>
      <c r="S15" s="99">
        <f>IF(OR(A15="",T15=0),"",SUMPRODUCT(MAX((Transactions!$B$6:$B$50005=A15)*Transactions!$A$6:$A$50005)))</f>
        <v/>
      </c>
      <c r="T15" s="100">
        <f>IF(A15="","",COUNTIFS(Transactions!$B:$B,A15))</f>
        <v/>
      </c>
      <c r="U15" s="93" t="n"/>
      <c r="V15">
        <f>IF(A15="","",COUNTIF($A$6:A15,"?*"))</f>
        <v/>
      </c>
    </row>
    <row r="16">
      <c r="A16" s="87" t="n"/>
      <c r="B16" s="87" t="n"/>
      <c r="C16" s="93" t="n"/>
      <c r="D16" s="87" t="n"/>
      <c r="E16" s="89">
        <f>IF(C16="","",IFERROR(INDEX(Lists!$B$5:$B$22,MATCH(C16,Lists!$A$5:$A$22,0)),"Asset"))</f>
        <v/>
      </c>
      <c r="F16" s="89">
        <f>IF(C16="","",IFERROR(INDEX(Lists!$C$5:$C$22,MATCH(C16,Lists!$A$5:$A$22,0)),"Other Assets"))</f>
        <v/>
      </c>
      <c r="G16" s="94" t="n"/>
      <c r="H16" s="88" t="n"/>
      <c r="I16" s="86" t="n"/>
      <c r="J16" s="95">
        <f>IF(A16="","",N(H16)+SUMIFS(Transactions!$E:$E,Transactions!$B:$B,A16,Transactions!$A:$A,"&gt;="&amp;IF(I16="",0,I16)))</f>
        <v/>
      </c>
      <c r="K16" s="88" t="n"/>
      <c r="L16" s="86" t="n"/>
      <c r="M16" s="96">
        <f>IF(A16="","",IF(K16="",J16,K16+IF(L16="",0,SUMIFS(Transactions!$E:$E,Transactions!$B:$B,A16,Transactions!$A:$A,"&gt;"&amp;L16))))</f>
        <v/>
      </c>
      <c r="N16" s="97" t="n"/>
      <c r="O16" s="98" t="n"/>
      <c r="P16" s="88" t="n"/>
      <c r="Q16" s="93" t="n"/>
      <c r="R16" s="87" t="n"/>
      <c r="S16" s="99">
        <f>IF(OR(A16="",T16=0),"",SUMPRODUCT(MAX((Transactions!$B$6:$B$50005=A16)*Transactions!$A$6:$A$50005)))</f>
        <v/>
      </c>
      <c r="T16" s="100">
        <f>IF(A16="","",COUNTIFS(Transactions!$B:$B,A16))</f>
        <v/>
      </c>
      <c r="U16" s="93" t="n"/>
      <c r="V16">
        <f>IF(A16="","",COUNTIF($A$6:A16,"?*"))</f>
        <v/>
      </c>
    </row>
    <row r="17">
      <c r="A17" s="87" t="n"/>
      <c r="B17" s="87" t="n"/>
      <c r="C17" s="93" t="n"/>
      <c r="D17" s="87" t="n"/>
      <c r="E17" s="89">
        <f>IF(C17="","",IFERROR(INDEX(Lists!$B$5:$B$22,MATCH(C17,Lists!$A$5:$A$22,0)),"Asset"))</f>
        <v/>
      </c>
      <c r="F17" s="89">
        <f>IF(C17="","",IFERROR(INDEX(Lists!$C$5:$C$22,MATCH(C17,Lists!$A$5:$A$22,0)),"Other Assets"))</f>
        <v/>
      </c>
      <c r="G17" s="94" t="n"/>
      <c r="H17" s="88" t="n"/>
      <c r="I17" s="86" t="n"/>
      <c r="J17" s="95">
        <f>IF(A17="","",N(H17)+SUMIFS(Transactions!$E:$E,Transactions!$B:$B,A17,Transactions!$A:$A,"&gt;="&amp;IF(I17="",0,I17)))</f>
        <v/>
      </c>
      <c r="K17" s="88" t="n"/>
      <c r="L17" s="86" t="n"/>
      <c r="M17" s="96">
        <f>IF(A17="","",IF(K17="",J17,K17+IF(L17="",0,SUMIFS(Transactions!$E:$E,Transactions!$B:$B,A17,Transactions!$A:$A,"&gt;"&amp;L17))))</f>
        <v/>
      </c>
      <c r="N17" s="97" t="n"/>
      <c r="O17" s="98" t="n"/>
      <c r="P17" s="88" t="n"/>
      <c r="Q17" s="93" t="n"/>
      <c r="R17" s="87" t="n"/>
      <c r="S17" s="99">
        <f>IF(OR(A17="",T17=0),"",SUMPRODUCT(MAX((Transactions!$B$6:$B$50005=A17)*Transactions!$A$6:$A$50005)))</f>
        <v/>
      </c>
      <c r="T17" s="100">
        <f>IF(A17="","",COUNTIFS(Transactions!$B:$B,A17))</f>
        <v/>
      </c>
      <c r="U17" s="93" t="n"/>
      <c r="V17">
        <f>IF(A17="","",COUNTIF($A$6:A17,"?*"))</f>
        <v/>
      </c>
    </row>
    <row r="18">
      <c r="A18" s="87" t="n"/>
      <c r="B18" s="87" t="n"/>
      <c r="C18" s="93" t="n"/>
      <c r="D18" s="87" t="n"/>
      <c r="E18" s="89">
        <f>IF(C18="","",IFERROR(INDEX(Lists!$B$5:$B$22,MATCH(C18,Lists!$A$5:$A$22,0)),"Asset"))</f>
        <v/>
      </c>
      <c r="F18" s="89">
        <f>IF(C18="","",IFERROR(INDEX(Lists!$C$5:$C$22,MATCH(C18,Lists!$A$5:$A$22,0)),"Other Assets"))</f>
        <v/>
      </c>
      <c r="G18" s="94" t="n"/>
      <c r="H18" s="88" t="n"/>
      <c r="I18" s="86" t="n"/>
      <c r="J18" s="95">
        <f>IF(A18="","",N(H18)+SUMIFS(Transactions!$E:$E,Transactions!$B:$B,A18,Transactions!$A:$A,"&gt;="&amp;IF(I18="",0,I18)))</f>
        <v/>
      </c>
      <c r="K18" s="88" t="n"/>
      <c r="L18" s="86" t="n"/>
      <c r="M18" s="96">
        <f>IF(A18="","",IF(K18="",J18,K18+IF(L18="",0,SUMIFS(Transactions!$E:$E,Transactions!$B:$B,A18,Transactions!$A:$A,"&gt;"&amp;L18))))</f>
        <v/>
      </c>
      <c r="N18" s="97" t="n"/>
      <c r="O18" s="98" t="n"/>
      <c r="P18" s="88" t="n"/>
      <c r="Q18" s="93" t="n"/>
      <c r="R18" s="87" t="n"/>
      <c r="S18" s="99">
        <f>IF(OR(A18="",T18=0),"",SUMPRODUCT(MAX((Transactions!$B$6:$B$50005=A18)*Transactions!$A$6:$A$50005)))</f>
        <v/>
      </c>
      <c r="T18" s="100">
        <f>IF(A18="","",COUNTIFS(Transactions!$B:$B,A18))</f>
        <v/>
      </c>
      <c r="U18" s="93" t="n"/>
      <c r="V18">
        <f>IF(A18="","",COUNTIF($A$6:A18,"?*"))</f>
        <v/>
      </c>
    </row>
    <row r="19">
      <c r="A19" s="87" t="n"/>
      <c r="B19" s="87" t="n"/>
      <c r="C19" s="93" t="n"/>
      <c r="D19" s="87" t="n"/>
      <c r="E19" s="89">
        <f>IF(C19="","",IFERROR(INDEX(Lists!$B$5:$B$22,MATCH(C19,Lists!$A$5:$A$22,0)),"Asset"))</f>
        <v/>
      </c>
      <c r="F19" s="89">
        <f>IF(C19="","",IFERROR(INDEX(Lists!$C$5:$C$22,MATCH(C19,Lists!$A$5:$A$22,0)),"Other Assets"))</f>
        <v/>
      </c>
      <c r="G19" s="94" t="n"/>
      <c r="H19" s="88" t="n"/>
      <c r="I19" s="86" t="n"/>
      <c r="J19" s="95">
        <f>IF(A19="","",N(H19)+SUMIFS(Transactions!$E:$E,Transactions!$B:$B,A19,Transactions!$A:$A,"&gt;="&amp;IF(I19="",0,I19)))</f>
        <v/>
      </c>
      <c r="K19" s="88" t="n"/>
      <c r="L19" s="86" t="n"/>
      <c r="M19" s="96">
        <f>IF(A19="","",IF(K19="",J19,K19+IF(L19="",0,SUMIFS(Transactions!$E:$E,Transactions!$B:$B,A19,Transactions!$A:$A,"&gt;"&amp;L19))))</f>
        <v/>
      </c>
      <c r="N19" s="97" t="n"/>
      <c r="O19" s="98" t="n"/>
      <c r="P19" s="88" t="n"/>
      <c r="Q19" s="93" t="n"/>
      <c r="R19" s="87" t="n"/>
      <c r="S19" s="99">
        <f>IF(OR(A19="",T19=0),"",SUMPRODUCT(MAX((Transactions!$B$6:$B$50005=A19)*Transactions!$A$6:$A$50005)))</f>
        <v/>
      </c>
      <c r="T19" s="100">
        <f>IF(A19="","",COUNTIFS(Transactions!$B:$B,A19))</f>
        <v/>
      </c>
      <c r="U19" s="93" t="n"/>
      <c r="V19">
        <f>IF(A19="","",COUNTIF($A$6:A19,"?*"))</f>
        <v/>
      </c>
    </row>
    <row r="20">
      <c r="A20" s="87" t="n"/>
      <c r="B20" s="87" t="n"/>
      <c r="C20" s="93" t="n"/>
      <c r="D20" s="87" t="n"/>
      <c r="E20" s="89">
        <f>IF(C20="","",IFERROR(INDEX(Lists!$B$5:$B$22,MATCH(C20,Lists!$A$5:$A$22,0)),"Asset"))</f>
        <v/>
      </c>
      <c r="F20" s="89">
        <f>IF(C20="","",IFERROR(INDEX(Lists!$C$5:$C$22,MATCH(C20,Lists!$A$5:$A$22,0)),"Other Assets"))</f>
        <v/>
      </c>
      <c r="G20" s="94" t="n"/>
      <c r="H20" s="88" t="n"/>
      <c r="I20" s="86" t="n"/>
      <c r="J20" s="95">
        <f>IF(A20="","",N(H20)+SUMIFS(Transactions!$E:$E,Transactions!$B:$B,A20,Transactions!$A:$A,"&gt;="&amp;IF(I20="",0,I20)))</f>
        <v/>
      </c>
      <c r="K20" s="88" t="n"/>
      <c r="L20" s="86" t="n"/>
      <c r="M20" s="96">
        <f>IF(A20="","",IF(K20="",J20,K20+IF(L20="",0,SUMIFS(Transactions!$E:$E,Transactions!$B:$B,A20,Transactions!$A:$A,"&gt;"&amp;L20))))</f>
        <v/>
      </c>
      <c r="N20" s="97" t="n"/>
      <c r="O20" s="98" t="n"/>
      <c r="P20" s="88" t="n"/>
      <c r="Q20" s="93" t="n"/>
      <c r="R20" s="87" t="n"/>
      <c r="S20" s="99">
        <f>IF(OR(A20="",T20=0),"",SUMPRODUCT(MAX((Transactions!$B$6:$B$50005=A20)*Transactions!$A$6:$A$50005)))</f>
        <v/>
      </c>
      <c r="T20" s="100">
        <f>IF(A20="","",COUNTIFS(Transactions!$B:$B,A20))</f>
        <v/>
      </c>
      <c r="U20" s="93" t="n"/>
      <c r="V20">
        <f>IF(A20="","",COUNTIF($A$6:A20,"?*"))</f>
        <v/>
      </c>
    </row>
    <row r="21">
      <c r="A21" s="87" t="n"/>
      <c r="B21" s="87" t="n"/>
      <c r="C21" s="93" t="n"/>
      <c r="D21" s="87" t="n"/>
      <c r="E21" s="89">
        <f>IF(C21="","",IFERROR(INDEX(Lists!$B$5:$B$22,MATCH(C21,Lists!$A$5:$A$22,0)),"Asset"))</f>
        <v/>
      </c>
      <c r="F21" s="89">
        <f>IF(C21="","",IFERROR(INDEX(Lists!$C$5:$C$22,MATCH(C21,Lists!$A$5:$A$22,0)),"Other Assets"))</f>
        <v/>
      </c>
      <c r="G21" s="94" t="n"/>
      <c r="H21" s="88" t="n"/>
      <c r="I21" s="86" t="n"/>
      <c r="J21" s="95">
        <f>IF(A21="","",N(H21)+SUMIFS(Transactions!$E:$E,Transactions!$B:$B,A21,Transactions!$A:$A,"&gt;="&amp;IF(I21="",0,I21)))</f>
        <v/>
      </c>
      <c r="K21" s="88" t="n"/>
      <c r="L21" s="86" t="n"/>
      <c r="M21" s="96">
        <f>IF(A21="","",IF(K21="",J21,K21+IF(L21="",0,SUMIFS(Transactions!$E:$E,Transactions!$B:$B,A21,Transactions!$A:$A,"&gt;"&amp;L21))))</f>
        <v/>
      </c>
      <c r="N21" s="97" t="n"/>
      <c r="O21" s="98" t="n"/>
      <c r="P21" s="88" t="n"/>
      <c r="Q21" s="93" t="n"/>
      <c r="R21" s="87" t="n"/>
      <c r="S21" s="99">
        <f>IF(OR(A21="",T21=0),"",SUMPRODUCT(MAX((Transactions!$B$6:$B$50005=A21)*Transactions!$A$6:$A$50005)))</f>
        <v/>
      </c>
      <c r="T21" s="100">
        <f>IF(A21="","",COUNTIFS(Transactions!$B:$B,A21))</f>
        <v/>
      </c>
      <c r="U21" s="93" t="n"/>
      <c r="V21">
        <f>IF(A21="","",COUNTIF($A$6:A21,"?*"))</f>
        <v/>
      </c>
    </row>
    <row r="22">
      <c r="A22" s="87" t="n"/>
      <c r="B22" s="87" t="n"/>
      <c r="C22" s="93" t="n"/>
      <c r="D22" s="87" t="n"/>
      <c r="E22" s="89">
        <f>IF(C22="","",IFERROR(INDEX(Lists!$B$5:$B$22,MATCH(C22,Lists!$A$5:$A$22,0)),"Asset"))</f>
        <v/>
      </c>
      <c r="F22" s="89">
        <f>IF(C22="","",IFERROR(INDEX(Lists!$C$5:$C$22,MATCH(C22,Lists!$A$5:$A$22,0)),"Other Assets"))</f>
        <v/>
      </c>
      <c r="G22" s="94" t="n"/>
      <c r="H22" s="88" t="n"/>
      <c r="I22" s="86" t="n"/>
      <c r="J22" s="95">
        <f>IF(A22="","",N(H22)+SUMIFS(Transactions!$E:$E,Transactions!$B:$B,A22,Transactions!$A:$A,"&gt;="&amp;IF(I22="",0,I22)))</f>
        <v/>
      </c>
      <c r="K22" s="88" t="n"/>
      <c r="L22" s="86" t="n"/>
      <c r="M22" s="96">
        <f>IF(A22="","",IF(K22="",J22,K22+IF(L22="",0,SUMIFS(Transactions!$E:$E,Transactions!$B:$B,A22,Transactions!$A:$A,"&gt;"&amp;L22))))</f>
        <v/>
      </c>
      <c r="N22" s="97" t="n"/>
      <c r="O22" s="98" t="n"/>
      <c r="P22" s="88" t="n"/>
      <c r="Q22" s="93" t="n"/>
      <c r="R22" s="87" t="n"/>
      <c r="S22" s="99">
        <f>IF(OR(A22="",T22=0),"",SUMPRODUCT(MAX((Transactions!$B$6:$B$50005=A22)*Transactions!$A$6:$A$50005)))</f>
        <v/>
      </c>
      <c r="T22" s="100">
        <f>IF(A22="","",COUNTIFS(Transactions!$B:$B,A22))</f>
        <v/>
      </c>
      <c r="U22" s="93" t="n"/>
      <c r="V22">
        <f>IF(A22="","",COUNTIF($A$6:A22,"?*"))</f>
        <v/>
      </c>
    </row>
    <row r="23">
      <c r="A23" s="87" t="n"/>
      <c r="B23" s="87" t="n"/>
      <c r="C23" s="93" t="n"/>
      <c r="D23" s="87" t="n"/>
      <c r="E23" s="89">
        <f>IF(C23="","",IFERROR(INDEX(Lists!$B$5:$B$22,MATCH(C23,Lists!$A$5:$A$22,0)),"Asset"))</f>
        <v/>
      </c>
      <c r="F23" s="89">
        <f>IF(C23="","",IFERROR(INDEX(Lists!$C$5:$C$22,MATCH(C23,Lists!$A$5:$A$22,0)),"Other Assets"))</f>
        <v/>
      </c>
      <c r="G23" s="94" t="n"/>
      <c r="H23" s="88" t="n"/>
      <c r="I23" s="86" t="n"/>
      <c r="J23" s="95">
        <f>IF(A23="","",N(H23)+SUMIFS(Transactions!$E:$E,Transactions!$B:$B,A23,Transactions!$A:$A,"&gt;="&amp;IF(I23="",0,I23)))</f>
        <v/>
      </c>
      <c r="K23" s="88" t="n"/>
      <c r="L23" s="86" t="n"/>
      <c r="M23" s="96">
        <f>IF(A23="","",IF(K23="",J23,K23+IF(L23="",0,SUMIFS(Transactions!$E:$E,Transactions!$B:$B,A23,Transactions!$A:$A,"&gt;"&amp;L23))))</f>
        <v/>
      </c>
      <c r="N23" s="97" t="n"/>
      <c r="O23" s="98" t="n"/>
      <c r="P23" s="88" t="n"/>
      <c r="Q23" s="93" t="n"/>
      <c r="R23" s="87" t="n"/>
      <c r="S23" s="99">
        <f>IF(OR(A23="",T23=0),"",SUMPRODUCT(MAX((Transactions!$B$6:$B$50005=A23)*Transactions!$A$6:$A$50005)))</f>
        <v/>
      </c>
      <c r="T23" s="100">
        <f>IF(A23="","",COUNTIFS(Transactions!$B:$B,A23))</f>
        <v/>
      </c>
      <c r="U23" s="93" t="n"/>
      <c r="V23">
        <f>IF(A23="","",COUNTIF($A$6:A23,"?*"))</f>
        <v/>
      </c>
    </row>
    <row r="24">
      <c r="A24" s="87" t="n"/>
      <c r="B24" s="87" t="n"/>
      <c r="C24" s="93" t="n"/>
      <c r="D24" s="87" t="n"/>
      <c r="E24" s="89">
        <f>IF(C24="","",IFERROR(INDEX(Lists!$B$5:$B$22,MATCH(C24,Lists!$A$5:$A$22,0)),"Asset"))</f>
        <v/>
      </c>
      <c r="F24" s="89">
        <f>IF(C24="","",IFERROR(INDEX(Lists!$C$5:$C$22,MATCH(C24,Lists!$A$5:$A$22,0)),"Other Assets"))</f>
        <v/>
      </c>
      <c r="G24" s="94" t="n"/>
      <c r="H24" s="88" t="n"/>
      <c r="I24" s="86" t="n"/>
      <c r="J24" s="95">
        <f>IF(A24="","",N(H24)+SUMIFS(Transactions!$E:$E,Transactions!$B:$B,A24,Transactions!$A:$A,"&gt;="&amp;IF(I24="",0,I24)))</f>
        <v/>
      </c>
      <c r="K24" s="88" t="n"/>
      <c r="L24" s="86" t="n"/>
      <c r="M24" s="96">
        <f>IF(A24="","",IF(K24="",J24,K24+IF(L24="",0,SUMIFS(Transactions!$E:$E,Transactions!$B:$B,A24,Transactions!$A:$A,"&gt;"&amp;L24))))</f>
        <v/>
      </c>
      <c r="N24" s="97" t="n"/>
      <c r="O24" s="98" t="n"/>
      <c r="P24" s="88" t="n"/>
      <c r="Q24" s="93" t="n"/>
      <c r="R24" s="87" t="n"/>
      <c r="S24" s="99">
        <f>IF(OR(A24="",T24=0),"",SUMPRODUCT(MAX((Transactions!$B$6:$B$50005=A24)*Transactions!$A$6:$A$50005)))</f>
        <v/>
      </c>
      <c r="T24" s="100">
        <f>IF(A24="","",COUNTIFS(Transactions!$B:$B,A24))</f>
        <v/>
      </c>
      <c r="U24" s="93" t="n"/>
      <c r="V24">
        <f>IF(A24="","",COUNTIF($A$6:A24,"?*"))</f>
        <v/>
      </c>
    </row>
    <row r="25">
      <c r="A25" s="87" t="n"/>
      <c r="B25" s="87" t="n"/>
      <c r="C25" s="93" t="n"/>
      <c r="D25" s="87" t="n"/>
      <c r="E25" s="89">
        <f>IF(C25="","",IFERROR(INDEX(Lists!$B$5:$B$22,MATCH(C25,Lists!$A$5:$A$22,0)),"Asset"))</f>
        <v/>
      </c>
      <c r="F25" s="89">
        <f>IF(C25="","",IFERROR(INDEX(Lists!$C$5:$C$22,MATCH(C25,Lists!$A$5:$A$22,0)),"Other Assets"))</f>
        <v/>
      </c>
      <c r="G25" s="94" t="n"/>
      <c r="H25" s="88" t="n"/>
      <c r="I25" s="86" t="n"/>
      <c r="J25" s="95">
        <f>IF(A25="","",N(H25)+SUMIFS(Transactions!$E:$E,Transactions!$B:$B,A25,Transactions!$A:$A,"&gt;="&amp;IF(I25="",0,I25)))</f>
        <v/>
      </c>
      <c r="K25" s="88" t="n"/>
      <c r="L25" s="86" t="n"/>
      <c r="M25" s="96">
        <f>IF(A25="","",IF(K25="",J25,K25+IF(L25="",0,SUMIFS(Transactions!$E:$E,Transactions!$B:$B,A25,Transactions!$A:$A,"&gt;"&amp;L25))))</f>
        <v/>
      </c>
      <c r="N25" s="97" t="n"/>
      <c r="O25" s="98" t="n"/>
      <c r="P25" s="88" t="n"/>
      <c r="Q25" s="93" t="n"/>
      <c r="R25" s="87" t="n"/>
      <c r="S25" s="99">
        <f>IF(OR(A25="",T25=0),"",SUMPRODUCT(MAX((Transactions!$B$6:$B$50005=A25)*Transactions!$A$6:$A$50005)))</f>
        <v/>
      </c>
      <c r="T25" s="100">
        <f>IF(A25="","",COUNTIFS(Transactions!$B:$B,A25))</f>
        <v/>
      </c>
      <c r="U25" s="93" t="n"/>
      <c r="V25">
        <f>IF(A25="","",COUNTIF($A$6:A25,"?*"))</f>
        <v/>
      </c>
    </row>
    <row r="26">
      <c r="A26" s="87" t="n"/>
      <c r="B26" s="87" t="n"/>
      <c r="C26" s="93" t="n"/>
      <c r="D26" s="87" t="n"/>
      <c r="E26" s="89">
        <f>IF(C26="","",IFERROR(INDEX(Lists!$B$5:$B$22,MATCH(C26,Lists!$A$5:$A$22,0)),"Asset"))</f>
        <v/>
      </c>
      <c r="F26" s="89">
        <f>IF(C26="","",IFERROR(INDEX(Lists!$C$5:$C$22,MATCH(C26,Lists!$A$5:$A$22,0)),"Other Assets"))</f>
        <v/>
      </c>
      <c r="G26" s="94" t="n"/>
      <c r="H26" s="88" t="n"/>
      <c r="I26" s="86" t="n"/>
      <c r="J26" s="95">
        <f>IF(A26="","",N(H26)+SUMIFS(Transactions!$E:$E,Transactions!$B:$B,A26,Transactions!$A:$A,"&gt;="&amp;IF(I26="",0,I26)))</f>
        <v/>
      </c>
      <c r="K26" s="88" t="n"/>
      <c r="L26" s="86" t="n"/>
      <c r="M26" s="96">
        <f>IF(A26="","",IF(K26="",J26,K26+IF(L26="",0,SUMIFS(Transactions!$E:$E,Transactions!$B:$B,A26,Transactions!$A:$A,"&gt;"&amp;L26))))</f>
        <v/>
      </c>
      <c r="N26" s="97" t="n"/>
      <c r="O26" s="98" t="n"/>
      <c r="P26" s="88" t="n"/>
      <c r="Q26" s="93" t="n"/>
      <c r="R26" s="87" t="n"/>
      <c r="S26" s="99">
        <f>IF(OR(A26="",T26=0),"",SUMPRODUCT(MAX((Transactions!$B$6:$B$50005=A26)*Transactions!$A$6:$A$50005)))</f>
        <v/>
      </c>
      <c r="T26" s="100">
        <f>IF(A26="","",COUNTIFS(Transactions!$B:$B,A26))</f>
        <v/>
      </c>
      <c r="U26" s="93" t="n"/>
      <c r="V26">
        <f>IF(A26="","",COUNTIF($A$6:A26,"?*"))</f>
        <v/>
      </c>
    </row>
    <row r="27">
      <c r="A27" s="87" t="n"/>
      <c r="B27" s="87" t="n"/>
      <c r="C27" s="93" t="n"/>
      <c r="D27" s="87" t="n"/>
      <c r="E27" s="89">
        <f>IF(C27="","",IFERROR(INDEX(Lists!$B$5:$B$22,MATCH(C27,Lists!$A$5:$A$22,0)),"Asset"))</f>
        <v/>
      </c>
      <c r="F27" s="89">
        <f>IF(C27="","",IFERROR(INDEX(Lists!$C$5:$C$22,MATCH(C27,Lists!$A$5:$A$22,0)),"Other Assets"))</f>
        <v/>
      </c>
      <c r="G27" s="94" t="n"/>
      <c r="H27" s="88" t="n"/>
      <c r="I27" s="86" t="n"/>
      <c r="J27" s="95">
        <f>IF(A27="","",N(H27)+SUMIFS(Transactions!$E:$E,Transactions!$B:$B,A27,Transactions!$A:$A,"&gt;="&amp;IF(I27="",0,I27)))</f>
        <v/>
      </c>
      <c r="K27" s="88" t="n"/>
      <c r="L27" s="86" t="n"/>
      <c r="M27" s="96">
        <f>IF(A27="","",IF(K27="",J27,K27+IF(L27="",0,SUMIFS(Transactions!$E:$E,Transactions!$B:$B,A27,Transactions!$A:$A,"&gt;"&amp;L27))))</f>
        <v/>
      </c>
      <c r="N27" s="97" t="n"/>
      <c r="O27" s="98" t="n"/>
      <c r="P27" s="88" t="n"/>
      <c r="Q27" s="93" t="n"/>
      <c r="R27" s="87" t="n"/>
      <c r="S27" s="99">
        <f>IF(OR(A27="",T27=0),"",SUMPRODUCT(MAX((Transactions!$B$6:$B$50005=A27)*Transactions!$A$6:$A$50005)))</f>
        <v/>
      </c>
      <c r="T27" s="100">
        <f>IF(A27="","",COUNTIFS(Transactions!$B:$B,A27))</f>
        <v/>
      </c>
      <c r="U27" s="93" t="n"/>
      <c r="V27">
        <f>IF(A27="","",COUNTIF($A$6:A27,"?*"))</f>
        <v/>
      </c>
    </row>
    <row r="28">
      <c r="A28" s="87" t="n"/>
      <c r="B28" s="87" t="n"/>
      <c r="C28" s="93" t="n"/>
      <c r="D28" s="87" t="n"/>
      <c r="E28" s="89">
        <f>IF(C28="","",IFERROR(INDEX(Lists!$B$5:$B$22,MATCH(C28,Lists!$A$5:$A$22,0)),"Asset"))</f>
        <v/>
      </c>
      <c r="F28" s="89">
        <f>IF(C28="","",IFERROR(INDEX(Lists!$C$5:$C$22,MATCH(C28,Lists!$A$5:$A$22,0)),"Other Assets"))</f>
        <v/>
      </c>
      <c r="G28" s="94" t="n"/>
      <c r="H28" s="88" t="n"/>
      <c r="I28" s="86" t="n"/>
      <c r="J28" s="95">
        <f>IF(A28="","",N(H28)+SUMIFS(Transactions!$E:$E,Transactions!$B:$B,A28,Transactions!$A:$A,"&gt;="&amp;IF(I28="",0,I28)))</f>
        <v/>
      </c>
      <c r="K28" s="88" t="n"/>
      <c r="L28" s="86" t="n"/>
      <c r="M28" s="96">
        <f>IF(A28="","",IF(K28="",J28,K28+IF(L28="",0,SUMIFS(Transactions!$E:$E,Transactions!$B:$B,A28,Transactions!$A:$A,"&gt;"&amp;L28))))</f>
        <v/>
      </c>
      <c r="N28" s="97" t="n"/>
      <c r="O28" s="98" t="n"/>
      <c r="P28" s="88" t="n"/>
      <c r="Q28" s="93" t="n"/>
      <c r="R28" s="87" t="n"/>
      <c r="S28" s="99">
        <f>IF(OR(A28="",T28=0),"",SUMPRODUCT(MAX((Transactions!$B$6:$B$50005=A28)*Transactions!$A$6:$A$50005)))</f>
        <v/>
      </c>
      <c r="T28" s="100">
        <f>IF(A28="","",COUNTIFS(Transactions!$B:$B,A28))</f>
        <v/>
      </c>
      <c r="U28" s="93" t="n"/>
      <c r="V28">
        <f>IF(A28="","",COUNTIF($A$6:A28,"?*"))</f>
        <v/>
      </c>
    </row>
    <row r="29">
      <c r="A29" s="87" t="n"/>
      <c r="B29" s="87" t="n"/>
      <c r="C29" s="93" t="n"/>
      <c r="D29" s="87" t="n"/>
      <c r="E29" s="89">
        <f>IF(C29="","",IFERROR(INDEX(Lists!$B$5:$B$22,MATCH(C29,Lists!$A$5:$A$22,0)),"Asset"))</f>
        <v/>
      </c>
      <c r="F29" s="89">
        <f>IF(C29="","",IFERROR(INDEX(Lists!$C$5:$C$22,MATCH(C29,Lists!$A$5:$A$22,0)),"Other Assets"))</f>
        <v/>
      </c>
      <c r="G29" s="94" t="n"/>
      <c r="H29" s="88" t="n"/>
      <c r="I29" s="86" t="n"/>
      <c r="J29" s="95">
        <f>IF(A29="","",N(H29)+SUMIFS(Transactions!$E:$E,Transactions!$B:$B,A29,Transactions!$A:$A,"&gt;="&amp;IF(I29="",0,I29)))</f>
        <v/>
      </c>
      <c r="K29" s="88" t="n"/>
      <c r="L29" s="86" t="n"/>
      <c r="M29" s="96">
        <f>IF(A29="","",IF(K29="",J29,K29+IF(L29="",0,SUMIFS(Transactions!$E:$E,Transactions!$B:$B,A29,Transactions!$A:$A,"&gt;"&amp;L29))))</f>
        <v/>
      </c>
      <c r="N29" s="97" t="n"/>
      <c r="O29" s="98" t="n"/>
      <c r="P29" s="88" t="n"/>
      <c r="Q29" s="93" t="n"/>
      <c r="R29" s="87" t="n"/>
      <c r="S29" s="99">
        <f>IF(OR(A29="",T29=0),"",SUMPRODUCT(MAX((Transactions!$B$6:$B$50005=A29)*Transactions!$A$6:$A$50005)))</f>
        <v/>
      </c>
      <c r="T29" s="100">
        <f>IF(A29="","",COUNTIFS(Transactions!$B:$B,A29))</f>
        <v/>
      </c>
      <c r="U29" s="93" t="n"/>
      <c r="V29">
        <f>IF(A29="","",COUNTIF($A$6:A29,"?*"))</f>
        <v/>
      </c>
    </row>
    <row r="30">
      <c r="A30" s="87" t="n"/>
      <c r="B30" s="87" t="n"/>
      <c r="C30" s="93" t="n"/>
      <c r="D30" s="87" t="n"/>
      <c r="E30" s="89">
        <f>IF(C30="","",IFERROR(INDEX(Lists!$B$5:$B$22,MATCH(C30,Lists!$A$5:$A$22,0)),"Asset"))</f>
        <v/>
      </c>
      <c r="F30" s="89">
        <f>IF(C30="","",IFERROR(INDEX(Lists!$C$5:$C$22,MATCH(C30,Lists!$A$5:$A$22,0)),"Other Assets"))</f>
        <v/>
      </c>
      <c r="G30" s="94" t="n"/>
      <c r="H30" s="88" t="n"/>
      <c r="I30" s="86" t="n"/>
      <c r="J30" s="95">
        <f>IF(A30="","",N(H30)+SUMIFS(Transactions!$E:$E,Transactions!$B:$B,A30,Transactions!$A:$A,"&gt;="&amp;IF(I30="",0,I30)))</f>
        <v/>
      </c>
      <c r="K30" s="88" t="n"/>
      <c r="L30" s="86" t="n"/>
      <c r="M30" s="96">
        <f>IF(A30="","",IF(K30="",J30,K30+IF(L30="",0,SUMIFS(Transactions!$E:$E,Transactions!$B:$B,A30,Transactions!$A:$A,"&gt;"&amp;L30))))</f>
        <v/>
      </c>
      <c r="N30" s="97" t="n"/>
      <c r="O30" s="98" t="n"/>
      <c r="P30" s="88" t="n"/>
      <c r="Q30" s="93" t="n"/>
      <c r="R30" s="87" t="n"/>
      <c r="S30" s="99">
        <f>IF(OR(A30="",T30=0),"",SUMPRODUCT(MAX((Transactions!$B$6:$B$50005=A30)*Transactions!$A$6:$A$50005)))</f>
        <v/>
      </c>
      <c r="T30" s="100">
        <f>IF(A30="","",COUNTIFS(Transactions!$B:$B,A30))</f>
        <v/>
      </c>
      <c r="U30" s="93" t="n"/>
      <c r="V30">
        <f>IF(A30="","",COUNTIF($A$6:A30,"?*"))</f>
        <v/>
      </c>
    </row>
    <row r="31">
      <c r="A31" s="87" t="n"/>
      <c r="B31" s="87" t="n"/>
      <c r="C31" s="93" t="n"/>
      <c r="D31" s="87" t="n"/>
      <c r="E31" s="89">
        <f>IF(C31="","",IFERROR(INDEX(Lists!$B$5:$B$22,MATCH(C31,Lists!$A$5:$A$22,0)),"Asset"))</f>
        <v/>
      </c>
      <c r="F31" s="89">
        <f>IF(C31="","",IFERROR(INDEX(Lists!$C$5:$C$22,MATCH(C31,Lists!$A$5:$A$22,0)),"Other Assets"))</f>
        <v/>
      </c>
      <c r="G31" s="94" t="n"/>
      <c r="H31" s="88" t="n"/>
      <c r="I31" s="86" t="n"/>
      <c r="J31" s="95">
        <f>IF(A31="","",N(H31)+SUMIFS(Transactions!$E:$E,Transactions!$B:$B,A31,Transactions!$A:$A,"&gt;="&amp;IF(I31="",0,I31)))</f>
        <v/>
      </c>
      <c r="K31" s="88" t="n"/>
      <c r="L31" s="86" t="n"/>
      <c r="M31" s="96">
        <f>IF(A31="","",IF(K31="",J31,K31+IF(L31="",0,SUMIFS(Transactions!$E:$E,Transactions!$B:$B,A31,Transactions!$A:$A,"&gt;"&amp;L31))))</f>
        <v/>
      </c>
      <c r="N31" s="97" t="n"/>
      <c r="O31" s="98" t="n"/>
      <c r="P31" s="88" t="n"/>
      <c r="Q31" s="93" t="n"/>
      <c r="R31" s="87" t="n"/>
      <c r="S31" s="99">
        <f>IF(OR(A31="",T31=0),"",SUMPRODUCT(MAX((Transactions!$B$6:$B$50005=A31)*Transactions!$A$6:$A$50005)))</f>
        <v/>
      </c>
      <c r="T31" s="100">
        <f>IF(A31="","",COUNTIFS(Transactions!$B:$B,A31))</f>
        <v/>
      </c>
      <c r="U31" s="93" t="n"/>
      <c r="V31">
        <f>IF(A31="","",COUNTIF($A$6:A31,"?*"))</f>
        <v/>
      </c>
    </row>
    <row r="32">
      <c r="A32" s="87" t="n"/>
      <c r="B32" s="87" t="n"/>
      <c r="C32" s="93" t="n"/>
      <c r="D32" s="87" t="n"/>
      <c r="E32" s="89">
        <f>IF(C32="","",IFERROR(INDEX(Lists!$B$5:$B$22,MATCH(C32,Lists!$A$5:$A$22,0)),"Asset"))</f>
        <v/>
      </c>
      <c r="F32" s="89">
        <f>IF(C32="","",IFERROR(INDEX(Lists!$C$5:$C$22,MATCH(C32,Lists!$A$5:$A$22,0)),"Other Assets"))</f>
        <v/>
      </c>
      <c r="G32" s="94" t="n"/>
      <c r="H32" s="88" t="n"/>
      <c r="I32" s="86" t="n"/>
      <c r="J32" s="95">
        <f>IF(A32="","",N(H32)+SUMIFS(Transactions!$E:$E,Transactions!$B:$B,A32,Transactions!$A:$A,"&gt;="&amp;IF(I32="",0,I32)))</f>
        <v/>
      </c>
      <c r="K32" s="88" t="n"/>
      <c r="L32" s="86" t="n"/>
      <c r="M32" s="96">
        <f>IF(A32="","",IF(K32="",J32,K32+IF(L32="",0,SUMIFS(Transactions!$E:$E,Transactions!$B:$B,A32,Transactions!$A:$A,"&gt;"&amp;L32))))</f>
        <v/>
      </c>
      <c r="N32" s="97" t="n"/>
      <c r="O32" s="98" t="n"/>
      <c r="P32" s="88" t="n"/>
      <c r="Q32" s="93" t="n"/>
      <c r="R32" s="87" t="n"/>
      <c r="S32" s="99">
        <f>IF(OR(A32="",T32=0),"",SUMPRODUCT(MAX((Transactions!$B$6:$B$50005=A32)*Transactions!$A$6:$A$50005)))</f>
        <v/>
      </c>
      <c r="T32" s="100">
        <f>IF(A32="","",COUNTIFS(Transactions!$B:$B,A32))</f>
        <v/>
      </c>
      <c r="U32" s="93" t="n"/>
      <c r="V32">
        <f>IF(A32="","",COUNTIF($A$6:A32,"?*"))</f>
        <v/>
      </c>
    </row>
    <row r="33">
      <c r="A33" s="87" t="n"/>
      <c r="B33" s="87" t="n"/>
      <c r="C33" s="93" t="n"/>
      <c r="D33" s="87" t="n"/>
      <c r="E33" s="89">
        <f>IF(C33="","",IFERROR(INDEX(Lists!$B$5:$B$22,MATCH(C33,Lists!$A$5:$A$22,0)),"Asset"))</f>
        <v/>
      </c>
      <c r="F33" s="89">
        <f>IF(C33="","",IFERROR(INDEX(Lists!$C$5:$C$22,MATCH(C33,Lists!$A$5:$A$22,0)),"Other Assets"))</f>
        <v/>
      </c>
      <c r="G33" s="94" t="n"/>
      <c r="H33" s="88" t="n"/>
      <c r="I33" s="86" t="n"/>
      <c r="J33" s="95">
        <f>IF(A33="","",N(H33)+SUMIFS(Transactions!$E:$E,Transactions!$B:$B,A33,Transactions!$A:$A,"&gt;="&amp;IF(I33="",0,I33)))</f>
        <v/>
      </c>
      <c r="K33" s="88" t="n"/>
      <c r="L33" s="86" t="n"/>
      <c r="M33" s="96">
        <f>IF(A33="","",IF(K33="",J33,K33+IF(L33="",0,SUMIFS(Transactions!$E:$E,Transactions!$B:$B,A33,Transactions!$A:$A,"&gt;"&amp;L33))))</f>
        <v/>
      </c>
      <c r="N33" s="97" t="n"/>
      <c r="O33" s="98" t="n"/>
      <c r="P33" s="88" t="n"/>
      <c r="Q33" s="93" t="n"/>
      <c r="R33" s="87" t="n"/>
      <c r="S33" s="99">
        <f>IF(OR(A33="",T33=0),"",SUMPRODUCT(MAX((Transactions!$B$6:$B$50005=A33)*Transactions!$A$6:$A$50005)))</f>
        <v/>
      </c>
      <c r="T33" s="100">
        <f>IF(A33="","",COUNTIFS(Transactions!$B:$B,A33))</f>
        <v/>
      </c>
      <c r="U33" s="93" t="n"/>
      <c r="V33">
        <f>IF(A33="","",COUNTIF($A$6:A33,"?*"))</f>
        <v/>
      </c>
    </row>
    <row r="34">
      <c r="A34" s="87" t="n"/>
      <c r="B34" s="87" t="n"/>
      <c r="C34" s="93" t="n"/>
      <c r="D34" s="87" t="n"/>
      <c r="E34" s="89">
        <f>IF(C34="","",IFERROR(INDEX(Lists!$B$5:$B$22,MATCH(C34,Lists!$A$5:$A$22,0)),"Asset"))</f>
        <v/>
      </c>
      <c r="F34" s="89">
        <f>IF(C34="","",IFERROR(INDEX(Lists!$C$5:$C$22,MATCH(C34,Lists!$A$5:$A$22,0)),"Other Assets"))</f>
        <v/>
      </c>
      <c r="G34" s="94" t="n"/>
      <c r="H34" s="88" t="n"/>
      <c r="I34" s="86" t="n"/>
      <c r="J34" s="95">
        <f>IF(A34="","",N(H34)+SUMIFS(Transactions!$E:$E,Transactions!$B:$B,A34,Transactions!$A:$A,"&gt;="&amp;IF(I34="",0,I34)))</f>
        <v/>
      </c>
      <c r="K34" s="88" t="n"/>
      <c r="L34" s="86" t="n"/>
      <c r="M34" s="96">
        <f>IF(A34="","",IF(K34="",J34,K34+IF(L34="",0,SUMIFS(Transactions!$E:$E,Transactions!$B:$B,A34,Transactions!$A:$A,"&gt;"&amp;L34))))</f>
        <v/>
      </c>
      <c r="N34" s="97" t="n"/>
      <c r="O34" s="98" t="n"/>
      <c r="P34" s="88" t="n"/>
      <c r="Q34" s="93" t="n"/>
      <c r="R34" s="87" t="n"/>
      <c r="S34" s="99">
        <f>IF(OR(A34="",T34=0),"",SUMPRODUCT(MAX((Transactions!$B$6:$B$50005=A34)*Transactions!$A$6:$A$50005)))</f>
        <v/>
      </c>
      <c r="T34" s="100">
        <f>IF(A34="","",COUNTIFS(Transactions!$B:$B,A34))</f>
        <v/>
      </c>
      <c r="U34" s="93" t="n"/>
      <c r="V34">
        <f>IF(A34="","",COUNTIF($A$6:A34,"?*"))</f>
        <v/>
      </c>
    </row>
    <row r="35">
      <c r="A35" s="87" t="n"/>
      <c r="B35" s="87" t="n"/>
      <c r="C35" s="93" t="n"/>
      <c r="D35" s="87" t="n"/>
      <c r="E35" s="89">
        <f>IF(C35="","",IFERROR(INDEX(Lists!$B$5:$B$22,MATCH(C35,Lists!$A$5:$A$22,0)),"Asset"))</f>
        <v/>
      </c>
      <c r="F35" s="89">
        <f>IF(C35="","",IFERROR(INDEX(Lists!$C$5:$C$22,MATCH(C35,Lists!$A$5:$A$22,0)),"Other Assets"))</f>
        <v/>
      </c>
      <c r="G35" s="94" t="n"/>
      <c r="H35" s="88" t="n"/>
      <c r="I35" s="86" t="n"/>
      <c r="J35" s="95">
        <f>IF(A35="","",N(H35)+SUMIFS(Transactions!$E:$E,Transactions!$B:$B,A35,Transactions!$A:$A,"&gt;="&amp;IF(I35="",0,I35)))</f>
        <v/>
      </c>
      <c r="K35" s="88" t="n"/>
      <c r="L35" s="86" t="n"/>
      <c r="M35" s="96">
        <f>IF(A35="","",IF(K35="",J35,K35+IF(L35="",0,SUMIFS(Transactions!$E:$E,Transactions!$B:$B,A35,Transactions!$A:$A,"&gt;"&amp;L35))))</f>
        <v/>
      </c>
      <c r="N35" s="97" t="n"/>
      <c r="O35" s="98" t="n"/>
      <c r="P35" s="88" t="n"/>
      <c r="Q35" s="93" t="n"/>
      <c r="R35" s="87" t="n"/>
      <c r="S35" s="99">
        <f>IF(OR(A35="",T35=0),"",SUMPRODUCT(MAX((Transactions!$B$6:$B$50005=A35)*Transactions!$A$6:$A$50005)))</f>
        <v/>
      </c>
      <c r="T35" s="100">
        <f>IF(A35="","",COUNTIFS(Transactions!$B:$B,A35))</f>
        <v/>
      </c>
      <c r="U35" s="93" t="n"/>
      <c r="V35">
        <f>IF(A35="","",COUNTIF($A$6:A35,"?*"))</f>
        <v/>
      </c>
    </row>
    <row r="36">
      <c r="A36" s="87" t="n"/>
      <c r="B36" s="87" t="n"/>
      <c r="C36" s="93" t="n"/>
      <c r="D36" s="87" t="n"/>
      <c r="E36" s="89">
        <f>IF(C36="","",IFERROR(INDEX(Lists!$B$5:$B$22,MATCH(C36,Lists!$A$5:$A$22,0)),"Asset"))</f>
        <v/>
      </c>
      <c r="F36" s="89">
        <f>IF(C36="","",IFERROR(INDEX(Lists!$C$5:$C$22,MATCH(C36,Lists!$A$5:$A$22,0)),"Other Assets"))</f>
        <v/>
      </c>
      <c r="G36" s="94" t="n"/>
      <c r="H36" s="88" t="n"/>
      <c r="I36" s="86" t="n"/>
      <c r="J36" s="95">
        <f>IF(A36="","",N(H36)+SUMIFS(Transactions!$E:$E,Transactions!$B:$B,A36,Transactions!$A:$A,"&gt;="&amp;IF(I36="",0,I36)))</f>
        <v/>
      </c>
      <c r="K36" s="88" t="n"/>
      <c r="L36" s="86" t="n"/>
      <c r="M36" s="96">
        <f>IF(A36="","",IF(K36="",J36,K36+IF(L36="",0,SUMIFS(Transactions!$E:$E,Transactions!$B:$B,A36,Transactions!$A:$A,"&gt;"&amp;L36))))</f>
        <v/>
      </c>
      <c r="N36" s="97" t="n"/>
      <c r="O36" s="98" t="n"/>
      <c r="P36" s="88" t="n"/>
      <c r="Q36" s="93" t="n"/>
      <c r="R36" s="87" t="n"/>
      <c r="S36" s="99">
        <f>IF(OR(A36="",T36=0),"",SUMPRODUCT(MAX((Transactions!$B$6:$B$50005=A36)*Transactions!$A$6:$A$50005)))</f>
        <v/>
      </c>
      <c r="T36" s="100">
        <f>IF(A36="","",COUNTIFS(Transactions!$B:$B,A36))</f>
        <v/>
      </c>
      <c r="U36" s="93" t="n"/>
      <c r="V36">
        <f>IF(A36="","",COUNTIF($A$6:A36,"?*"))</f>
        <v/>
      </c>
    </row>
    <row r="37">
      <c r="A37" s="87" t="n"/>
      <c r="B37" s="87" t="n"/>
      <c r="C37" s="93" t="n"/>
      <c r="D37" s="87" t="n"/>
      <c r="E37" s="89">
        <f>IF(C37="","",IFERROR(INDEX(Lists!$B$5:$B$22,MATCH(C37,Lists!$A$5:$A$22,0)),"Asset"))</f>
        <v/>
      </c>
      <c r="F37" s="89">
        <f>IF(C37="","",IFERROR(INDEX(Lists!$C$5:$C$22,MATCH(C37,Lists!$A$5:$A$22,0)),"Other Assets"))</f>
        <v/>
      </c>
      <c r="G37" s="94" t="n"/>
      <c r="H37" s="88" t="n"/>
      <c r="I37" s="86" t="n"/>
      <c r="J37" s="95">
        <f>IF(A37="","",N(H37)+SUMIFS(Transactions!$E:$E,Transactions!$B:$B,A37,Transactions!$A:$A,"&gt;="&amp;IF(I37="",0,I37)))</f>
        <v/>
      </c>
      <c r="K37" s="88" t="n"/>
      <c r="L37" s="86" t="n"/>
      <c r="M37" s="96">
        <f>IF(A37="","",IF(K37="",J37,K37+IF(L37="",0,SUMIFS(Transactions!$E:$E,Transactions!$B:$B,A37,Transactions!$A:$A,"&gt;"&amp;L37))))</f>
        <v/>
      </c>
      <c r="N37" s="97" t="n"/>
      <c r="O37" s="98" t="n"/>
      <c r="P37" s="88" t="n"/>
      <c r="Q37" s="93" t="n"/>
      <c r="R37" s="87" t="n"/>
      <c r="S37" s="99">
        <f>IF(OR(A37="",T37=0),"",SUMPRODUCT(MAX((Transactions!$B$6:$B$50005=A37)*Transactions!$A$6:$A$50005)))</f>
        <v/>
      </c>
      <c r="T37" s="100">
        <f>IF(A37="","",COUNTIFS(Transactions!$B:$B,A37))</f>
        <v/>
      </c>
      <c r="U37" s="93" t="n"/>
      <c r="V37">
        <f>IF(A37="","",COUNTIF($A$6:A37,"?*"))</f>
        <v/>
      </c>
    </row>
    <row r="38">
      <c r="A38" s="87" t="n"/>
      <c r="B38" s="87" t="n"/>
      <c r="C38" s="93" t="n"/>
      <c r="D38" s="87" t="n"/>
      <c r="E38" s="89">
        <f>IF(C38="","",IFERROR(INDEX(Lists!$B$5:$B$22,MATCH(C38,Lists!$A$5:$A$22,0)),"Asset"))</f>
        <v/>
      </c>
      <c r="F38" s="89">
        <f>IF(C38="","",IFERROR(INDEX(Lists!$C$5:$C$22,MATCH(C38,Lists!$A$5:$A$22,0)),"Other Assets"))</f>
        <v/>
      </c>
      <c r="G38" s="94" t="n"/>
      <c r="H38" s="88" t="n"/>
      <c r="I38" s="86" t="n"/>
      <c r="J38" s="95">
        <f>IF(A38="","",N(H38)+SUMIFS(Transactions!$E:$E,Transactions!$B:$B,A38,Transactions!$A:$A,"&gt;="&amp;IF(I38="",0,I38)))</f>
        <v/>
      </c>
      <c r="K38" s="88" t="n"/>
      <c r="L38" s="86" t="n"/>
      <c r="M38" s="96">
        <f>IF(A38="","",IF(K38="",J38,K38+IF(L38="",0,SUMIFS(Transactions!$E:$E,Transactions!$B:$B,A38,Transactions!$A:$A,"&gt;"&amp;L38))))</f>
        <v/>
      </c>
      <c r="N38" s="97" t="n"/>
      <c r="O38" s="98" t="n"/>
      <c r="P38" s="88" t="n"/>
      <c r="Q38" s="93" t="n"/>
      <c r="R38" s="87" t="n"/>
      <c r="S38" s="99">
        <f>IF(OR(A38="",T38=0),"",SUMPRODUCT(MAX((Transactions!$B$6:$B$50005=A38)*Transactions!$A$6:$A$50005)))</f>
        <v/>
      </c>
      <c r="T38" s="100">
        <f>IF(A38="","",COUNTIFS(Transactions!$B:$B,A38))</f>
        <v/>
      </c>
      <c r="U38" s="93" t="n"/>
      <c r="V38">
        <f>IF(A38="","",COUNTIF($A$6:A38,"?*"))</f>
        <v/>
      </c>
    </row>
    <row r="39">
      <c r="A39" s="87" t="n"/>
      <c r="B39" s="87" t="n"/>
      <c r="C39" s="93" t="n"/>
      <c r="D39" s="87" t="n"/>
      <c r="E39" s="89">
        <f>IF(C39="","",IFERROR(INDEX(Lists!$B$5:$B$22,MATCH(C39,Lists!$A$5:$A$22,0)),"Asset"))</f>
        <v/>
      </c>
      <c r="F39" s="89">
        <f>IF(C39="","",IFERROR(INDEX(Lists!$C$5:$C$22,MATCH(C39,Lists!$A$5:$A$22,0)),"Other Assets"))</f>
        <v/>
      </c>
      <c r="G39" s="94" t="n"/>
      <c r="H39" s="88" t="n"/>
      <c r="I39" s="86" t="n"/>
      <c r="J39" s="95">
        <f>IF(A39="","",N(H39)+SUMIFS(Transactions!$E:$E,Transactions!$B:$B,A39,Transactions!$A:$A,"&gt;="&amp;IF(I39="",0,I39)))</f>
        <v/>
      </c>
      <c r="K39" s="88" t="n"/>
      <c r="L39" s="86" t="n"/>
      <c r="M39" s="96">
        <f>IF(A39="","",IF(K39="",J39,K39+IF(L39="",0,SUMIFS(Transactions!$E:$E,Transactions!$B:$B,A39,Transactions!$A:$A,"&gt;"&amp;L39))))</f>
        <v/>
      </c>
      <c r="N39" s="97" t="n"/>
      <c r="O39" s="98" t="n"/>
      <c r="P39" s="88" t="n"/>
      <c r="Q39" s="93" t="n"/>
      <c r="R39" s="87" t="n"/>
      <c r="S39" s="99">
        <f>IF(OR(A39="",T39=0),"",SUMPRODUCT(MAX((Transactions!$B$6:$B$50005=A39)*Transactions!$A$6:$A$50005)))</f>
        <v/>
      </c>
      <c r="T39" s="100">
        <f>IF(A39="","",COUNTIFS(Transactions!$B:$B,A39))</f>
        <v/>
      </c>
      <c r="U39" s="93" t="n"/>
      <c r="V39">
        <f>IF(A39="","",COUNTIF($A$6:A39,"?*"))</f>
        <v/>
      </c>
    </row>
    <row r="40">
      <c r="A40" s="87" t="n"/>
      <c r="B40" s="87" t="n"/>
      <c r="C40" s="93" t="n"/>
      <c r="D40" s="87" t="n"/>
      <c r="E40" s="89">
        <f>IF(C40="","",IFERROR(INDEX(Lists!$B$5:$B$22,MATCH(C40,Lists!$A$5:$A$22,0)),"Asset"))</f>
        <v/>
      </c>
      <c r="F40" s="89">
        <f>IF(C40="","",IFERROR(INDEX(Lists!$C$5:$C$22,MATCH(C40,Lists!$A$5:$A$22,0)),"Other Assets"))</f>
        <v/>
      </c>
      <c r="G40" s="94" t="n"/>
      <c r="H40" s="88" t="n"/>
      <c r="I40" s="86" t="n"/>
      <c r="J40" s="95">
        <f>IF(A40="","",N(H40)+SUMIFS(Transactions!$E:$E,Transactions!$B:$B,A40,Transactions!$A:$A,"&gt;="&amp;IF(I40="",0,I40)))</f>
        <v/>
      </c>
      <c r="K40" s="88" t="n"/>
      <c r="L40" s="86" t="n"/>
      <c r="M40" s="96">
        <f>IF(A40="","",IF(K40="",J40,K40+IF(L40="",0,SUMIFS(Transactions!$E:$E,Transactions!$B:$B,A40,Transactions!$A:$A,"&gt;"&amp;L40))))</f>
        <v/>
      </c>
      <c r="N40" s="97" t="n"/>
      <c r="O40" s="98" t="n"/>
      <c r="P40" s="88" t="n"/>
      <c r="Q40" s="93" t="n"/>
      <c r="R40" s="87" t="n"/>
      <c r="S40" s="99">
        <f>IF(OR(A40="",T40=0),"",SUMPRODUCT(MAX((Transactions!$B$6:$B$50005=A40)*Transactions!$A$6:$A$50005)))</f>
        <v/>
      </c>
      <c r="T40" s="100">
        <f>IF(A40="","",COUNTIFS(Transactions!$B:$B,A40))</f>
        <v/>
      </c>
      <c r="U40" s="93" t="n"/>
      <c r="V40">
        <f>IF(A40="","",COUNTIF($A$6:A40,"?*"))</f>
        <v/>
      </c>
    </row>
    <row r="41">
      <c r="A41" s="87" t="n"/>
      <c r="B41" s="87" t="n"/>
      <c r="C41" s="93" t="n"/>
      <c r="D41" s="87" t="n"/>
      <c r="E41" s="89">
        <f>IF(C41="","",IFERROR(INDEX(Lists!$B$5:$B$22,MATCH(C41,Lists!$A$5:$A$22,0)),"Asset"))</f>
        <v/>
      </c>
      <c r="F41" s="89">
        <f>IF(C41="","",IFERROR(INDEX(Lists!$C$5:$C$22,MATCH(C41,Lists!$A$5:$A$22,0)),"Other Assets"))</f>
        <v/>
      </c>
      <c r="G41" s="94" t="n"/>
      <c r="H41" s="88" t="n"/>
      <c r="I41" s="86" t="n"/>
      <c r="J41" s="95">
        <f>IF(A41="","",N(H41)+SUMIFS(Transactions!$E:$E,Transactions!$B:$B,A41,Transactions!$A:$A,"&gt;="&amp;IF(I41="",0,I41)))</f>
        <v/>
      </c>
      <c r="K41" s="88" t="n"/>
      <c r="L41" s="86" t="n"/>
      <c r="M41" s="96">
        <f>IF(A41="","",IF(K41="",J41,K41+IF(L41="",0,SUMIFS(Transactions!$E:$E,Transactions!$B:$B,A41,Transactions!$A:$A,"&gt;"&amp;L41))))</f>
        <v/>
      </c>
      <c r="N41" s="97" t="n"/>
      <c r="O41" s="98" t="n"/>
      <c r="P41" s="88" t="n"/>
      <c r="Q41" s="93" t="n"/>
      <c r="R41" s="87" t="n"/>
      <c r="S41" s="99">
        <f>IF(OR(A41="",T41=0),"",SUMPRODUCT(MAX((Transactions!$B$6:$B$50005=A41)*Transactions!$A$6:$A$50005)))</f>
        <v/>
      </c>
      <c r="T41" s="100">
        <f>IF(A41="","",COUNTIFS(Transactions!$B:$B,A41))</f>
        <v/>
      </c>
      <c r="U41" s="93" t="n"/>
      <c r="V41">
        <f>IF(A41="","",COUNTIF($A$6:A41,"?*"))</f>
        <v/>
      </c>
    </row>
    <row r="42">
      <c r="A42" s="87" t="n"/>
      <c r="B42" s="87" t="n"/>
      <c r="C42" s="93" t="n"/>
      <c r="D42" s="87" t="n"/>
      <c r="E42" s="89">
        <f>IF(C42="","",IFERROR(INDEX(Lists!$B$5:$B$22,MATCH(C42,Lists!$A$5:$A$22,0)),"Asset"))</f>
        <v/>
      </c>
      <c r="F42" s="89">
        <f>IF(C42="","",IFERROR(INDEX(Lists!$C$5:$C$22,MATCH(C42,Lists!$A$5:$A$22,0)),"Other Assets"))</f>
        <v/>
      </c>
      <c r="G42" s="94" t="n"/>
      <c r="H42" s="88" t="n"/>
      <c r="I42" s="86" t="n"/>
      <c r="J42" s="95">
        <f>IF(A42="","",N(H42)+SUMIFS(Transactions!$E:$E,Transactions!$B:$B,A42,Transactions!$A:$A,"&gt;="&amp;IF(I42="",0,I42)))</f>
        <v/>
      </c>
      <c r="K42" s="88" t="n"/>
      <c r="L42" s="86" t="n"/>
      <c r="M42" s="96">
        <f>IF(A42="","",IF(K42="",J42,K42+IF(L42="",0,SUMIFS(Transactions!$E:$E,Transactions!$B:$B,A42,Transactions!$A:$A,"&gt;"&amp;L42))))</f>
        <v/>
      </c>
      <c r="N42" s="97" t="n"/>
      <c r="O42" s="98" t="n"/>
      <c r="P42" s="88" t="n"/>
      <c r="Q42" s="93" t="n"/>
      <c r="R42" s="87" t="n"/>
      <c r="S42" s="99">
        <f>IF(OR(A42="",T42=0),"",SUMPRODUCT(MAX((Transactions!$B$6:$B$50005=A42)*Transactions!$A$6:$A$50005)))</f>
        <v/>
      </c>
      <c r="T42" s="100">
        <f>IF(A42="","",COUNTIFS(Transactions!$B:$B,A42))</f>
        <v/>
      </c>
      <c r="U42" s="93" t="n"/>
      <c r="V42">
        <f>IF(A42="","",COUNTIF($A$6:A42,"?*"))</f>
        <v/>
      </c>
    </row>
    <row r="43">
      <c r="A43" s="87" t="n"/>
      <c r="B43" s="87" t="n"/>
      <c r="C43" s="93" t="n"/>
      <c r="D43" s="87" t="n"/>
      <c r="E43" s="89">
        <f>IF(C43="","",IFERROR(INDEX(Lists!$B$5:$B$22,MATCH(C43,Lists!$A$5:$A$22,0)),"Asset"))</f>
        <v/>
      </c>
      <c r="F43" s="89">
        <f>IF(C43="","",IFERROR(INDEX(Lists!$C$5:$C$22,MATCH(C43,Lists!$A$5:$A$22,0)),"Other Assets"))</f>
        <v/>
      </c>
      <c r="G43" s="94" t="n"/>
      <c r="H43" s="88" t="n"/>
      <c r="I43" s="86" t="n"/>
      <c r="J43" s="95">
        <f>IF(A43="","",N(H43)+SUMIFS(Transactions!$E:$E,Transactions!$B:$B,A43,Transactions!$A:$A,"&gt;="&amp;IF(I43="",0,I43)))</f>
        <v/>
      </c>
      <c r="K43" s="88" t="n"/>
      <c r="L43" s="86" t="n"/>
      <c r="M43" s="96">
        <f>IF(A43="","",IF(K43="",J43,K43+IF(L43="",0,SUMIFS(Transactions!$E:$E,Transactions!$B:$B,A43,Transactions!$A:$A,"&gt;"&amp;L43))))</f>
        <v/>
      </c>
      <c r="N43" s="97" t="n"/>
      <c r="O43" s="98" t="n"/>
      <c r="P43" s="88" t="n"/>
      <c r="Q43" s="93" t="n"/>
      <c r="R43" s="87" t="n"/>
      <c r="S43" s="99">
        <f>IF(OR(A43="",T43=0),"",SUMPRODUCT(MAX((Transactions!$B$6:$B$50005=A43)*Transactions!$A$6:$A$50005)))</f>
        <v/>
      </c>
      <c r="T43" s="100">
        <f>IF(A43="","",COUNTIFS(Transactions!$B:$B,A43))</f>
        <v/>
      </c>
      <c r="U43" s="93" t="n"/>
      <c r="V43">
        <f>IF(A43="","",COUNTIF($A$6:A43,"?*"))</f>
        <v/>
      </c>
    </row>
    <row r="44">
      <c r="A44" s="87" t="n"/>
      <c r="B44" s="87" t="n"/>
      <c r="C44" s="93" t="n"/>
      <c r="D44" s="87" t="n"/>
      <c r="E44" s="89">
        <f>IF(C44="","",IFERROR(INDEX(Lists!$B$5:$B$22,MATCH(C44,Lists!$A$5:$A$22,0)),"Asset"))</f>
        <v/>
      </c>
      <c r="F44" s="89">
        <f>IF(C44="","",IFERROR(INDEX(Lists!$C$5:$C$22,MATCH(C44,Lists!$A$5:$A$22,0)),"Other Assets"))</f>
        <v/>
      </c>
      <c r="G44" s="94" t="n"/>
      <c r="H44" s="88" t="n"/>
      <c r="I44" s="86" t="n"/>
      <c r="J44" s="95">
        <f>IF(A44="","",N(H44)+SUMIFS(Transactions!$E:$E,Transactions!$B:$B,A44,Transactions!$A:$A,"&gt;="&amp;IF(I44="",0,I44)))</f>
        <v/>
      </c>
      <c r="K44" s="88" t="n"/>
      <c r="L44" s="86" t="n"/>
      <c r="M44" s="96">
        <f>IF(A44="","",IF(K44="",J44,K44+IF(L44="",0,SUMIFS(Transactions!$E:$E,Transactions!$B:$B,A44,Transactions!$A:$A,"&gt;"&amp;L44))))</f>
        <v/>
      </c>
      <c r="N44" s="97" t="n"/>
      <c r="O44" s="98" t="n"/>
      <c r="P44" s="88" t="n"/>
      <c r="Q44" s="93" t="n"/>
      <c r="R44" s="87" t="n"/>
      <c r="S44" s="99">
        <f>IF(OR(A44="",T44=0),"",SUMPRODUCT(MAX((Transactions!$B$6:$B$50005=A44)*Transactions!$A$6:$A$50005)))</f>
        <v/>
      </c>
      <c r="T44" s="100">
        <f>IF(A44="","",COUNTIFS(Transactions!$B:$B,A44))</f>
        <v/>
      </c>
      <c r="U44" s="93" t="n"/>
      <c r="V44">
        <f>IF(A44="","",COUNTIF($A$6:A44,"?*"))</f>
        <v/>
      </c>
    </row>
    <row r="45">
      <c r="A45" s="87" t="n"/>
      <c r="B45" s="87" t="n"/>
      <c r="C45" s="93" t="n"/>
      <c r="D45" s="87" t="n"/>
      <c r="E45" s="89">
        <f>IF(C45="","",IFERROR(INDEX(Lists!$B$5:$B$22,MATCH(C45,Lists!$A$5:$A$22,0)),"Asset"))</f>
        <v/>
      </c>
      <c r="F45" s="89">
        <f>IF(C45="","",IFERROR(INDEX(Lists!$C$5:$C$22,MATCH(C45,Lists!$A$5:$A$22,0)),"Other Assets"))</f>
        <v/>
      </c>
      <c r="G45" s="94" t="n"/>
      <c r="H45" s="88" t="n"/>
      <c r="I45" s="86" t="n"/>
      <c r="J45" s="95">
        <f>IF(A45="","",N(H45)+SUMIFS(Transactions!$E:$E,Transactions!$B:$B,A45,Transactions!$A:$A,"&gt;="&amp;IF(I45="",0,I45)))</f>
        <v/>
      </c>
      <c r="K45" s="88" t="n"/>
      <c r="L45" s="86" t="n"/>
      <c r="M45" s="96">
        <f>IF(A45="","",IF(K45="",J45,K45+IF(L45="",0,SUMIFS(Transactions!$E:$E,Transactions!$B:$B,A45,Transactions!$A:$A,"&gt;"&amp;L45))))</f>
        <v/>
      </c>
      <c r="N45" s="97" t="n"/>
      <c r="O45" s="98" t="n"/>
      <c r="P45" s="88" t="n"/>
      <c r="Q45" s="93" t="n"/>
      <c r="R45" s="87" t="n"/>
      <c r="S45" s="99">
        <f>IF(OR(A45="",T45=0),"",SUMPRODUCT(MAX((Transactions!$B$6:$B$50005=A45)*Transactions!$A$6:$A$50005)))</f>
        <v/>
      </c>
      <c r="T45" s="100">
        <f>IF(A45="","",COUNTIFS(Transactions!$B:$B,A45))</f>
        <v/>
      </c>
      <c r="U45" s="93" t="n"/>
      <c r="V45">
        <f>IF(A45="","",COUNTIF($A$6:A45,"?*"))</f>
        <v/>
      </c>
    </row>
    <row r="46">
      <c r="A46" s="87" t="n"/>
      <c r="B46" s="87" t="n"/>
      <c r="C46" s="93" t="n"/>
      <c r="D46" s="87" t="n"/>
      <c r="E46" s="89">
        <f>IF(C46="","",IFERROR(INDEX(Lists!$B$5:$B$22,MATCH(C46,Lists!$A$5:$A$22,0)),"Asset"))</f>
        <v/>
      </c>
      <c r="F46" s="89">
        <f>IF(C46="","",IFERROR(INDEX(Lists!$C$5:$C$22,MATCH(C46,Lists!$A$5:$A$22,0)),"Other Assets"))</f>
        <v/>
      </c>
      <c r="G46" s="94" t="n"/>
      <c r="H46" s="88" t="n"/>
      <c r="I46" s="86" t="n"/>
      <c r="J46" s="95">
        <f>IF(A46="","",N(H46)+SUMIFS(Transactions!$E:$E,Transactions!$B:$B,A46,Transactions!$A:$A,"&gt;="&amp;IF(I46="",0,I46)))</f>
        <v/>
      </c>
      <c r="K46" s="88" t="n"/>
      <c r="L46" s="86" t="n"/>
      <c r="M46" s="96">
        <f>IF(A46="","",IF(K46="",J46,K46+IF(L46="",0,SUMIFS(Transactions!$E:$E,Transactions!$B:$B,A46,Transactions!$A:$A,"&gt;"&amp;L46))))</f>
        <v/>
      </c>
      <c r="N46" s="97" t="n"/>
      <c r="O46" s="98" t="n"/>
      <c r="P46" s="88" t="n"/>
      <c r="Q46" s="93" t="n"/>
      <c r="R46" s="87" t="n"/>
      <c r="S46" s="99">
        <f>IF(OR(A46="",T46=0),"",SUMPRODUCT(MAX((Transactions!$B$6:$B$50005=A46)*Transactions!$A$6:$A$50005)))</f>
        <v/>
      </c>
      <c r="T46" s="100">
        <f>IF(A46="","",COUNTIFS(Transactions!$B:$B,A46))</f>
        <v/>
      </c>
      <c r="U46" s="93" t="n"/>
      <c r="V46">
        <f>IF(A46="","",COUNTIF($A$6:A46,"?*"))</f>
        <v/>
      </c>
    </row>
    <row r="47">
      <c r="A47" s="87" t="n"/>
      <c r="B47" s="87" t="n"/>
      <c r="C47" s="93" t="n"/>
      <c r="D47" s="87" t="n"/>
      <c r="E47" s="89">
        <f>IF(C47="","",IFERROR(INDEX(Lists!$B$5:$B$22,MATCH(C47,Lists!$A$5:$A$22,0)),"Asset"))</f>
        <v/>
      </c>
      <c r="F47" s="89">
        <f>IF(C47="","",IFERROR(INDEX(Lists!$C$5:$C$22,MATCH(C47,Lists!$A$5:$A$22,0)),"Other Assets"))</f>
        <v/>
      </c>
      <c r="G47" s="94" t="n"/>
      <c r="H47" s="88" t="n"/>
      <c r="I47" s="86" t="n"/>
      <c r="J47" s="95">
        <f>IF(A47="","",N(H47)+SUMIFS(Transactions!$E:$E,Transactions!$B:$B,A47,Transactions!$A:$A,"&gt;="&amp;IF(I47="",0,I47)))</f>
        <v/>
      </c>
      <c r="K47" s="88" t="n"/>
      <c r="L47" s="86" t="n"/>
      <c r="M47" s="96">
        <f>IF(A47="","",IF(K47="",J47,K47+IF(L47="",0,SUMIFS(Transactions!$E:$E,Transactions!$B:$B,A47,Transactions!$A:$A,"&gt;"&amp;L47))))</f>
        <v/>
      </c>
      <c r="N47" s="97" t="n"/>
      <c r="O47" s="98" t="n"/>
      <c r="P47" s="88" t="n"/>
      <c r="Q47" s="93" t="n"/>
      <c r="R47" s="87" t="n"/>
      <c r="S47" s="99">
        <f>IF(OR(A47="",T47=0),"",SUMPRODUCT(MAX((Transactions!$B$6:$B$50005=A47)*Transactions!$A$6:$A$50005)))</f>
        <v/>
      </c>
      <c r="T47" s="100">
        <f>IF(A47="","",COUNTIFS(Transactions!$B:$B,A47))</f>
        <v/>
      </c>
      <c r="U47" s="93" t="n"/>
      <c r="V47">
        <f>IF(A47="","",COUNTIF($A$6:A47,"?*"))</f>
        <v/>
      </c>
    </row>
    <row r="48">
      <c r="A48" s="87" t="n"/>
      <c r="B48" s="87" t="n"/>
      <c r="C48" s="93" t="n"/>
      <c r="D48" s="87" t="n"/>
      <c r="E48" s="89">
        <f>IF(C48="","",IFERROR(INDEX(Lists!$B$5:$B$22,MATCH(C48,Lists!$A$5:$A$22,0)),"Asset"))</f>
        <v/>
      </c>
      <c r="F48" s="89">
        <f>IF(C48="","",IFERROR(INDEX(Lists!$C$5:$C$22,MATCH(C48,Lists!$A$5:$A$22,0)),"Other Assets"))</f>
        <v/>
      </c>
      <c r="G48" s="94" t="n"/>
      <c r="H48" s="88" t="n"/>
      <c r="I48" s="86" t="n"/>
      <c r="J48" s="95">
        <f>IF(A48="","",N(H48)+SUMIFS(Transactions!$E:$E,Transactions!$B:$B,A48,Transactions!$A:$A,"&gt;="&amp;IF(I48="",0,I48)))</f>
        <v/>
      </c>
      <c r="K48" s="88" t="n"/>
      <c r="L48" s="86" t="n"/>
      <c r="M48" s="96">
        <f>IF(A48="","",IF(K48="",J48,K48+IF(L48="",0,SUMIFS(Transactions!$E:$E,Transactions!$B:$B,A48,Transactions!$A:$A,"&gt;"&amp;L48))))</f>
        <v/>
      </c>
      <c r="N48" s="97" t="n"/>
      <c r="O48" s="98" t="n"/>
      <c r="P48" s="88" t="n"/>
      <c r="Q48" s="93" t="n"/>
      <c r="R48" s="87" t="n"/>
      <c r="S48" s="99">
        <f>IF(OR(A48="",T48=0),"",SUMPRODUCT(MAX((Transactions!$B$6:$B$50005=A48)*Transactions!$A$6:$A$50005)))</f>
        <v/>
      </c>
      <c r="T48" s="100">
        <f>IF(A48="","",COUNTIFS(Transactions!$B:$B,A48))</f>
        <v/>
      </c>
      <c r="U48" s="93" t="n"/>
      <c r="V48">
        <f>IF(A48="","",COUNTIF($A$6:A48,"?*"))</f>
        <v/>
      </c>
    </row>
    <row r="49">
      <c r="A49" s="87" t="n"/>
      <c r="B49" s="87" t="n"/>
      <c r="C49" s="93" t="n"/>
      <c r="D49" s="87" t="n"/>
      <c r="E49" s="89">
        <f>IF(C49="","",IFERROR(INDEX(Lists!$B$5:$B$22,MATCH(C49,Lists!$A$5:$A$22,0)),"Asset"))</f>
        <v/>
      </c>
      <c r="F49" s="89">
        <f>IF(C49="","",IFERROR(INDEX(Lists!$C$5:$C$22,MATCH(C49,Lists!$A$5:$A$22,0)),"Other Assets"))</f>
        <v/>
      </c>
      <c r="G49" s="94" t="n"/>
      <c r="H49" s="88" t="n"/>
      <c r="I49" s="86" t="n"/>
      <c r="J49" s="95">
        <f>IF(A49="","",N(H49)+SUMIFS(Transactions!$E:$E,Transactions!$B:$B,A49,Transactions!$A:$A,"&gt;="&amp;IF(I49="",0,I49)))</f>
        <v/>
      </c>
      <c r="K49" s="88" t="n"/>
      <c r="L49" s="86" t="n"/>
      <c r="M49" s="96">
        <f>IF(A49="","",IF(K49="",J49,K49+IF(L49="",0,SUMIFS(Transactions!$E:$E,Transactions!$B:$B,A49,Transactions!$A:$A,"&gt;"&amp;L49))))</f>
        <v/>
      </c>
      <c r="N49" s="97" t="n"/>
      <c r="O49" s="98" t="n"/>
      <c r="P49" s="88" t="n"/>
      <c r="Q49" s="93" t="n"/>
      <c r="R49" s="87" t="n"/>
      <c r="S49" s="99">
        <f>IF(OR(A49="",T49=0),"",SUMPRODUCT(MAX((Transactions!$B$6:$B$50005=A49)*Transactions!$A$6:$A$50005)))</f>
        <v/>
      </c>
      <c r="T49" s="100">
        <f>IF(A49="","",COUNTIFS(Transactions!$B:$B,A49))</f>
        <v/>
      </c>
      <c r="U49" s="93" t="n"/>
      <c r="V49">
        <f>IF(A49="","",COUNTIF($A$6:A49,"?*"))</f>
        <v/>
      </c>
    </row>
    <row r="50">
      <c r="A50" s="87" t="n"/>
      <c r="B50" s="87" t="n"/>
      <c r="C50" s="93" t="n"/>
      <c r="D50" s="87" t="n"/>
      <c r="E50" s="89">
        <f>IF(C50="","",IFERROR(INDEX(Lists!$B$5:$B$22,MATCH(C50,Lists!$A$5:$A$22,0)),"Asset"))</f>
        <v/>
      </c>
      <c r="F50" s="89">
        <f>IF(C50="","",IFERROR(INDEX(Lists!$C$5:$C$22,MATCH(C50,Lists!$A$5:$A$22,0)),"Other Assets"))</f>
        <v/>
      </c>
      <c r="G50" s="94" t="n"/>
      <c r="H50" s="88" t="n"/>
      <c r="I50" s="86" t="n"/>
      <c r="J50" s="95">
        <f>IF(A50="","",N(H50)+SUMIFS(Transactions!$E:$E,Transactions!$B:$B,A50,Transactions!$A:$A,"&gt;="&amp;IF(I50="",0,I50)))</f>
        <v/>
      </c>
      <c r="K50" s="88" t="n"/>
      <c r="L50" s="86" t="n"/>
      <c r="M50" s="96">
        <f>IF(A50="","",IF(K50="",J50,K50+IF(L50="",0,SUMIFS(Transactions!$E:$E,Transactions!$B:$B,A50,Transactions!$A:$A,"&gt;"&amp;L50))))</f>
        <v/>
      </c>
      <c r="N50" s="97" t="n"/>
      <c r="O50" s="98" t="n"/>
      <c r="P50" s="88" t="n"/>
      <c r="Q50" s="93" t="n"/>
      <c r="R50" s="87" t="n"/>
      <c r="S50" s="99">
        <f>IF(OR(A50="",T50=0),"",SUMPRODUCT(MAX((Transactions!$B$6:$B$50005=A50)*Transactions!$A$6:$A$50005)))</f>
        <v/>
      </c>
      <c r="T50" s="100">
        <f>IF(A50="","",COUNTIFS(Transactions!$B:$B,A50))</f>
        <v/>
      </c>
      <c r="U50" s="93" t="n"/>
      <c r="V50">
        <f>IF(A50="","",COUNTIF($A$6:A50,"?*"))</f>
        <v/>
      </c>
    </row>
    <row r="51">
      <c r="A51" s="87" t="n"/>
      <c r="B51" s="87" t="n"/>
      <c r="C51" s="93" t="n"/>
      <c r="D51" s="87" t="n"/>
      <c r="E51" s="89">
        <f>IF(C51="","",IFERROR(INDEX(Lists!$B$5:$B$22,MATCH(C51,Lists!$A$5:$A$22,0)),"Asset"))</f>
        <v/>
      </c>
      <c r="F51" s="89">
        <f>IF(C51="","",IFERROR(INDEX(Lists!$C$5:$C$22,MATCH(C51,Lists!$A$5:$A$22,0)),"Other Assets"))</f>
        <v/>
      </c>
      <c r="G51" s="94" t="n"/>
      <c r="H51" s="88" t="n"/>
      <c r="I51" s="86" t="n"/>
      <c r="J51" s="95">
        <f>IF(A51="","",N(H51)+SUMIFS(Transactions!$E:$E,Transactions!$B:$B,A51,Transactions!$A:$A,"&gt;="&amp;IF(I51="",0,I51)))</f>
        <v/>
      </c>
      <c r="K51" s="88" t="n"/>
      <c r="L51" s="86" t="n"/>
      <c r="M51" s="96">
        <f>IF(A51="","",IF(K51="",J51,K51+IF(L51="",0,SUMIFS(Transactions!$E:$E,Transactions!$B:$B,A51,Transactions!$A:$A,"&gt;"&amp;L51))))</f>
        <v/>
      </c>
      <c r="N51" s="97" t="n"/>
      <c r="O51" s="98" t="n"/>
      <c r="P51" s="88" t="n"/>
      <c r="Q51" s="93" t="n"/>
      <c r="R51" s="87" t="n"/>
      <c r="S51" s="99">
        <f>IF(OR(A51="",T51=0),"",SUMPRODUCT(MAX((Transactions!$B$6:$B$50005=A51)*Transactions!$A$6:$A$50005)))</f>
        <v/>
      </c>
      <c r="T51" s="100">
        <f>IF(A51="","",COUNTIFS(Transactions!$B:$B,A51))</f>
        <v/>
      </c>
      <c r="U51" s="93" t="n"/>
      <c r="V51">
        <f>IF(A51="","",COUNTIF($A$6:A51,"?*"))</f>
        <v/>
      </c>
    </row>
    <row r="52">
      <c r="A52" s="87" t="n"/>
      <c r="B52" s="87" t="n"/>
      <c r="C52" s="93" t="n"/>
      <c r="D52" s="87" t="n"/>
      <c r="E52" s="89">
        <f>IF(C52="","",IFERROR(INDEX(Lists!$B$5:$B$22,MATCH(C52,Lists!$A$5:$A$22,0)),"Asset"))</f>
        <v/>
      </c>
      <c r="F52" s="89">
        <f>IF(C52="","",IFERROR(INDEX(Lists!$C$5:$C$22,MATCH(C52,Lists!$A$5:$A$22,0)),"Other Assets"))</f>
        <v/>
      </c>
      <c r="G52" s="94" t="n"/>
      <c r="H52" s="88" t="n"/>
      <c r="I52" s="86" t="n"/>
      <c r="J52" s="95">
        <f>IF(A52="","",N(H52)+SUMIFS(Transactions!$E:$E,Transactions!$B:$B,A52,Transactions!$A:$A,"&gt;="&amp;IF(I52="",0,I52)))</f>
        <v/>
      </c>
      <c r="K52" s="88" t="n"/>
      <c r="L52" s="86" t="n"/>
      <c r="M52" s="96">
        <f>IF(A52="","",IF(K52="",J52,K52+IF(L52="",0,SUMIFS(Transactions!$E:$E,Transactions!$B:$B,A52,Transactions!$A:$A,"&gt;"&amp;L52))))</f>
        <v/>
      </c>
      <c r="N52" s="97" t="n"/>
      <c r="O52" s="98" t="n"/>
      <c r="P52" s="88" t="n"/>
      <c r="Q52" s="93" t="n"/>
      <c r="R52" s="87" t="n"/>
      <c r="S52" s="99">
        <f>IF(OR(A52="",T52=0),"",SUMPRODUCT(MAX((Transactions!$B$6:$B$50005=A52)*Transactions!$A$6:$A$50005)))</f>
        <v/>
      </c>
      <c r="T52" s="100">
        <f>IF(A52="","",COUNTIFS(Transactions!$B:$B,A52))</f>
        <v/>
      </c>
      <c r="U52" s="93" t="n"/>
      <c r="V52">
        <f>IF(A52="","",COUNTIF($A$6:A52,"?*"))</f>
        <v/>
      </c>
    </row>
    <row r="53">
      <c r="A53" s="87" t="n"/>
      <c r="B53" s="87" t="n"/>
      <c r="C53" s="93" t="n"/>
      <c r="D53" s="87" t="n"/>
      <c r="E53" s="89">
        <f>IF(C53="","",IFERROR(INDEX(Lists!$B$5:$B$22,MATCH(C53,Lists!$A$5:$A$22,0)),"Asset"))</f>
        <v/>
      </c>
      <c r="F53" s="89">
        <f>IF(C53="","",IFERROR(INDEX(Lists!$C$5:$C$22,MATCH(C53,Lists!$A$5:$A$22,0)),"Other Assets"))</f>
        <v/>
      </c>
      <c r="G53" s="94" t="n"/>
      <c r="H53" s="88" t="n"/>
      <c r="I53" s="86" t="n"/>
      <c r="J53" s="95">
        <f>IF(A53="","",N(H53)+SUMIFS(Transactions!$E:$E,Transactions!$B:$B,A53,Transactions!$A:$A,"&gt;="&amp;IF(I53="",0,I53)))</f>
        <v/>
      </c>
      <c r="K53" s="88" t="n"/>
      <c r="L53" s="86" t="n"/>
      <c r="M53" s="96">
        <f>IF(A53="","",IF(K53="",J53,K53+IF(L53="",0,SUMIFS(Transactions!$E:$E,Transactions!$B:$B,A53,Transactions!$A:$A,"&gt;"&amp;L53))))</f>
        <v/>
      </c>
      <c r="N53" s="97" t="n"/>
      <c r="O53" s="98" t="n"/>
      <c r="P53" s="88" t="n"/>
      <c r="Q53" s="93" t="n"/>
      <c r="R53" s="87" t="n"/>
      <c r="S53" s="99">
        <f>IF(OR(A53="",T53=0),"",SUMPRODUCT(MAX((Transactions!$B$6:$B$50005=A53)*Transactions!$A$6:$A$50005)))</f>
        <v/>
      </c>
      <c r="T53" s="100">
        <f>IF(A53="","",COUNTIFS(Transactions!$B:$B,A53))</f>
        <v/>
      </c>
      <c r="U53" s="93" t="n"/>
      <c r="V53">
        <f>IF(A53="","",COUNTIF($A$6:A53,"?*"))</f>
        <v/>
      </c>
    </row>
    <row r="54">
      <c r="A54" s="87" t="n"/>
      <c r="B54" s="87" t="n"/>
      <c r="C54" s="93" t="n"/>
      <c r="D54" s="87" t="n"/>
      <c r="E54" s="89">
        <f>IF(C54="","",IFERROR(INDEX(Lists!$B$5:$B$22,MATCH(C54,Lists!$A$5:$A$22,0)),"Asset"))</f>
        <v/>
      </c>
      <c r="F54" s="89">
        <f>IF(C54="","",IFERROR(INDEX(Lists!$C$5:$C$22,MATCH(C54,Lists!$A$5:$A$22,0)),"Other Assets"))</f>
        <v/>
      </c>
      <c r="G54" s="94" t="n"/>
      <c r="H54" s="88" t="n"/>
      <c r="I54" s="86" t="n"/>
      <c r="J54" s="95">
        <f>IF(A54="","",N(H54)+SUMIFS(Transactions!$E:$E,Transactions!$B:$B,A54,Transactions!$A:$A,"&gt;="&amp;IF(I54="",0,I54)))</f>
        <v/>
      </c>
      <c r="K54" s="88" t="n"/>
      <c r="L54" s="86" t="n"/>
      <c r="M54" s="96">
        <f>IF(A54="","",IF(K54="",J54,K54+IF(L54="",0,SUMIFS(Transactions!$E:$E,Transactions!$B:$B,A54,Transactions!$A:$A,"&gt;"&amp;L54))))</f>
        <v/>
      </c>
      <c r="N54" s="97" t="n"/>
      <c r="O54" s="98" t="n"/>
      <c r="P54" s="88" t="n"/>
      <c r="Q54" s="93" t="n"/>
      <c r="R54" s="87" t="n"/>
      <c r="S54" s="99">
        <f>IF(OR(A54="",T54=0),"",SUMPRODUCT(MAX((Transactions!$B$6:$B$50005=A54)*Transactions!$A$6:$A$50005)))</f>
        <v/>
      </c>
      <c r="T54" s="100">
        <f>IF(A54="","",COUNTIFS(Transactions!$B:$B,A54))</f>
        <v/>
      </c>
      <c r="U54" s="93" t="n"/>
      <c r="V54">
        <f>IF(A54="","",COUNTIF($A$6:A54,"?*"))</f>
        <v/>
      </c>
    </row>
    <row r="55">
      <c r="A55" s="87" t="n"/>
      <c r="B55" s="87" t="n"/>
      <c r="C55" s="93" t="n"/>
      <c r="D55" s="87" t="n"/>
      <c r="E55" s="89">
        <f>IF(C55="","",IFERROR(INDEX(Lists!$B$5:$B$22,MATCH(C55,Lists!$A$5:$A$22,0)),"Asset"))</f>
        <v/>
      </c>
      <c r="F55" s="89">
        <f>IF(C55="","",IFERROR(INDEX(Lists!$C$5:$C$22,MATCH(C55,Lists!$A$5:$A$22,0)),"Other Assets"))</f>
        <v/>
      </c>
      <c r="G55" s="94" t="n"/>
      <c r="H55" s="88" t="n"/>
      <c r="I55" s="86" t="n"/>
      <c r="J55" s="95">
        <f>IF(A55="","",N(H55)+SUMIFS(Transactions!$E:$E,Transactions!$B:$B,A55,Transactions!$A:$A,"&gt;="&amp;IF(I55="",0,I55)))</f>
        <v/>
      </c>
      <c r="K55" s="88" t="n"/>
      <c r="L55" s="86" t="n"/>
      <c r="M55" s="96">
        <f>IF(A55="","",IF(K55="",J55,K55+IF(L55="",0,SUMIFS(Transactions!$E:$E,Transactions!$B:$B,A55,Transactions!$A:$A,"&gt;"&amp;L55))))</f>
        <v/>
      </c>
      <c r="N55" s="97" t="n"/>
      <c r="O55" s="98" t="n"/>
      <c r="P55" s="88" t="n"/>
      <c r="Q55" s="93" t="n"/>
      <c r="R55" s="87" t="n"/>
      <c r="S55" s="99">
        <f>IF(OR(A55="",T55=0),"",SUMPRODUCT(MAX((Transactions!$B$6:$B$50005=A55)*Transactions!$A$6:$A$50005)))</f>
        <v/>
      </c>
      <c r="T55" s="100">
        <f>IF(A55="","",COUNTIFS(Transactions!$B:$B,A55))</f>
        <v/>
      </c>
      <c r="U55" s="93" t="n"/>
      <c r="V55">
        <f>IF(A55="","",COUNTIF($A$6:A55,"?*"))</f>
        <v/>
      </c>
    </row>
    <row r="56">
      <c r="A56" s="87" t="n"/>
      <c r="B56" s="87" t="n"/>
      <c r="C56" s="93" t="n"/>
      <c r="D56" s="87" t="n"/>
      <c r="E56" s="89">
        <f>IF(C56="","",IFERROR(INDEX(Lists!$B$5:$B$22,MATCH(C56,Lists!$A$5:$A$22,0)),"Asset"))</f>
        <v/>
      </c>
      <c r="F56" s="89">
        <f>IF(C56="","",IFERROR(INDEX(Lists!$C$5:$C$22,MATCH(C56,Lists!$A$5:$A$22,0)),"Other Assets"))</f>
        <v/>
      </c>
      <c r="G56" s="94" t="n"/>
      <c r="H56" s="88" t="n"/>
      <c r="I56" s="86" t="n"/>
      <c r="J56" s="95">
        <f>IF(A56="","",N(H56)+SUMIFS(Transactions!$E:$E,Transactions!$B:$B,A56,Transactions!$A:$A,"&gt;="&amp;IF(I56="",0,I56)))</f>
        <v/>
      </c>
      <c r="K56" s="88" t="n"/>
      <c r="L56" s="86" t="n"/>
      <c r="M56" s="96">
        <f>IF(A56="","",IF(K56="",J56,K56+IF(L56="",0,SUMIFS(Transactions!$E:$E,Transactions!$B:$B,A56,Transactions!$A:$A,"&gt;"&amp;L56))))</f>
        <v/>
      </c>
      <c r="N56" s="97" t="n"/>
      <c r="O56" s="98" t="n"/>
      <c r="P56" s="88" t="n"/>
      <c r="Q56" s="93" t="n"/>
      <c r="R56" s="87" t="n"/>
      <c r="S56" s="99">
        <f>IF(OR(A56="",T56=0),"",SUMPRODUCT(MAX((Transactions!$B$6:$B$50005=A56)*Transactions!$A$6:$A$50005)))</f>
        <v/>
      </c>
      <c r="T56" s="100">
        <f>IF(A56="","",COUNTIFS(Transactions!$B:$B,A56))</f>
        <v/>
      </c>
      <c r="U56" s="93" t="n"/>
      <c r="V56">
        <f>IF(A56="","",COUNTIF($A$6:A56,"?*"))</f>
        <v/>
      </c>
    </row>
    <row r="57">
      <c r="A57" s="87" t="n"/>
      <c r="B57" s="87" t="n"/>
      <c r="C57" s="93" t="n"/>
      <c r="D57" s="87" t="n"/>
      <c r="E57" s="89">
        <f>IF(C57="","",IFERROR(INDEX(Lists!$B$5:$B$22,MATCH(C57,Lists!$A$5:$A$22,0)),"Asset"))</f>
        <v/>
      </c>
      <c r="F57" s="89">
        <f>IF(C57="","",IFERROR(INDEX(Lists!$C$5:$C$22,MATCH(C57,Lists!$A$5:$A$22,0)),"Other Assets"))</f>
        <v/>
      </c>
      <c r="G57" s="94" t="n"/>
      <c r="H57" s="88" t="n"/>
      <c r="I57" s="86" t="n"/>
      <c r="J57" s="95">
        <f>IF(A57="","",N(H57)+SUMIFS(Transactions!$E:$E,Transactions!$B:$B,A57,Transactions!$A:$A,"&gt;="&amp;IF(I57="",0,I57)))</f>
        <v/>
      </c>
      <c r="K57" s="88" t="n"/>
      <c r="L57" s="86" t="n"/>
      <c r="M57" s="96">
        <f>IF(A57="","",IF(K57="",J57,K57+IF(L57="",0,SUMIFS(Transactions!$E:$E,Transactions!$B:$B,A57,Transactions!$A:$A,"&gt;"&amp;L57))))</f>
        <v/>
      </c>
      <c r="N57" s="97" t="n"/>
      <c r="O57" s="98" t="n"/>
      <c r="P57" s="88" t="n"/>
      <c r="Q57" s="93" t="n"/>
      <c r="R57" s="87" t="n"/>
      <c r="S57" s="99">
        <f>IF(OR(A57="",T57=0),"",SUMPRODUCT(MAX((Transactions!$B$6:$B$50005=A57)*Transactions!$A$6:$A$50005)))</f>
        <v/>
      </c>
      <c r="T57" s="100">
        <f>IF(A57="","",COUNTIFS(Transactions!$B:$B,A57))</f>
        <v/>
      </c>
      <c r="U57" s="93" t="n"/>
      <c r="V57">
        <f>IF(A57="","",COUNTIF($A$6:A57,"?*"))</f>
        <v/>
      </c>
    </row>
    <row r="58">
      <c r="A58" s="87" t="n"/>
      <c r="B58" s="87" t="n"/>
      <c r="C58" s="93" t="n"/>
      <c r="D58" s="87" t="n"/>
      <c r="E58" s="89">
        <f>IF(C58="","",IFERROR(INDEX(Lists!$B$5:$B$22,MATCH(C58,Lists!$A$5:$A$22,0)),"Asset"))</f>
        <v/>
      </c>
      <c r="F58" s="89">
        <f>IF(C58="","",IFERROR(INDEX(Lists!$C$5:$C$22,MATCH(C58,Lists!$A$5:$A$22,0)),"Other Assets"))</f>
        <v/>
      </c>
      <c r="G58" s="94" t="n"/>
      <c r="H58" s="88" t="n"/>
      <c r="I58" s="86" t="n"/>
      <c r="J58" s="95">
        <f>IF(A58="","",N(H58)+SUMIFS(Transactions!$E:$E,Transactions!$B:$B,A58,Transactions!$A:$A,"&gt;="&amp;IF(I58="",0,I58)))</f>
        <v/>
      </c>
      <c r="K58" s="88" t="n"/>
      <c r="L58" s="86" t="n"/>
      <c r="M58" s="96">
        <f>IF(A58="","",IF(K58="",J58,K58+IF(L58="",0,SUMIFS(Transactions!$E:$E,Transactions!$B:$B,A58,Transactions!$A:$A,"&gt;"&amp;L58))))</f>
        <v/>
      </c>
      <c r="N58" s="97" t="n"/>
      <c r="O58" s="98" t="n"/>
      <c r="P58" s="88" t="n"/>
      <c r="Q58" s="93" t="n"/>
      <c r="R58" s="87" t="n"/>
      <c r="S58" s="99">
        <f>IF(OR(A58="",T58=0),"",SUMPRODUCT(MAX((Transactions!$B$6:$B$50005=A58)*Transactions!$A$6:$A$50005)))</f>
        <v/>
      </c>
      <c r="T58" s="100">
        <f>IF(A58="","",COUNTIFS(Transactions!$B:$B,A58))</f>
        <v/>
      </c>
      <c r="U58" s="93" t="n"/>
      <c r="V58">
        <f>IF(A58="","",COUNTIF($A$6:A58,"?*"))</f>
        <v/>
      </c>
    </row>
    <row r="59">
      <c r="A59" s="87" t="n"/>
      <c r="B59" s="87" t="n"/>
      <c r="C59" s="93" t="n"/>
      <c r="D59" s="87" t="n"/>
      <c r="E59" s="89">
        <f>IF(C59="","",IFERROR(INDEX(Lists!$B$5:$B$22,MATCH(C59,Lists!$A$5:$A$22,0)),"Asset"))</f>
        <v/>
      </c>
      <c r="F59" s="89">
        <f>IF(C59="","",IFERROR(INDEX(Lists!$C$5:$C$22,MATCH(C59,Lists!$A$5:$A$22,0)),"Other Assets"))</f>
        <v/>
      </c>
      <c r="G59" s="94" t="n"/>
      <c r="H59" s="88" t="n"/>
      <c r="I59" s="86" t="n"/>
      <c r="J59" s="95">
        <f>IF(A59="","",N(H59)+SUMIFS(Transactions!$E:$E,Transactions!$B:$B,A59,Transactions!$A:$A,"&gt;="&amp;IF(I59="",0,I59)))</f>
        <v/>
      </c>
      <c r="K59" s="88" t="n"/>
      <c r="L59" s="86" t="n"/>
      <c r="M59" s="96">
        <f>IF(A59="","",IF(K59="",J59,K59+IF(L59="",0,SUMIFS(Transactions!$E:$E,Transactions!$B:$B,A59,Transactions!$A:$A,"&gt;"&amp;L59))))</f>
        <v/>
      </c>
      <c r="N59" s="97" t="n"/>
      <c r="O59" s="98" t="n"/>
      <c r="P59" s="88" t="n"/>
      <c r="Q59" s="93" t="n"/>
      <c r="R59" s="87" t="n"/>
      <c r="S59" s="99">
        <f>IF(OR(A59="",T59=0),"",SUMPRODUCT(MAX((Transactions!$B$6:$B$50005=A59)*Transactions!$A$6:$A$50005)))</f>
        <v/>
      </c>
      <c r="T59" s="100">
        <f>IF(A59="","",COUNTIFS(Transactions!$B:$B,A59))</f>
        <v/>
      </c>
      <c r="U59" s="93" t="n"/>
      <c r="V59">
        <f>IF(A59="","",COUNTIF($A$6:A59,"?*"))</f>
        <v/>
      </c>
    </row>
    <row r="60">
      <c r="A60" s="87" t="n"/>
      <c r="B60" s="87" t="n"/>
      <c r="C60" s="93" t="n"/>
      <c r="D60" s="87" t="n"/>
      <c r="E60" s="89">
        <f>IF(C60="","",IFERROR(INDEX(Lists!$B$5:$B$22,MATCH(C60,Lists!$A$5:$A$22,0)),"Asset"))</f>
        <v/>
      </c>
      <c r="F60" s="89">
        <f>IF(C60="","",IFERROR(INDEX(Lists!$C$5:$C$22,MATCH(C60,Lists!$A$5:$A$22,0)),"Other Assets"))</f>
        <v/>
      </c>
      <c r="G60" s="94" t="n"/>
      <c r="H60" s="88" t="n"/>
      <c r="I60" s="86" t="n"/>
      <c r="J60" s="95">
        <f>IF(A60="","",N(H60)+SUMIFS(Transactions!$E:$E,Transactions!$B:$B,A60,Transactions!$A:$A,"&gt;="&amp;IF(I60="",0,I60)))</f>
        <v/>
      </c>
      <c r="K60" s="88" t="n"/>
      <c r="L60" s="86" t="n"/>
      <c r="M60" s="96">
        <f>IF(A60="","",IF(K60="",J60,K60+IF(L60="",0,SUMIFS(Transactions!$E:$E,Transactions!$B:$B,A60,Transactions!$A:$A,"&gt;"&amp;L60))))</f>
        <v/>
      </c>
      <c r="N60" s="97" t="n"/>
      <c r="O60" s="98" t="n"/>
      <c r="P60" s="88" t="n"/>
      <c r="Q60" s="93" t="n"/>
      <c r="R60" s="87" t="n"/>
      <c r="S60" s="99">
        <f>IF(OR(A60="",T60=0),"",SUMPRODUCT(MAX((Transactions!$B$6:$B$50005=A60)*Transactions!$A$6:$A$50005)))</f>
        <v/>
      </c>
      <c r="T60" s="100">
        <f>IF(A60="","",COUNTIFS(Transactions!$B:$B,A60))</f>
        <v/>
      </c>
      <c r="U60" s="93" t="n"/>
      <c r="V60">
        <f>IF(A60="","",COUNTIF($A$6:A60,"?*"))</f>
        <v/>
      </c>
    </row>
    <row r="61">
      <c r="A61" s="87" t="n"/>
      <c r="B61" s="87" t="n"/>
      <c r="C61" s="93" t="n"/>
      <c r="D61" s="87" t="n"/>
      <c r="E61" s="89">
        <f>IF(C61="","",IFERROR(INDEX(Lists!$B$5:$B$22,MATCH(C61,Lists!$A$5:$A$22,0)),"Asset"))</f>
        <v/>
      </c>
      <c r="F61" s="89">
        <f>IF(C61="","",IFERROR(INDEX(Lists!$C$5:$C$22,MATCH(C61,Lists!$A$5:$A$22,0)),"Other Assets"))</f>
        <v/>
      </c>
      <c r="G61" s="94" t="n"/>
      <c r="H61" s="88" t="n"/>
      <c r="I61" s="86" t="n"/>
      <c r="J61" s="95">
        <f>IF(A61="","",N(H61)+SUMIFS(Transactions!$E:$E,Transactions!$B:$B,A61,Transactions!$A:$A,"&gt;="&amp;IF(I61="",0,I61)))</f>
        <v/>
      </c>
      <c r="K61" s="88" t="n"/>
      <c r="L61" s="86" t="n"/>
      <c r="M61" s="96">
        <f>IF(A61="","",IF(K61="",J61,K61+IF(L61="",0,SUMIFS(Transactions!$E:$E,Transactions!$B:$B,A61,Transactions!$A:$A,"&gt;"&amp;L61))))</f>
        <v/>
      </c>
      <c r="N61" s="97" t="n"/>
      <c r="O61" s="98" t="n"/>
      <c r="P61" s="88" t="n"/>
      <c r="Q61" s="93" t="n"/>
      <c r="R61" s="87" t="n"/>
      <c r="S61" s="99">
        <f>IF(OR(A61="",T61=0),"",SUMPRODUCT(MAX((Transactions!$B$6:$B$50005=A61)*Transactions!$A$6:$A$50005)))</f>
        <v/>
      </c>
      <c r="T61" s="100">
        <f>IF(A61="","",COUNTIFS(Transactions!$B:$B,A61))</f>
        <v/>
      </c>
      <c r="U61" s="93" t="n"/>
      <c r="V61">
        <f>IF(A61="","",COUNTIF($A$6:A61,"?*"))</f>
        <v/>
      </c>
    </row>
    <row r="62">
      <c r="A62" s="87" t="n"/>
      <c r="B62" s="87" t="n"/>
      <c r="C62" s="93" t="n"/>
      <c r="D62" s="87" t="n"/>
      <c r="E62" s="89">
        <f>IF(C62="","",IFERROR(INDEX(Lists!$B$5:$B$22,MATCH(C62,Lists!$A$5:$A$22,0)),"Asset"))</f>
        <v/>
      </c>
      <c r="F62" s="89">
        <f>IF(C62="","",IFERROR(INDEX(Lists!$C$5:$C$22,MATCH(C62,Lists!$A$5:$A$22,0)),"Other Assets"))</f>
        <v/>
      </c>
      <c r="G62" s="94" t="n"/>
      <c r="H62" s="88" t="n"/>
      <c r="I62" s="86" t="n"/>
      <c r="J62" s="95">
        <f>IF(A62="","",N(H62)+SUMIFS(Transactions!$E:$E,Transactions!$B:$B,A62,Transactions!$A:$A,"&gt;="&amp;IF(I62="",0,I62)))</f>
        <v/>
      </c>
      <c r="K62" s="88" t="n"/>
      <c r="L62" s="86" t="n"/>
      <c r="M62" s="96">
        <f>IF(A62="","",IF(K62="",J62,K62+IF(L62="",0,SUMIFS(Transactions!$E:$E,Transactions!$B:$B,A62,Transactions!$A:$A,"&gt;"&amp;L62))))</f>
        <v/>
      </c>
      <c r="N62" s="97" t="n"/>
      <c r="O62" s="98" t="n"/>
      <c r="P62" s="88" t="n"/>
      <c r="Q62" s="93" t="n"/>
      <c r="R62" s="87" t="n"/>
      <c r="S62" s="99">
        <f>IF(OR(A62="",T62=0),"",SUMPRODUCT(MAX((Transactions!$B$6:$B$50005=A62)*Transactions!$A$6:$A$50005)))</f>
        <v/>
      </c>
      <c r="T62" s="100">
        <f>IF(A62="","",COUNTIFS(Transactions!$B:$B,A62))</f>
        <v/>
      </c>
      <c r="U62" s="93" t="n"/>
      <c r="V62">
        <f>IF(A62="","",COUNTIF($A$6:A62,"?*"))</f>
        <v/>
      </c>
    </row>
    <row r="63">
      <c r="A63" s="87" t="n"/>
      <c r="B63" s="87" t="n"/>
      <c r="C63" s="93" t="n"/>
      <c r="D63" s="87" t="n"/>
      <c r="E63" s="89">
        <f>IF(C63="","",IFERROR(INDEX(Lists!$B$5:$B$22,MATCH(C63,Lists!$A$5:$A$22,0)),"Asset"))</f>
        <v/>
      </c>
      <c r="F63" s="89">
        <f>IF(C63="","",IFERROR(INDEX(Lists!$C$5:$C$22,MATCH(C63,Lists!$A$5:$A$22,0)),"Other Assets"))</f>
        <v/>
      </c>
      <c r="G63" s="94" t="n"/>
      <c r="H63" s="88" t="n"/>
      <c r="I63" s="86" t="n"/>
      <c r="J63" s="95">
        <f>IF(A63="","",N(H63)+SUMIFS(Transactions!$E:$E,Transactions!$B:$B,A63,Transactions!$A:$A,"&gt;="&amp;IF(I63="",0,I63)))</f>
        <v/>
      </c>
      <c r="K63" s="88" t="n"/>
      <c r="L63" s="86" t="n"/>
      <c r="M63" s="96">
        <f>IF(A63="","",IF(K63="",J63,K63+IF(L63="",0,SUMIFS(Transactions!$E:$E,Transactions!$B:$B,A63,Transactions!$A:$A,"&gt;"&amp;L63))))</f>
        <v/>
      </c>
      <c r="N63" s="97" t="n"/>
      <c r="O63" s="98" t="n"/>
      <c r="P63" s="88" t="n"/>
      <c r="Q63" s="93" t="n"/>
      <c r="R63" s="87" t="n"/>
      <c r="S63" s="99">
        <f>IF(OR(A63="",T63=0),"",SUMPRODUCT(MAX((Transactions!$B$6:$B$50005=A63)*Transactions!$A$6:$A$50005)))</f>
        <v/>
      </c>
      <c r="T63" s="100">
        <f>IF(A63="","",COUNTIFS(Transactions!$B:$B,A63))</f>
        <v/>
      </c>
      <c r="U63" s="93" t="n"/>
      <c r="V63">
        <f>IF(A63="","",COUNTIF($A$6:A63,"?*"))</f>
        <v/>
      </c>
    </row>
    <row r="64">
      <c r="A64" s="87" t="n"/>
      <c r="B64" s="87" t="n"/>
      <c r="C64" s="93" t="n"/>
      <c r="D64" s="87" t="n"/>
      <c r="E64" s="89">
        <f>IF(C64="","",IFERROR(INDEX(Lists!$B$5:$B$22,MATCH(C64,Lists!$A$5:$A$22,0)),"Asset"))</f>
        <v/>
      </c>
      <c r="F64" s="89">
        <f>IF(C64="","",IFERROR(INDEX(Lists!$C$5:$C$22,MATCH(C64,Lists!$A$5:$A$22,0)),"Other Assets"))</f>
        <v/>
      </c>
      <c r="G64" s="94" t="n"/>
      <c r="H64" s="88" t="n"/>
      <c r="I64" s="86" t="n"/>
      <c r="J64" s="95">
        <f>IF(A64="","",N(H64)+SUMIFS(Transactions!$E:$E,Transactions!$B:$B,A64,Transactions!$A:$A,"&gt;="&amp;IF(I64="",0,I64)))</f>
        <v/>
      </c>
      <c r="K64" s="88" t="n"/>
      <c r="L64" s="86" t="n"/>
      <c r="M64" s="96">
        <f>IF(A64="","",IF(K64="",J64,K64+IF(L64="",0,SUMIFS(Transactions!$E:$E,Transactions!$B:$B,A64,Transactions!$A:$A,"&gt;"&amp;L64))))</f>
        <v/>
      </c>
      <c r="N64" s="97" t="n"/>
      <c r="O64" s="98" t="n"/>
      <c r="P64" s="88" t="n"/>
      <c r="Q64" s="93" t="n"/>
      <c r="R64" s="87" t="n"/>
      <c r="S64" s="99">
        <f>IF(OR(A64="",T64=0),"",SUMPRODUCT(MAX((Transactions!$B$6:$B$50005=A64)*Transactions!$A$6:$A$50005)))</f>
        <v/>
      </c>
      <c r="T64" s="100">
        <f>IF(A64="","",COUNTIFS(Transactions!$B:$B,A64))</f>
        <v/>
      </c>
      <c r="U64" s="93" t="n"/>
      <c r="V64">
        <f>IF(A64="","",COUNTIF($A$6:A64,"?*"))</f>
        <v/>
      </c>
    </row>
    <row r="65">
      <c r="A65" s="87" t="n"/>
      <c r="B65" s="87" t="n"/>
      <c r="C65" s="93" t="n"/>
      <c r="D65" s="87" t="n"/>
      <c r="E65" s="89">
        <f>IF(C65="","",IFERROR(INDEX(Lists!$B$5:$B$22,MATCH(C65,Lists!$A$5:$A$22,0)),"Asset"))</f>
        <v/>
      </c>
      <c r="F65" s="89">
        <f>IF(C65="","",IFERROR(INDEX(Lists!$C$5:$C$22,MATCH(C65,Lists!$A$5:$A$22,0)),"Other Assets"))</f>
        <v/>
      </c>
      <c r="G65" s="94" t="n"/>
      <c r="H65" s="88" t="n"/>
      <c r="I65" s="86" t="n"/>
      <c r="J65" s="95">
        <f>IF(A65="","",N(H65)+SUMIFS(Transactions!$E:$E,Transactions!$B:$B,A65,Transactions!$A:$A,"&gt;="&amp;IF(I65="",0,I65)))</f>
        <v/>
      </c>
      <c r="K65" s="88" t="n"/>
      <c r="L65" s="86" t="n"/>
      <c r="M65" s="96">
        <f>IF(A65="","",IF(K65="",J65,K65+IF(L65="",0,SUMIFS(Transactions!$E:$E,Transactions!$B:$B,A65,Transactions!$A:$A,"&gt;"&amp;L65))))</f>
        <v/>
      </c>
      <c r="N65" s="97" t="n"/>
      <c r="O65" s="98" t="n"/>
      <c r="P65" s="88" t="n"/>
      <c r="Q65" s="93" t="n"/>
      <c r="R65" s="87" t="n"/>
      <c r="S65" s="99">
        <f>IF(OR(A65="",T65=0),"",SUMPRODUCT(MAX((Transactions!$B$6:$B$50005=A65)*Transactions!$A$6:$A$50005)))</f>
        <v/>
      </c>
      <c r="T65" s="100">
        <f>IF(A65="","",COUNTIFS(Transactions!$B:$B,A65))</f>
        <v/>
      </c>
      <c r="U65" s="93" t="n"/>
      <c r="V65">
        <f>IF(A65="","",COUNTIF($A$6:A65,"?*"))</f>
        <v/>
      </c>
    </row>
    <row r="66">
      <c r="A66" s="87" t="n"/>
      <c r="B66" s="87" t="n"/>
      <c r="C66" s="93" t="n"/>
      <c r="D66" s="87" t="n"/>
      <c r="E66" s="89">
        <f>IF(C66="","",IFERROR(INDEX(Lists!$B$5:$B$22,MATCH(C66,Lists!$A$5:$A$22,0)),"Asset"))</f>
        <v/>
      </c>
      <c r="F66" s="89">
        <f>IF(C66="","",IFERROR(INDEX(Lists!$C$5:$C$22,MATCH(C66,Lists!$A$5:$A$22,0)),"Other Assets"))</f>
        <v/>
      </c>
      <c r="G66" s="94" t="n"/>
      <c r="H66" s="88" t="n"/>
      <c r="I66" s="86" t="n"/>
      <c r="J66" s="95">
        <f>IF(A66="","",N(H66)+SUMIFS(Transactions!$E:$E,Transactions!$B:$B,A66,Transactions!$A:$A,"&gt;="&amp;IF(I66="",0,I66)))</f>
        <v/>
      </c>
      <c r="K66" s="88" t="n"/>
      <c r="L66" s="86" t="n"/>
      <c r="M66" s="96">
        <f>IF(A66="","",IF(K66="",J66,K66+IF(L66="",0,SUMIFS(Transactions!$E:$E,Transactions!$B:$B,A66,Transactions!$A:$A,"&gt;"&amp;L66))))</f>
        <v/>
      </c>
      <c r="N66" s="97" t="n"/>
      <c r="O66" s="98" t="n"/>
      <c r="P66" s="88" t="n"/>
      <c r="Q66" s="93" t="n"/>
      <c r="R66" s="87" t="n"/>
      <c r="S66" s="99">
        <f>IF(OR(A66="",T66=0),"",SUMPRODUCT(MAX((Transactions!$B$6:$B$50005=A66)*Transactions!$A$6:$A$50005)))</f>
        <v/>
      </c>
      <c r="T66" s="100">
        <f>IF(A66="","",COUNTIFS(Transactions!$B:$B,A66))</f>
        <v/>
      </c>
      <c r="U66" s="93" t="n"/>
      <c r="V66">
        <f>IF(A66="","",COUNTIF($A$6:A66,"?*"))</f>
        <v/>
      </c>
    </row>
    <row r="67">
      <c r="A67" s="87" t="n"/>
      <c r="B67" s="87" t="n"/>
      <c r="C67" s="93" t="n"/>
      <c r="D67" s="87" t="n"/>
      <c r="E67" s="89">
        <f>IF(C67="","",IFERROR(INDEX(Lists!$B$5:$B$22,MATCH(C67,Lists!$A$5:$A$22,0)),"Asset"))</f>
        <v/>
      </c>
      <c r="F67" s="89">
        <f>IF(C67="","",IFERROR(INDEX(Lists!$C$5:$C$22,MATCH(C67,Lists!$A$5:$A$22,0)),"Other Assets"))</f>
        <v/>
      </c>
      <c r="G67" s="94" t="n"/>
      <c r="H67" s="88" t="n"/>
      <c r="I67" s="86" t="n"/>
      <c r="J67" s="95">
        <f>IF(A67="","",N(H67)+SUMIFS(Transactions!$E:$E,Transactions!$B:$B,A67,Transactions!$A:$A,"&gt;="&amp;IF(I67="",0,I67)))</f>
        <v/>
      </c>
      <c r="K67" s="88" t="n"/>
      <c r="L67" s="86" t="n"/>
      <c r="M67" s="96">
        <f>IF(A67="","",IF(K67="",J67,K67+IF(L67="",0,SUMIFS(Transactions!$E:$E,Transactions!$B:$B,A67,Transactions!$A:$A,"&gt;"&amp;L67))))</f>
        <v/>
      </c>
      <c r="N67" s="97" t="n"/>
      <c r="O67" s="98" t="n"/>
      <c r="P67" s="88" t="n"/>
      <c r="Q67" s="93" t="n"/>
      <c r="R67" s="87" t="n"/>
      <c r="S67" s="99">
        <f>IF(OR(A67="",T67=0),"",SUMPRODUCT(MAX((Transactions!$B$6:$B$50005=A67)*Transactions!$A$6:$A$50005)))</f>
        <v/>
      </c>
      <c r="T67" s="100">
        <f>IF(A67="","",COUNTIFS(Transactions!$B:$B,A67))</f>
        <v/>
      </c>
      <c r="U67" s="93" t="n"/>
      <c r="V67">
        <f>IF(A67="","",COUNTIF($A$6:A67,"?*"))</f>
        <v/>
      </c>
    </row>
    <row r="68">
      <c r="A68" s="87" t="n"/>
      <c r="B68" s="87" t="n"/>
      <c r="C68" s="93" t="n"/>
      <c r="D68" s="87" t="n"/>
      <c r="E68" s="89">
        <f>IF(C68="","",IFERROR(INDEX(Lists!$B$5:$B$22,MATCH(C68,Lists!$A$5:$A$22,0)),"Asset"))</f>
        <v/>
      </c>
      <c r="F68" s="89">
        <f>IF(C68="","",IFERROR(INDEX(Lists!$C$5:$C$22,MATCH(C68,Lists!$A$5:$A$22,0)),"Other Assets"))</f>
        <v/>
      </c>
      <c r="G68" s="94" t="n"/>
      <c r="H68" s="88" t="n"/>
      <c r="I68" s="86" t="n"/>
      <c r="J68" s="95">
        <f>IF(A68="","",N(H68)+SUMIFS(Transactions!$E:$E,Transactions!$B:$B,A68,Transactions!$A:$A,"&gt;="&amp;IF(I68="",0,I68)))</f>
        <v/>
      </c>
      <c r="K68" s="88" t="n"/>
      <c r="L68" s="86" t="n"/>
      <c r="M68" s="96">
        <f>IF(A68="","",IF(K68="",J68,K68+IF(L68="",0,SUMIFS(Transactions!$E:$E,Transactions!$B:$B,A68,Transactions!$A:$A,"&gt;"&amp;L68))))</f>
        <v/>
      </c>
      <c r="N68" s="97" t="n"/>
      <c r="O68" s="98" t="n"/>
      <c r="P68" s="88" t="n"/>
      <c r="Q68" s="93" t="n"/>
      <c r="R68" s="87" t="n"/>
      <c r="S68" s="99">
        <f>IF(OR(A68="",T68=0),"",SUMPRODUCT(MAX((Transactions!$B$6:$B$50005=A68)*Transactions!$A$6:$A$50005)))</f>
        <v/>
      </c>
      <c r="T68" s="100">
        <f>IF(A68="","",COUNTIFS(Transactions!$B:$B,A68))</f>
        <v/>
      </c>
      <c r="U68" s="93" t="n"/>
      <c r="V68">
        <f>IF(A68="","",COUNTIF($A$6:A68,"?*"))</f>
        <v/>
      </c>
    </row>
    <row r="69">
      <c r="A69" s="87" t="n"/>
      <c r="B69" s="87" t="n"/>
      <c r="C69" s="93" t="n"/>
      <c r="D69" s="87" t="n"/>
      <c r="E69" s="89">
        <f>IF(C69="","",IFERROR(INDEX(Lists!$B$5:$B$22,MATCH(C69,Lists!$A$5:$A$22,0)),"Asset"))</f>
        <v/>
      </c>
      <c r="F69" s="89">
        <f>IF(C69="","",IFERROR(INDEX(Lists!$C$5:$C$22,MATCH(C69,Lists!$A$5:$A$22,0)),"Other Assets"))</f>
        <v/>
      </c>
      <c r="G69" s="94" t="n"/>
      <c r="H69" s="88" t="n"/>
      <c r="I69" s="86" t="n"/>
      <c r="J69" s="95">
        <f>IF(A69="","",N(H69)+SUMIFS(Transactions!$E:$E,Transactions!$B:$B,A69,Transactions!$A:$A,"&gt;="&amp;IF(I69="",0,I69)))</f>
        <v/>
      </c>
      <c r="K69" s="88" t="n"/>
      <c r="L69" s="86" t="n"/>
      <c r="M69" s="96">
        <f>IF(A69="","",IF(K69="",J69,K69+IF(L69="",0,SUMIFS(Transactions!$E:$E,Transactions!$B:$B,A69,Transactions!$A:$A,"&gt;"&amp;L69))))</f>
        <v/>
      </c>
      <c r="N69" s="97" t="n"/>
      <c r="O69" s="98" t="n"/>
      <c r="P69" s="88" t="n"/>
      <c r="Q69" s="93" t="n"/>
      <c r="R69" s="87" t="n"/>
      <c r="S69" s="99">
        <f>IF(OR(A69="",T69=0),"",SUMPRODUCT(MAX((Transactions!$B$6:$B$50005=A69)*Transactions!$A$6:$A$50005)))</f>
        <v/>
      </c>
      <c r="T69" s="100">
        <f>IF(A69="","",COUNTIFS(Transactions!$B:$B,A69))</f>
        <v/>
      </c>
      <c r="U69" s="93" t="n"/>
      <c r="V69">
        <f>IF(A69="","",COUNTIF($A$6:A69,"?*"))</f>
        <v/>
      </c>
    </row>
    <row r="70">
      <c r="A70" s="87" t="n"/>
      <c r="B70" s="87" t="n"/>
      <c r="C70" s="93" t="n"/>
      <c r="D70" s="87" t="n"/>
      <c r="E70" s="89">
        <f>IF(C70="","",IFERROR(INDEX(Lists!$B$5:$B$22,MATCH(C70,Lists!$A$5:$A$22,0)),"Asset"))</f>
        <v/>
      </c>
      <c r="F70" s="89">
        <f>IF(C70="","",IFERROR(INDEX(Lists!$C$5:$C$22,MATCH(C70,Lists!$A$5:$A$22,0)),"Other Assets"))</f>
        <v/>
      </c>
      <c r="G70" s="94" t="n"/>
      <c r="H70" s="88" t="n"/>
      <c r="I70" s="86" t="n"/>
      <c r="J70" s="95">
        <f>IF(A70="","",N(H70)+SUMIFS(Transactions!$E:$E,Transactions!$B:$B,A70,Transactions!$A:$A,"&gt;="&amp;IF(I70="",0,I70)))</f>
        <v/>
      </c>
      <c r="K70" s="88" t="n"/>
      <c r="L70" s="86" t="n"/>
      <c r="M70" s="96">
        <f>IF(A70="","",IF(K70="",J70,K70+IF(L70="",0,SUMIFS(Transactions!$E:$E,Transactions!$B:$B,A70,Transactions!$A:$A,"&gt;"&amp;L70))))</f>
        <v/>
      </c>
      <c r="N70" s="97" t="n"/>
      <c r="O70" s="98" t="n"/>
      <c r="P70" s="88" t="n"/>
      <c r="Q70" s="93" t="n"/>
      <c r="R70" s="87" t="n"/>
      <c r="S70" s="99">
        <f>IF(OR(A70="",T70=0),"",SUMPRODUCT(MAX((Transactions!$B$6:$B$50005=A70)*Transactions!$A$6:$A$50005)))</f>
        <v/>
      </c>
      <c r="T70" s="100">
        <f>IF(A70="","",COUNTIFS(Transactions!$B:$B,A70))</f>
        <v/>
      </c>
      <c r="U70" s="93" t="n"/>
      <c r="V70">
        <f>IF(A70="","",COUNTIF($A$6:A70,"?*"))</f>
        <v/>
      </c>
    </row>
    <row r="71">
      <c r="A71" s="87" t="n"/>
      <c r="B71" s="87" t="n"/>
      <c r="C71" s="93" t="n"/>
      <c r="D71" s="87" t="n"/>
      <c r="E71" s="89">
        <f>IF(C71="","",IFERROR(INDEX(Lists!$B$5:$B$22,MATCH(C71,Lists!$A$5:$A$22,0)),"Asset"))</f>
        <v/>
      </c>
      <c r="F71" s="89">
        <f>IF(C71="","",IFERROR(INDEX(Lists!$C$5:$C$22,MATCH(C71,Lists!$A$5:$A$22,0)),"Other Assets"))</f>
        <v/>
      </c>
      <c r="G71" s="94" t="n"/>
      <c r="H71" s="88" t="n"/>
      <c r="I71" s="86" t="n"/>
      <c r="J71" s="95">
        <f>IF(A71="","",N(H71)+SUMIFS(Transactions!$E:$E,Transactions!$B:$B,A71,Transactions!$A:$A,"&gt;="&amp;IF(I71="",0,I71)))</f>
        <v/>
      </c>
      <c r="K71" s="88" t="n"/>
      <c r="L71" s="86" t="n"/>
      <c r="M71" s="96">
        <f>IF(A71="","",IF(K71="",J71,K71+IF(L71="",0,SUMIFS(Transactions!$E:$E,Transactions!$B:$B,A71,Transactions!$A:$A,"&gt;"&amp;L71))))</f>
        <v/>
      </c>
      <c r="N71" s="97" t="n"/>
      <c r="O71" s="98" t="n"/>
      <c r="P71" s="88" t="n"/>
      <c r="Q71" s="93" t="n"/>
      <c r="R71" s="87" t="n"/>
      <c r="S71" s="99">
        <f>IF(OR(A71="",T71=0),"",SUMPRODUCT(MAX((Transactions!$B$6:$B$50005=A71)*Transactions!$A$6:$A$50005)))</f>
        <v/>
      </c>
      <c r="T71" s="100">
        <f>IF(A71="","",COUNTIFS(Transactions!$B:$B,A71))</f>
        <v/>
      </c>
      <c r="U71" s="93" t="n"/>
      <c r="V71">
        <f>IF(A71="","",COUNTIF($A$6:A71,"?*"))</f>
        <v/>
      </c>
    </row>
    <row r="72">
      <c r="A72" s="87" t="n"/>
      <c r="B72" s="87" t="n"/>
      <c r="C72" s="93" t="n"/>
      <c r="D72" s="87" t="n"/>
      <c r="E72" s="89">
        <f>IF(C72="","",IFERROR(INDEX(Lists!$B$5:$B$22,MATCH(C72,Lists!$A$5:$A$22,0)),"Asset"))</f>
        <v/>
      </c>
      <c r="F72" s="89">
        <f>IF(C72="","",IFERROR(INDEX(Lists!$C$5:$C$22,MATCH(C72,Lists!$A$5:$A$22,0)),"Other Assets"))</f>
        <v/>
      </c>
      <c r="G72" s="94" t="n"/>
      <c r="H72" s="88" t="n"/>
      <c r="I72" s="86" t="n"/>
      <c r="J72" s="95">
        <f>IF(A72="","",N(H72)+SUMIFS(Transactions!$E:$E,Transactions!$B:$B,A72,Transactions!$A:$A,"&gt;="&amp;IF(I72="",0,I72)))</f>
        <v/>
      </c>
      <c r="K72" s="88" t="n"/>
      <c r="L72" s="86" t="n"/>
      <c r="M72" s="96">
        <f>IF(A72="","",IF(K72="",J72,K72+IF(L72="",0,SUMIFS(Transactions!$E:$E,Transactions!$B:$B,A72,Transactions!$A:$A,"&gt;"&amp;L72))))</f>
        <v/>
      </c>
      <c r="N72" s="97" t="n"/>
      <c r="O72" s="98" t="n"/>
      <c r="P72" s="88" t="n"/>
      <c r="Q72" s="93" t="n"/>
      <c r="R72" s="87" t="n"/>
      <c r="S72" s="99">
        <f>IF(OR(A72="",T72=0),"",SUMPRODUCT(MAX((Transactions!$B$6:$B$50005=A72)*Transactions!$A$6:$A$50005)))</f>
        <v/>
      </c>
      <c r="T72" s="100">
        <f>IF(A72="","",COUNTIFS(Transactions!$B:$B,A72))</f>
        <v/>
      </c>
      <c r="U72" s="93" t="n"/>
      <c r="V72">
        <f>IF(A72="","",COUNTIF($A$6:A72,"?*"))</f>
        <v/>
      </c>
    </row>
    <row r="73">
      <c r="A73" s="87" t="n"/>
      <c r="B73" s="87" t="n"/>
      <c r="C73" s="93" t="n"/>
      <c r="D73" s="87" t="n"/>
      <c r="E73" s="89">
        <f>IF(C73="","",IFERROR(INDEX(Lists!$B$5:$B$22,MATCH(C73,Lists!$A$5:$A$22,0)),"Asset"))</f>
        <v/>
      </c>
      <c r="F73" s="89">
        <f>IF(C73="","",IFERROR(INDEX(Lists!$C$5:$C$22,MATCH(C73,Lists!$A$5:$A$22,0)),"Other Assets"))</f>
        <v/>
      </c>
      <c r="G73" s="94" t="n"/>
      <c r="H73" s="88" t="n"/>
      <c r="I73" s="86" t="n"/>
      <c r="J73" s="95">
        <f>IF(A73="","",N(H73)+SUMIFS(Transactions!$E:$E,Transactions!$B:$B,A73,Transactions!$A:$A,"&gt;="&amp;IF(I73="",0,I73)))</f>
        <v/>
      </c>
      <c r="K73" s="88" t="n"/>
      <c r="L73" s="86" t="n"/>
      <c r="M73" s="96">
        <f>IF(A73="","",IF(K73="",J73,K73+IF(L73="",0,SUMIFS(Transactions!$E:$E,Transactions!$B:$B,A73,Transactions!$A:$A,"&gt;"&amp;L73))))</f>
        <v/>
      </c>
      <c r="N73" s="97" t="n"/>
      <c r="O73" s="98" t="n"/>
      <c r="P73" s="88" t="n"/>
      <c r="Q73" s="93" t="n"/>
      <c r="R73" s="87" t="n"/>
      <c r="S73" s="99">
        <f>IF(OR(A73="",T73=0),"",SUMPRODUCT(MAX((Transactions!$B$6:$B$50005=A73)*Transactions!$A$6:$A$50005)))</f>
        <v/>
      </c>
      <c r="T73" s="100">
        <f>IF(A73="","",COUNTIFS(Transactions!$B:$B,A73))</f>
        <v/>
      </c>
      <c r="U73" s="93" t="n"/>
      <c r="V73">
        <f>IF(A73="","",COUNTIF($A$6:A73,"?*"))</f>
        <v/>
      </c>
    </row>
    <row r="74">
      <c r="A74" s="87" t="n"/>
      <c r="B74" s="87" t="n"/>
      <c r="C74" s="93" t="n"/>
      <c r="D74" s="87" t="n"/>
      <c r="E74" s="89">
        <f>IF(C74="","",IFERROR(INDEX(Lists!$B$5:$B$22,MATCH(C74,Lists!$A$5:$A$22,0)),"Asset"))</f>
        <v/>
      </c>
      <c r="F74" s="89">
        <f>IF(C74="","",IFERROR(INDEX(Lists!$C$5:$C$22,MATCH(C74,Lists!$A$5:$A$22,0)),"Other Assets"))</f>
        <v/>
      </c>
      <c r="G74" s="94" t="n"/>
      <c r="H74" s="88" t="n"/>
      <c r="I74" s="86" t="n"/>
      <c r="J74" s="95">
        <f>IF(A74="","",N(H74)+SUMIFS(Transactions!$E:$E,Transactions!$B:$B,A74,Transactions!$A:$A,"&gt;="&amp;IF(I74="",0,I74)))</f>
        <v/>
      </c>
      <c r="K74" s="88" t="n"/>
      <c r="L74" s="86" t="n"/>
      <c r="M74" s="96">
        <f>IF(A74="","",IF(K74="",J74,K74+IF(L74="",0,SUMIFS(Transactions!$E:$E,Transactions!$B:$B,A74,Transactions!$A:$A,"&gt;"&amp;L74))))</f>
        <v/>
      </c>
      <c r="N74" s="97" t="n"/>
      <c r="O74" s="98" t="n"/>
      <c r="P74" s="88" t="n"/>
      <c r="Q74" s="93" t="n"/>
      <c r="R74" s="87" t="n"/>
      <c r="S74" s="99">
        <f>IF(OR(A74="",T74=0),"",SUMPRODUCT(MAX((Transactions!$B$6:$B$50005=A74)*Transactions!$A$6:$A$50005)))</f>
        <v/>
      </c>
      <c r="T74" s="100">
        <f>IF(A74="","",COUNTIFS(Transactions!$B:$B,A74))</f>
        <v/>
      </c>
      <c r="U74" s="93" t="n"/>
      <c r="V74">
        <f>IF(A74="","",COUNTIF($A$6:A74,"?*"))</f>
        <v/>
      </c>
    </row>
    <row r="75">
      <c r="A75" s="87" t="n"/>
      <c r="B75" s="87" t="n"/>
      <c r="C75" s="93" t="n"/>
      <c r="D75" s="87" t="n"/>
      <c r="E75" s="89">
        <f>IF(C75="","",IFERROR(INDEX(Lists!$B$5:$B$22,MATCH(C75,Lists!$A$5:$A$22,0)),"Asset"))</f>
        <v/>
      </c>
      <c r="F75" s="89">
        <f>IF(C75="","",IFERROR(INDEX(Lists!$C$5:$C$22,MATCH(C75,Lists!$A$5:$A$22,0)),"Other Assets"))</f>
        <v/>
      </c>
      <c r="G75" s="94" t="n"/>
      <c r="H75" s="88" t="n"/>
      <c r="I75" s="86" t="n"/>
      <c r="J75" s="95">
        <f>IF(A75="","",N(H75)+SUMIFS(Transactions!$E:$E,Transactions!$B:$B,A75,Transactions!$A:$A,"&gt;="&amp;IF(I75="",0,I75)))</f>
        <v/>
      </c>
      <c r="K75" s="88" t="n"/>
      <c r="L75" s="86" t="n"/>
      <c r="M75" s="96">
        <f>IF(A75="","",IF(K75="",J75,K75+IF(L75="",0,SUMIFS(Transactions!$E:$E,Transactions!$B:$B,A75,Transactions!$A:$A,"&gt;"&amp;L75))))</f>
        <v/>
      </c>
      <c r="N75" s="97" t="n"/>
      <c r="O75" s="98" t="n"/>
      <c r="P75" s="88" t="n"/>
      <c r="Q75" s="93" t="n"/>
      <c r="R75" s="87" t="n"/>
      <c r="S75" s="99">
        <f>IF(OR(A75="",T75=0),"",SUMPRODUCT(MAX((Transactions!$B$6:$B$50005=A75)*Transactions!$A$6:$A$50005)))</f>
        <v/>
      </c>
      <c r="T75" s="100">
        <f>IF(A75="","",COUNTIFS(Transactions!$B:$B,A75))</f>
        <v/>
      </c>
      <c r="U75" s="93" t="n"/>
      <c r="V75">
        <f>IF(A75="","",COUNTIF($A$6:A75,"?*"))</f>
        <v/>
      </c>
    </row>
    <row r="76">
      <c r="A76" s="87" t="n"/>
      <c r="B76" s="87" t="n"/>
      <c r="C76" s="93" t="n"/>
      <c r="D76" s="87" t="n"/>
      <c r="E76" s="89">
        <f>IF(C76="","",IFERROR(INDEX(Lists!$B$5:$B$22,MATCH(C76,Lists!$A$5:$A$22,0)),"Asset"))</f>
        <v/>
      </c>
      <c r="F76" s="89">
        <f>IF(C76="","",IFERROR(INDEX(Lists!$C$5:$C$22,MATCH(C76,Lists!$A$5:$A$22,0)),"Other Assets"))</f>
        <v/>
      </c>
      <c r="G76" s="94" t="n"/>
      <c r="H76" s="88" t="n"/>
      <c r="I76" s="86" t="n"/>
      <c r="J76" s="95">
        <f>IF(A76="","",N(H76)+SUMIFS(Transactions!$E:$E,Transactions!$B:$B,A76,Transactions!$A:$A,"&gt;="&amp;IF(I76="",0,I76)))</f>
        <v/>
      </c>
      <c r="K76" s="88" t="n"/>
      <c r="L76" s="86" t="n"/>
      <c r="M76" s="96">
        <f>IF(A76="","",IF(K76="",J76,K76+IF(L76="",0,SUMIFS(Transactions!$E:$E,Transactions!$B:$B,A76,Transactions!$A:$A,"&gt;"&amp;L76))))</f>
        <v/>
      </c>
      <c r="N76" s="97" t="n"/>
      <c r="O76" s="98" t="n"/>
      <c r="P76" s="88" t="n"/>
      <c r="Q76" s="93" t="n"/>
      <c r="R76" s="87" t="n"/>
      <c r="S76" s="99">
        <f>IF(OR(A76="",T76=0),"",SUMPRODUCT(MAX((Transactions!$B$6:$B$50005=A76)*Transactions!$A$6:$A$50005)))</f>
        <v/>
      </c>
      <c r="T76" s="100">
        <f>IF(A76="","",COUNTIFS(Transactions!$B:$B,A76))</f>
        <v/>
      </c>
      <c r="U76" s="93" t="n"/>
      <c r="V76">
        <f>IF(A76="","",COUNTIF($A$6:A76,"?*"))</f>
        <v/>
      </c>
    </row>
    <row r="77">
      <c r="A77" s="87" t="n"/>
      <c r="B77" s="87" t="n"/>
      <c r="C77" s="93" t="n"/>
      <c r="D77" s="87" t="n"/>
      <c r="E77" s="89">
        <f>IF(C77="","",IFERROR(INDEX(Lists!$B$5:$B$22,MATCH(C77,Lists!$A$5:$A$22,0)),"Asset"))</f>
        <v/>
      </c>
      <c r="F77" s="89">
        <f>IF(C77="","",IFERROR(INDEX(Lists!$C$5:$C$22,MATCH(C77,Lists!$A$5:$A$22,0)),"Other Assets"))</f>
        <v/>
      </c>
      <c r="G77" s="94" t="n"/>
      <c r="H77" s="88" t="n"/>
      <c r="I77" s="86" t="n"/>
      <c r="J77" s="95">
        <f>IF(A77="","",N(H77)+SUMIFS(Transactions!$E:$E,Transactions!$B:$B,A77,Transactions!$A:$A,"&gt;="&amp;IF(I77="",0,I77)))</f>
        <v/>
      </c>
      <c r="K77" s="88" t="n"/>
      <c r="L77" s="86" t="n"/>
      <c r="M77" s="96">
        <f>IF(A77="","",IF(K77="",J77,K77+IF(L77="",0,SUMIFS(Transactions!$E:$E,Transactions!$B:$B,A77,Transactions!$A:$A,"&gt;"&amp;L77))))</f>
        <v/>
      </c>
      <c r="N77" s="97" t="n"/>
      <c r="O77" s="98" t="n"/>
      <c r="P77" s="88" t="n"/>
      <c r="Q77" s="93" t="n"/>
      <c r="R77" s="87" t="n"/>
      <c r="S77" s="99">
        <f>IF(OR(A77="",T77=0),"",SUMPRODUCT(MAX((Transactions!$B$6:$B$50005=A77)*Transactions!$A$6:$A$50005)))</f>
        <v/>
      </c>
      <c r="T77" s="100">
        <f>IF(A77="","",COUNTIFS(Transactions!$B:$B,A77))</f>
        <v/>
      </c>
      <c r="U77" s="93" t="n"/>
      <c r="V77">
        <f>IF(A77="","",COUNTIF($A$6:A77,"?*"))</f>
        <v/>
      </c>
    </row>
    <row r="78">
      <c r="A78" s="87" t="n"/>
      <c r="B78" s="87" t="n"/>
      <c r="C78" s="93" t="n"/>
      <c r="D78" s="87" t="n"/>
      <c r="E78" s="89">
        <f>IF(C78="","",IFERROR(INDEX(Lists!$B$5:$B$22,MATCH(C78,Lists!$A$5:$A$22,0)),"Asset"))</f>
        <v/>
      </c>
      <c r="F78" s="89">
        <f>IF(C78="","",IFERROR(INDEX(Lists!$C$5:$C$22,MATCH(C78,Lists!$A$5:$A$22,0)),"Other Assets"))</f>
        <v/>
      </c>
      <c r="G78" s="94" t="n"/>
      <c r="H78" s="88" t="n"/>
      <c r="I78" s="86" t="n"/>
      <c r="J78" s="95">
        <f>IF(A78="","",N(H78)+SUMIFS(Transactions!$E:$E,Transactions!$B:$B,A78,Transactions!$A:$A,"&gt;="&amp;IF(I78="",0,I78)))</f>
        <v/>
      </c>
      <c r="K78" s="88" t="n"/>
      <c r="L78" s="86" t="n"/>
      <c r="M78" s="96">
        <f>IF(A78="","",IF(K78="",J78,K78+IF(L78="",0,SUMIFS(Transactions!$E:$E,Transactions!$B:$B,A78,Transactions!$A:$A,"&gt;"&amp;L78))))</f>
        <v/>
      </c>
      <c r="N78" s="97" t="n"/>
      <c r="O78" s="98" t="n"/>
      <c r="P78" s="88" t="n"/>
      <c r="Q78" s="93" t="n"/>
      <c r="R78" s="87" t="n"/>
      <c r="S78" s="99">
        <f>IF(OR(A78="",T78=0),"",SUMPRODUCT(MAX((Transactions!$B$6:$B$50005=A78)*Transactions!$A$6:$A$50005)))</f>
        <v/>
      </c>
      <c r="T78" s="100">
        <f>IF(A78="","",COUNTIFS(Transactions!$B:$B,A78))</f>
        <v/>
      </c>
      <c r="U78" s="93" t="n"/>
      <c r="V78">
        <f>IF(A78="","",COUNTIF($A$6:A78,"?*"))</f>
        <v/>
      </c>
    </row>
    <row r="79">
      <c r="A79" s="87" t="n"/>
      <c r="B79" s="87" t="n"/>
      <c r="C79" s="93" t="n"/>
      <c r="D79" s="87" t="n"/>
      <c r="E79" s="89">
        <f>IF(C79="","",IFERROR(INDEX(Lists!$B$5:$B$22,MATCH(C79,Lists!$A$5:$A$22,0)),"Asset"))</f>
        <v/>
      </c>
      <c r="F79" s="89">
        <f>IF(C79="","",IFERROR(INDEX(Lists!$C$5:$C$22,MATCH(C79,Lists!$A$5:$A$22,0)),"Other Assets"))</f>
        <v/>
      </c>
      <c r="G79" s="94" t="n"/>
      <c r="H79" s="88" t="n"/>
      <c r="I79" s="86" t="n"/>
      <c r="J79" s="95">
        <f>IF(A79="","",N(H79)+SUMIFS(Transactions!$E:$E,Transactions!$B:$B,A79,Transactions!$A:$A,"&gt;="&amp;IF(I79="",0,I79)))</f>
        <v/>
      </c>
      <c r="K79" s="88" t="n"/>
      <c r="L79" s="86" t="n"/>
      <c r="M79" s="96">
        <f>IF(A79="","",IF(K79="",J79,K79+IF(L79="",0,SUMIFS(Transactions!$E:$E,Transactions!$B:$B,A79,Transactions!$A:$A,"&gt;"&amp;L79))))</f>
        <v/>
      </c>
      <c r="N79" s="97" t="n"/>
      <c r="O79" s="98" t="n"/>
      <c r="P79" s="88" t="n"/>
      <c r="Q79" s="93" t="n"/>
      <c r="R79" s="87" t="n"/>
      <c r="S79" s="99">
        <f>IF(OR(A79="",T79=0),"",SUMPRODUCT(MAX((Transactions!$B$6:$B$50005=A79)*Transactions!$A$6:$A$50005)))</f>
        <v/>
      </c>
      <c r="T79" s="100">
        <f>IF(A79="","",COUNTIFS(Transactions!$B:$B,A79))</f>
        <v/>
      </c>
      <c r="U79" s="93" t="n"/>
      <c r="V79">
        <f>IF(A79="","",COUNTIF($A$6:A79,"?*"))</f>
        <v/>
      </c>
    </row>
    <row r="80">
      <c r="A80" s="87" t="n"/>
      <c r="B80" s="87" t="n"/>
      <c r="C80" s="93" t="n"/>
      <c r="D80" s="87" t="n"/>
      <c r="E80" s="89">
        <f>IF(C80="","",IFERROR(INDEX(Lists!$B$5:$B$22,MATCH(C80,Lists!$A$5:$A$22,0)),"Asset"))</f>
        <v/>
      </c>
      <c r="F80" s="89">
        <f>IF(C80="","",IFERROR(INDEX(Lists!$C$5:$C$22,MATCH(C80,Lists!$A$5:$A$22,0)),"Other Assets"))</f>
        <v/>
      </c>
      <c r="G80" s="94" t="n"/>
      <c r="H80" s="88" t="n"/>
      <c r="I80" s="86" t="n"/>
      <c r="J80" s="95">
        <f>IF(A80="","",N(H80)+SUMIFS(Transactions!$E:$E,Transactions!$B:$B,A80,Transactions!$A:$A,"&gt;="&amp;IF(I80="",0,I80)))</f>
        <v/>
      </c>
      <c r="K80" s="88" t="n"/>
      <c r="L80" s="86" t="n"/>
      <c r="M80" s="96">
        <f>IF(A80="","",IF(K80="",J80,K80+IF(L80="",0,SUMIFS(Transactions!$E:$E,Transactions!$B:$B,A80,Transactions!$A:$A,"&gt;"&amp;L80))))</f>
        <v/>
      </c>
      <c r="N80" s="97" t="n"/>
      <c r="O80" s="98" t="n"/>
      <c r="P80" s="88" t="n"/>
      <c r="Q80" s="93" t="n"/>
      <c r="R80" s="87" t="n"/>
      <c r="S80" s="99">
        <f>IF(OR(A80="",T80=0),"",SUMPRODUCT(MAX((Transactions!$B$6:$B$50005=A80)*Transactions!$A$6:$A$50005)))</f>
        <v/>
      </c>
      <c r="T80" s="100">
        <f>IF(A80="","",COUNTIFS(Transactions!$B:$B,A80))</f>
        <v/>
      </c>
      <c r="U80" s="93" t="n"/>
      <c r="V80">
        <f>IF(A80="","",COUNTIF($A$6:A80,"?*"))</f>
        <v/>
      </c>
    </row>
    <row r="81">
      <c r="A81" s="87" t="n"/>
      <c r="B81" s="87" t="n"/>
      <c r="C81" s="93" t="n"/>
      <c r="D81" s="87" t="n"/>
      <c r="E81" s="89">
        <f>IF(C81="","",IFERROR(INDEX(Lists!$B$5:$B$22,MATCH(C81,Lists!$A$5:$A$22,0)),"Asset"))</f>
        <v/>
      </c>
      <c r="F81" s="89">
        <f>IF(C81="","",IFERROR(INDEX(Lists!$C$5:$C$22,MATCH(C81,Lists!$A$5:$A$22,0)),"Other Assets"))</f>
        <v/>
      </c>
      <c r="G81" s="94" t="n"/>
      <c r="H81" s="88" t="n"/>
      <c r="I81" s="86" t="n"/>
      <c r="J81" s="95">
        <f>IF(A81="","",N(H81)+SUMIFS(Transactions!$E:$E,Transactions!$B:$B,A81,Transactions!$A:$A,"&gt;="&amp;IF(I81="",0,I81)))</f>
        <v/>
      </c>
      <c r="K81" s="88" t="n"/>
      <c r="L81" s="86" t="n"/>
      <c r="M81" s="96">
        <f>IF(A81="","",IF(K81="",J81,K81+IF(L81="",0,SUMIFS(Transactions!$E:$E,Transactions!$B:$B,A81,Transactions!$A:$A,"&gt;"&amp;L81))))</f>
        <v/>
      </c>
      <c r="N81" s="97" t="n"/>
      <c r="O81" s="98" t="n"/>
      <c r="P81" s="88" t="n"/>
      <c r="Q81" s="93" t="n"/>
      <c r="R81" s="87" t="n"/>
      <c r="S81" s="99">
        <f>IF(OR(A81="",T81=0),"",SUMPRODUCT(MAX((Transactions!$B$6:$B$50005=A81)*Transactions!$A$6:$A$50005)))</f>
        <v/>
      </c>
      <c r="T81" s="100">
        <f>IF(A81="","",COUNTIFS(Transactions!$B:$B,A81))</f>
        <v/>
      </c>
      <c r="U81" s="93" t="n"/>
      <c r="V81">
        <f>IF(A81="","",COUNTIF($A$6:A81,"?*"))</f>
        <v/>
      </c>
    </row>
    <row r="82">
      <c r="A82" s="87" t="n"/>
      <c r="B82" s="87" t="n"/>
      <c r="C82" s="93" t="n"/>
      <c r="D82" s="87" t="n"/>
      <c r="E82" s="89">
        <f>IF(C82="","",IFERROR(INDEX(Lists!$B$5:$B$22,MATCH(C82,Lists!$A$5:$A$22,0)),"Asset"))</f>
        <v/>
      </c>
      <c r="F82" s="89">
        <f>IF(C82="","",IFERROR(INDEX(Lists!$C$5:$C$22,MATCH(C82,Lists!$A$5:$A$22,0)),"Other Assets"))</f>
        <v/>
      </c>
      <c r="G82" s="94" t="n"/>
      <c r="H82" s="88" t="n"/>
      <c r="I82" s="86" t="n"/>
      <c r="J82" s="95">
        <f>IF(A82="","",N(H82)+SUMIFS(Transactions!$E:$E,Transactions!$B:$B,A82,Transactions!$A:$A,"&gt;="&amp;IF(I82="",0,I82)))</f>
        <v/>
      </c>
      <c r="K82" s="88" t="n"/>
      <c r="L82" s="86" t="n"/>
      <c r="M82" s="96">
        <f>IF(A82="","",IF(K82="",J82,K82+IF(L82="",0,SUMIFS(Transactions!$E:$E,Transactions!$B:$B,A82,Transactions!$A:$A,"&gt;"&amp;L82))))</f>
        <v/>
      </c>
      <c r="N82" s="97" t="n"/>
      <c r="O82" s="98" t="n"/>
      <c r="P82" s="88" t="n"/>
      <c r="Q82" s="93" t="n"/>
      <c r="R82" s="87" t="n"/>
      <c r="S82" s="99">
        <f>IF(OR(A82="",T82=0),"",SUMPRODUCT(MAX((Transactions!$B$6:$B$50005=A82)*Transactions!$A$6:$A$50005)))</f>
        <v/>
      </c>
      <c r="T82" s="100">
        <f>IF(A82="","",COUNTIFS(Transactions!$B:$B,A82))</f>
        <v/>
      </c>
      <c r="U82" s="93" t="n"/>
      <c r="V82">
        <f>IF(A82="","",COUNTIF($A$6:A82,"?*"))</f>
        <v/>
      </c>
    </row>
    <row r="83">
      <c r="A83" s="87" t="n"/>
      <c r="B83" s="87" t="n"/>
      <c r="C83" s="93" t="n"/>
      <c r="D83" s="87" t="n"/>
      <c r="E83" s="89">
        <f>IF(C83="","",IFERROR(INDEX(Lists!$B$5:$B$22,MATCH(C83,Lists!$A$5:$A$22,0)),"Asset"))</f>
        <v/>
      </c>
      <c r="F83" s="89">
        <f>IF(C83="","",IFERROR(INDEX(Lists!$C$5:$C$22,MATCH(C83,Lists!$A$5:$A$22,0)),"Other Assets"))</f>
        <v/>
      </c>
      <c r="G83" s="94" t="n"/>
      <c r="H83" s="88" t="n"/>
      <c r="I83" s="86" t="n"/>
      <c r="J83" s="95">
        <f>IF(A83="","",N(H83)+SUMIFS(Transactions!$E:$E,Transactions!$B:$B,A83,Transactions!$A:$A,"&gt;="&amp;IF(I83="",0,I83)))</f>
        <v/>
      </c>
      <c r="K83" s="88" t="n"/>
      <c r="L83" s="86" t="n"/>
      <c r="M83" s="96">
        <f>IF(A83="","",IF(K83="",J83,K83+IF(L83="",0,SUMIFS(Transactions!$E:$E,Transactions!$B:$B,A83,Transactions!$A:$A,"&gt;"&amp;L83))))</f>
        <v/>
      </c>
      <c r="N83" s="97" t="n"/>
      <c r="O83" s="98" t="n"/>
      <c r="P83" s="88" t="n"/>
      <c r="Q83" s="93" t="n"/>
      <c r="R83" s="87" t="n"/>
      <c r="S83" s="99">
        <f>IF(OR(A83="",T83=0),"",SUMPRODUCT(MAX((Transactions!$B$6:$B$50005=A83)*Transactions!$A$6:$A$50005)))</f>
        <v/>
      </c>
      <c r="T83" s="100">
        <f>IF(A83="","",COUNTIFS(Transactions!$B:$B,A83))</f>
        <v/>
      </c>
      <c r="U83" s="93" t="n"/>
      <c r="V83">
        <f>IF(A83="","",COUNTIF($A$6:A83,"?*"))</f>
        <v/>
      </c>
    </row>
    <row r="84">
      <c r="A84" s="87" t="n"/>
      <c r="B84" s="87" t="n"/>
      <c r="C84" s="93" t="n"/>
      <c r="D84" s="87" t="n"/>
      <c r="E84" s="89">
        <f>IF(C84="","",IFERROR(INDEX(Lists!$B$5:$B$22,MATCH(C84,Lists!$A$5:$A$22,0)),"Asset"))</f>
        <v/>
      </c>
      <c r="F84" s="89">
        <f>IF(C84="","",IFERROR(INDEX(Lists!$C$5:$C$22,MATCH(C84,Lists!$A$5:$A$22,0)),"Other Assets"))</f>
        <v/>
      </c>
      <c r="G84" s="94" t="n"/>
      <c r="H84" s="88" t="n"/>
      <c r="I84" s="86" t="n"/>
      <c r="J84" s="95">
        <f>IF(A84="","",N(H84)+SUMIFS(Transactions!$E:$E,Transactions!$B:$B,A84,Transactions!$A:$A,"&gt;="&amp;IF(I84="",0,I84)))</f>
        <v/>
      </c>
      <c r="K84" s="88" t="n"/>
      <c r="L84" s="86" t="n"/>
      <c r="M84" s="96">
        <f>IF(A84="","",IF(K84="",J84,K84+IF(L84="",0,SUMIFS(Transactions!$E:$E,Transactions!$B:$B,A84,Transactions!$A:$A,"&gt;"&amp;L84))))</f>
        <v/>
      </c>
      <c r="N84" s="97" t="n"/>
      <c r="O84" s="98" t="n"/>
      <c r="P84" s="88" t="n"/>
      <c r="Q84" s="93" t="n"/>
      <c r="R84" s="87" t="n"/>
      <c r="S84" s="99">
        <f>IF(OR(A84="",T84=0),"",SUMPRODUCT(MAX((Transactions!$B$6:$B$50005=A84)*Transactions!$A$6:$A$50005)))</f>
        <v/>
      </c>
      <c r="T84" s="100">
        <f>IF(A84="","",COUNTIFS(Transactions!$B:$B,A84))</f>
        <v/>
      </c>
      <c r="U84" s="93" t="n"/>
      <c r="V84">
        <f>IF(A84="","",COUNTIF($A$6:A84,"?*"))</f>
        <v/>
      </c>
    </row>
    <row r="85">
      <c r="A85" s="87" t="n"/>
      <c r="B85" s="87" t="n"/>
      <c r="C85" s="93" t="n"/>
      <c r="D85" s="87" t="n"/>
      <c r="E85" s="89">
        <f>IF(C85="","",IFERROR(INDEX(Lists!$B$5:$B$22,MATCH(C85,Lists!$A$5:$A$22,0)),"Asset"))</f>
        <v/>
      </c>
      <c r="F85" s="89">
        <f>IF(C85="","",IFERROR(INDEX(Lists!$C$5:$C$22,MATCH(C85,Lists!$A$5:$A$22,0)),"Other Assets"))</f>
        <v/>
      </c>
      <c r="G85" s="94" t="n"/>
      <c r="H85" s="88" t="n"/>
      <c r="I85" s="86" t="n"/>
      <c r="J85" s="95">
        <f>IF(A85="","",N(H85)+SUMIFS(Transactions!$E:$E,Transactions!$B:$B,A85,Transactions!$A:$A,"&gt;="&amp;IF(I85="",0,I85)))</f>
        <v/>
      </c>
      <c r="K85" s="88" t="n"/>
      <c r="L85" s="86" t="n"/>
      <c r="M85" s="96">
        <f>IF(A85="","",IF(K85="",J85,K85+IF(L85="",0,SUMIFS(Transactions!$E:$E,Transactions!$B:$B,A85,Transactions!$A:$A,"&gt;"&amp;L85))))</f>
        <v/>
      </c>
      <c r="N85" s="97" t="n"/>
      <c r="O85" s="98" t="n"/>
      <c r="P85" s="88" t="n"/>
      <c r="Q85" s="93" t="n"/>
      <c r="R85" s="87" t="n"/>
      <c r="S85" s="99">
        <f>IF(OR(A85="",T85=0),"",SUMPRODUCT(MAX((Transactions!$B$6:$B$50005=A85)*Transactions!$A$6:$A$50005)))</f>
        <v/>
      </c>
      <c r="T85" s="100">
        <f>IF(A85="","",COUNTIFS(Transactions!$B:$B,A85))</f>
        <v/>
      </c>
      <c r="U85" s="93" t="n"/>
      <c r="V85">
        <f>IF(A85="","",COUNTIF($A$6:A85,"?*"))</f>
        <v/>
      </c>
    </row>
    <row r="86">
      <c r="A86" s="87" t="n"/>
      <c r="B86" s="87" t="n"/>
      <c r="C86" s="93" t="n"/>
      <c r="D86" s="87" t="n"/>
      <c r="E86" s="89">
        <f>IF(C86="","",IFERROR(INDEX(Lists!$B$5:$B$22,MATCH(C86,Lists!$A$5:$A$22,0)),"Asset"))</f>
        <v/>
      </c>
      <c r="F86" s="89">
        <f>IF(C86="","",IFERROR(INDEX(Lists!$C$5:$C$22,MATCH(C86,Lists!$A$5:$A$22,0)),"Other Assets"))</f>
        <v/>
      </c>
      <c r="G86" s="94" t="n"/>
      <c r="H86" s="88" t="n"/>
      <c r="I86" s="86" t="n"/>
      <c r="J86" s="95">
        <f>IF(A86="","",N(H86)+SUMIFS(Transactions!$E:$E,Transactions!$B:$B,A86,Transactions!$A:$A,"&gt;="&amp;IF(I86="",0,I86)))</f>
        <v/>
      </c>
      <c r="K86" s="88" t="n"/>
      <c r="L86" s="86" t="n"/>
      <c r="M86" s="96">
        <f>IF(A86="","",IF(K86="",J86,K86+IF(L86="",0,SUMIFS(Transactions!$E:$E,Transactions!$B:$B,A86,Transactions!$A:$A,"&gt;"&amp;L86))))</f>
        <v/>
      </c>
      <c r="N86" s="97" t="n"/>
      <c r="O86" s="98" t="n"/>
      <c r="P86" s="88" t="n"/>
      <c r="Q86" s="93" t="n"/>
      <c r="R86" s="87" t="n"/>
      <c r="S86" s="99">
        <f>IF(OR(A86="",T86=0),"",SUMPRODUCT(MAX((Transactions!$B$6:$B$50005=A86)*Transactions!$A$6:$A$50005)))</f>
        <v/>
      </c>
      <c r="T86" s="100">
        <f>IF(A86="","",COUNTIFS(Transactions!$B:$B,A86))</f>
        <v/>
      </c>
      <c r="U86" s="93" t="n"/>
      <c r="V86">
        <f>IF(A86="","",COUNTIF($A$6:A86,"?*"))</f>
        <v/>
      </c>
    </row>
    <row r="87">
      <c r="A87" s="87" t="n"/>
      <c r="B87" s="87" t="n"/>
      <c r="C87" s="93" t="n"/>
      <c r="D87" s="87" t="n"/>
      <c r="E87" s="89">
        <f>IF(C87="","",IFERROR(INDEX(Lists!$B$5:$B$22,MATCH(C87,Lists!$A$5:$A$22,0)),"Asset"))</f>
        <v/>
      </c>
      <c r="F87" s="89">
        <f>IF(C87="","",IFERROR(INDEX(Lists!$C$5:$C$22,MATCH(C87,Lists!$A$5:$A$22,0)),"Other Assets"))</f>
        <v/>
      </c>
      <c r="G87" s="94" t="n"/>
      <c r="H87" s="88" t="n"/>
      <c r="I87" s="86" t="n"/>
      <c r="J87" s="95">
        <f>IF(A87="","",N(H87)+SUMIFS(Transactions!$E:$E,Transactions!$B:$B,A87,Transactions!$A:$A,"&gt;="&amp;IF(I87="",0,I87)))</f>
        <v/>
      </c>
      <c r="K87" s="88" t="n"/>
      <c r="L87" s="86" t="n"/>
      <c r="M87" s="96">
        <f>IF(A87="","",IF(K87="",J87,K87+IF(L87="",0,SUMIFS(Transactions!$E:$E,Transactions!$B:$B,A87,Transactions!$A:$A,"&gt;"&amp;L87))))</f>
        <v/>
      </c>
      <c r="N87" s="97" t="n"/>
      <c r="O87" s="98" t="n"/>
      <c r="P87" s="88" t="n"/>
      <c r="Q87" s="93" t="n"/>
      <c r="R87" s="87" t="n"/>
      <c r="S87" s="99">
        <f>IF(OR(A87="",T87=0),"",SUMPRODUCT(MAX((Transactions!$B$6:$B$50005=A87)*Transactions!$A$6:$A$50005)))</f>
        <v/>
      </c>
      <c r="T87" s="100">
        <f>IF(A87="","",COUNTIFS(Transactions!$B:$B,A87))</f>
        <v/>
      </c>
      <c r="U87" s="93" t="n"/>
      <c r="V87">
        <f>IF(A87="","",COUNTIF($A$6:A87,"?*"))</f>
        <v/>
      </c>
    </row>
    <row r="88">
      <c r="A88" s="87" t="n"/>
      <c r="B88" s="87" t="n"/>
      <c r="C88" s="93" t="n"/>
      <c r="D88" s="87" t="n"/>
      <c r="E88" s="89">
        <f>IF(C88="","",IFERROR(INDEX(Lists!$B$5:$B$22,MATCH(C88,Lists!$A$5:$A$22,0)),"Asset"))</f>
        <v/>
      </c>
      <c r="F88" s="89">
        <f>IF(C88="","",IFERROR(INDEX(Lists!$C$5:$C$22,MATCH(C88,Lists!$A$5:$A$22,0)),"Other Assets"))</f>
        <v/>
      </c>
      <c r="G88" s="94" t="n"/>
      <c r="H88" s="88" t="n"/>
      <c r="I88" s="86" t="n"/>
      <c r="J88" s="95">
        <f>IF(A88="","",N(H88)+SUMIFS(Transactions!$E:$E,Transactions!$B:$B,A88,Transactions!$A:$A,"&gt;="&amp;IF(I88="",0,I88)))</f>
        <v/>
      </c>
      <c r="K88" s="88" t="n"/>
      <c r="L88" s="86" t="n"/>
      <c r="M88" s="96">
        <f>IF(A88="","",IF(K88="",J88,K88+IF(L88="",0,SUMIFS(Transactions!$E:$E,Transactions!$B:$B,A88,Transactions!$A:$A,"&gt;"&amp;L88))))</f>
        <v/>
      </c>
      <c r="N88" s="97" t="n"/>
      <c r="O88" s="98" t="n"/>
      <c r="P88" s="88" t="n"/>
      <c r="Q88" s="93" t="n"/>
      <c r="R88" s="87" t="n"/>
      <c r="S88" s="99">
        <f>IF(OR(A88="",T88=0),"",SUMPRODUCT(MAX((Transactions!$B$6:$B$50005=A88)*Transactions!$A$6:$A$50005)))</f>
        <v/>
      </c>
      <c r="T88" s="100">
        <f>IF(A88="","",COUNTIFS(Transactions!$B:$B,A88))</f>
        <v/>
      </c>
      <c r="U88" s="93" t="n"/>
      <c r="V88">
        <f>IF(A88="","",COUNTIF($A$6:A88,"?*"))</f>
        <v/>
      </c>
    </row>
    <row r="89">
      <c r="A89" s="87" t="n"/>
      <c r="B89" s="87" t="n"/>
      <c r="C89" s="93" t="n"/>
      <c r="D89" s="87" t="n"/>
      <c r="E89" s="89">
        <f>IF(C89="","",IFERROR(INDEX(Lists!$B$5:$B$22,MATCH(C89,Lists!$A$5:$A$22,0)),"Asset"))</f>
        <v/>
      </c>
      <c r="F89" s="89">
        <f>IF(C89="","",IFERROR(INDEX(Lists!$C$5:$C$22,MATCH(C89,Lists!$A$5:$A$22,0)),"Other Assets"))</f>
        <v/>
      </c>
      <c r="G89" s="94" t="n"/>
      <c r="H89" s="88" t="n"/>
      <c r="I89" s="86" t="n"/>
      <c r="J89" s="95">
        <f>IF(A89="","",N(H89)+SUMIFS(Transactions!$E:$E,Transactions!$B:$B,A89,Transactions!$A:$A,"&gt;="&amp;IF(I89="",0,I89)))</f>
        <v/>
      </c>
      <c r="K89" s="88" t="n"/>
      <c r="L89" s="86" t="n"/>
      <c r="M89" s="96">
        <f>IF(A89="","",IF(K89="",J89,K89+IF(L89="",0,SUMIFS(Transactions!$E:$E,Transactions!$B:$B,A89,Transactions!$A:$A,"&gt;"&amp;L89))))</f>
        <v/>
      </c>
      <c r="N89" s="97" t="n"/>
      <c r="O89" s="98" t="n"/>
      <c r="P89" s="88" t="n"/>
      <c r="Q89" s="93" t="n"/>
      <c r="R89" s="87" t="n"/>
      <c r="S89" s="99">
        <f>IF(OR(A89="",T89=0),"",SUMPRODUCT(MAX((Transactions!$B$6:$B$50005=A89)*Transactions!$A$6:$A$50005)))</f>
        <v/>
      </c>
      <c r="T89" s="100">
        <f>IF(A89="","",COUNTIFS(Transactions!$B:$B,A89))</f>
        <v/>
      </c>
      <c r="U89" s="93" t="n"/>
      <c r="V89">
        <f>IF(A89="","",COUNTIF($A$6:A89,"?*"))</f>
        <v/>
      </c>
    </row>
    <row r="90">
      <c r="A90" s="87" t="n"/>
      <c r="B90" s="87" t="n"/>
      <c r="C90" s="93" t="n"/>
      <c r="D90" s="87" t="n"/>
      <c r="E90" s="89">
        <f>IF(C90="","",IFERROR(INDEX(Lists!$B$5:$B$22,MATCH(C90,Lists!$A$5:$A$22,0)),"Asset"))</f>
        <v/>
      </c>
      <c r="F90" s="89">
        <f>IF(C90="","",IFERROR(INDEX(Lists!$C$5:$C$22,MATCH(C90,Lists!$A$5:$A$22,0)),"Other Assets"))</f>
        <v/>
      </c>
      <c r="G90" s="94" t="n"/>
      <c r="H90" s="88" t="n"/>
      <c r="I90" s="86" t="n"/>
      <c r="J90" s="95">
        <f>IF(A90="","",N(H90)+SUMIFS(Transactions!$E:$E,Transactions!$B:$B,A90,Transactions!$A:$A,"&gt;="&amp;IF(I90="",0,I90)))</f>
        <v/>
      </c>
      <c r="K90" s="88" t="n"/>
      <c r="L90" s="86" t="n"/>
      <c r="M90" s="96">
        <f>IF(A90="","",IF(K90="",J90,K90+IF(L90="",0,SUMIFS(Transactions!$E:$E,Transactions!$B:$B,A90,Transactions!$A:$A,"&gt;"&amp;L90))))</f>
        <v/>
      </c>
      <c r="N90" s="97" t="n"/>
      <c r="O90" s="98" t="n"/>
      <c r="P90" s="88" t="n"/>
      <c r="Q90" s="93" t="n"/>
      <c r="R90" s="87" t="n"/>
      <c r="S90" s="99">
        <f>IF(OR(A90="",T90=0),"",SUMPRODUCT(MAX((Transactions!$B$6:$B$50005=A90)*Transactions!$A$6:$A$50005)))</f>
        <v/>
      </c>
      <c r="T90" s="100">
        <f>IF(A90="","",COUNTIFS(Transactions!$B:$B,A90))</f>
        <v/>
      </c>
      <c r="U90" s="93" t="n"/>
      <c r="V90">
        <f>IF(A90="","",COUNTIF($A$6:A90,"?*"))</f>
        <v/>
      </c>
    </row>
    <row r="91">
      <c r="A91" s="87" t="n"/>
      <c r="B91" s="87" t="n"/>
      <c r="C91" s="93" t="n"/>
      <c r="D91" s="87" t="n"/>
      <c r="E91" s="89">
        <f>IF(C91="","",IFERROR(INDEX(Lists!$B$5:$B$22,MATCH(C91,Lists!$A$5:$A$22,0)),"Asset"))</f>
        <v/>
      </c>
      <c r="F91" s="89">
        <f>IF(C91="","",IFERROR(INDEX(Lists!$C$5:$C$22,MATCH(C91,Lists!$A$5:$A$22,0)),"Other Assets"))</f>
        <v/>
      </c>
      <c r="G91" s="94" t="n"/>
      <c r="H91" s="88" t="n"/>
      <c r="I91" s="86" t="n"/>
      <c r="J91" s="95">
        <f>IF(A91="","",N(H91)+SUMIFS(Transactions!$E:$E,Transactions!$B:$B,A91,Transactions!$A:$A,"&gt;="&amp;IF(I91="",0,I91)))</f>
        <v/>
      </c>
      <c r="K91" s="88" t="n"/>
      <c r="L91" s="86" t="n"/>
      <c r="M91" s="96">
        <f>IF(A91="","",IF(K91="",J91,K91+IF(L91="",0,SUMIFS(Transactions!$E:$E,Transactions!$B:$B,A91,Transactions!$A:$A,"&gt;"&amp;L91))))</f>
        <v/>
      </c>
      <c r="N91" s="97" t="n"/>
      <c r="O91" s="98" t="n"/>
      <c r="P91" s="88" t="n"/>
      <c r="Q91" s="93" t="n"/>
      <c r="R91" s="87" t="n"/>
      <c r="S91" s="99">
        <f>IF(OR(A91="",T91=0),"",SUMPRODUCT(MAX((Transactions!$B$6:$B$50005=A91)*Transactions!$A$6:$A$50005)))</f>
        <v/>
      </c>
      <c r="T91" s="100">
        <f>IF(A91="","",COUNTIFS(Transactions!$B:$B,A91))</f>
        <v/>
      </c>
      <c r="U91" s="93" t="n"/>
      <c r="V91">
        <f>IF(A91="","",COUNTIF($A$6:A91,"?*"))</f>
        <v/>
      </c>
    </row>
    <row r="92">
      <c r="A92" s="87" t="n"/>
      <c r="B92" s="87" t="n"/>
      <c r="C92" s="93" t="n"/>
      <c r="D92" s="87" t="n"/>
      <c r="E92" s="89">
        <f>IF(C92="","",IFERROR(INDEX(Lists!$B$5:$B$22,MATCH(C92,Lists!$A$5:$A$22,0)),"Asset"))</f>
        <v/>
      </c>
      <c r="F92" s="89">
        <f>IF(C92="","",IFERROR(INDEX(Lists!$C$5:$C$22,MATCH(C92,Lists!$A$5:$A$22,0)),"Other Assets"))</f>
        <v/>
      </c>
      <c r="G92" s="94" t="n"/>
      <c r="H92" s="88" t="n"/>
      <c r="I92" s="86" t="n"/>
      <c r="J92" s="95">
        <f>IF(A92="","",N(H92)+SUMIFS(Transactions!$E:$E,Transactions!$B:$B,A92,Transactions!$A:$A,"&gt;="&amp;IF(I92="",0,I92)))</f>
        <v/>
      </c>
      <c r="K92" s="88" t="n"/>
      <c r="L92" s="86" t="n"/>
      <c r="M92" s="96">
        <f>IF(A92="","",IF(K92="",J92,K92+IF(L92="",0,SUMIFS(Transactions!$E:$E,Transactions!$B:$B,A92,Transactions!$A:$A,"&gt;"&amp;L92))))</f>
        <v/>
      </c>
      <c r="N92" s="97" t="n"/>
      <c r="O92" s="98" t="n"/>
      <c r="P92" s="88" t="n"/>
      <c r="Q92" s="93" t="n"/>
      <c r="R92" s="87" t="n"/>
      <c r="S92" s="99">
        <f>IF(OR(A92="",T92=0),"",SUMPRODUCT(MAX((Transactions!$B$6:$B$50005=A92)*Transactions!$A$6:$A$50005)))</f>
        <v/>
      </c>
      <c r="T92" s="100">
        <f>IF(A92="","",COUNTIFS(Transactions!$B:$B,A92))</f>
        <v/>
      </c>
      <c r="U92" s="93" t="n"/>
      <c r="V92">
        <f>IF(A92="","",COUNTIF($A$6:A92,"?*"))</f>
        <v/>
      </c>
    </row>
    <row r="93">
      <c r="A93" s="87" t="n"/>
      <c r="B93" s="87" t="n"/>
      <c r="C93" s="93" t="n"/>
      <c r="D93" s="87" t="n"/>
      <c r="E93" s="89">
        <f>IF(C93="","",IFERROR(INDEX(Lists!$B$5:$B$22,MATCH(C93,Lists!$A$5:$A$22,0)),"Asset"))</f>
        <v/>
      </c>
      <c r="F93" s="89">
        <f>IF(C93="","",IFERROR(INDEX(Lists!$C$5:$C$22,MATCH(C93,Lists!$A$5:$A$22,0)),"Other Assets"))</f>
        <v/>
      </c>
      <c r="G93" s="94" t="n"/>
      <c r="H93" s="88" t="n"/>
      <c r="I93" s="86" t="n"/>
      <c r="J93" s="95">
        <f>IF(A93="","",N(H93)+SUMIFS(Transactions!$E:$E,Transactions!$B:$B,A93,Transactions!$A:$A,"&gt;="&amp;IF(I93="",0,I93)))</f>
        <v/>
      </c>
      <c r="K93" s="88" t="n"/>
      <c r="L93" s="86" t="n"/>
      <c r="M93" s="96">
        <f>IF(A93="","",IF(K93="",J93,K93+IF(L93="",0,SUMIFS(Transactions!$E:$E,Transactions!$B:$B,A93,Transactions!$A:$A,"&gt;"&amp;L93))))</f>
        <v/>
      </c>
      <c r="N93" s="97" t="n"/>
      <c r="O93" s="98" t="n"/>
      <c r="P93" s="88" t="n"/>
      <c r="Q93" s="93" t="n"/>
      <c r="R93" s="87" t="n"/>
      <c r="S93" s="99">
        <f>IF(OR(A93="",T93=0),"",SUMPRODUCT(MAX((Transactions!$B$6:$B$50005=A93)*Transactions!$A$6:$A$50005)))</f>
        <v/>
      </c>
      <c r="T93" s="100">
        <f>IF(A93="","",COUNTIFS(Transactions!$B:$B,A93))</f>
        <v/>
      </c>
      <c r="U93" s="93" t="n"/>
      <c r="V93">
        <f>IF(A93="","",COUNTIF($A$6:A93,"?*"))</f>
        <v/>
      </c>
    </row>
    <row r="94">
      <c r="A94" s="87" t="n"/>
      <c r="B94" s="87" t="n"/>
      <c r="C94" s="93" t="n"/>
      <c r="D94" s="87" t="n"/>
      <c r="E94" s="89">
        <f>IF(C94="","",IFERROR(INDEX(Lists!$B$5:$B$22,MATCH(C94,Lists!$A$5:$A$22,0)),"Asset"))</f>
        <v/>
      </c>
      <c r="F94" s="89">
        <f>IF(C94="","",IFERROR(INDEX(Lists!$C$5:$C$22,MATCH(C94,Lists!$A$5:$A$22,0)),"Other Assets"))</f>
        <v/>
      </c>
      <c r="G94" s="94" t="n"/>
      <c r="H94" s="88" t="n"/>
      <c r="I94" s="86" t="n"/>
      <c r="J94" s="95">
        <f>IF(A94="","",N(H94)+SUMIFS(Transactions!$E:$E,Transactions!$B:$B,A94,Transactions!$A:$A,"&gt;="&amp;IF(I94="",0,I94)))</f>
        <v/>
      </c>
      <c r="K94" s="88" t="n"/>
      <c r="L94" s="86" t="n"/>
      <c r="M94" s="96">
        <f>IF(A94="","",IF(K94="",J94,K94+IF(L94="",0,SUMIFS(Transactions!$E:$E,Transactions!$B:$B,A94,Transactions!$A:$A,"&gt;"&amp;L94))))</f>
        <v/>
      </c>
      <c r="N94" s="97" t="n"/>
      <c r="O94" s="98" t="n"/>
      <c r="P94" s="88" t="n"/>
      <c r="Q94" s="93" t="n"/>
      <c r="R94" s="87" t="n"/>
      <c r="S94" s="99">
        <f>IF(OR(A94="",T94=0),"",SUMPRODUCT(MAX((Transactions!$B$6:$B$50005=A94)*Transactions!$A$6:$A$50005)))</f>
        <v/>
      </c>
      <c r="T94" s="100">
        <f>IF(A94="","",COUNTIFS(Transactions!$B:$B,A94))</f>
        <v/>
      </c>
      <c r="U94" s="93" t="n"/>
      <c r="V94">
        <f>IF(A94="","",COUNTIF($A$6:A94,"?*"))</f>
        <v/>
      </c>
    </row>
    <row r="95">
      <c r="A95" s="87" t="n"/>
      <c r="B95" s="87" t="n"/>
      <c r="C95" s="93" t="n"/>
      <c r="D95" s="87" t="n"/>
      <c r="E95" s="89">
        <f>IF(C95="","",IFERROR(INDEX(Lists!$B$5:$B$22,MATCH(C95,Lists!$A$5:$A$22,0)),"Asset"))</f>
        <v/>
      </c>
      <c r="F95" s="89">
        <f>IF(C95="","",IFERROR(INDEX(Lists!$C$5:$C$22,MATCH(C95,Lists!$A$5:$A$22,0)),"Other Assets"))</f>
        <v/>
      </c>
      <c r="G95" s="94" t="n"/>
      <c r="H95" s="88" t="n"/>
      <c r="I95" s="86" t="n"/>
      <c r="J95" s="95">
        <f>IF(A95="","",N(H95)+SUMIFS(Transactions!$E:$E,Transactions!$B:$B,A95,Transactions!$A:$A,"&gt;="&amp;IF(I95="",0,I95)))</f>
        <v/>
      </c>
      <c r="K95" s="88" t="n"/>
      <c r="L95" s="86" t="n"/>
      <c r="M95" s="96">
        <f>IF(A95="","",IF(K95="",J95,K95+IF(L95="",0,SUMIFS(Transactions!$E:$E,Transactions!$B:$B,A95,Transactions!$A:$A,"&gt;"&amp;L95))))</f>
        <v/>
      </c>
      <c r="N95" s="97" t="n"/>
      <c r="O95" s="98" t="n"/>
      <c r="P95" s="88" t="n"/>
      <c r="Q95" s="93" t="n"/>
      <c r="R95" s="87" t="n"/>
      <c r="S95" s="99">
        <f>IF(OR(A95="",T95=0),"",SUMPRODUCT(MAX((Transactions!$B$6:$B$50005=A95)*Transactions!$A$6:$A$50005)))</f>
        <v/>
      </c>
      <c r="T95" s="100">
        <f>IF(A95="","",COUNTIFS(Transactions!$B:$B,A95))</f>
        <v/>
      </c>
      <c r="U95" s="93" t="n"/>
      <c r="V95">
        <f>IF(A95="","",COUNTIF($A$6:A95,"?*"))</f>
        <v/>
      </c>
    </row>
    <row r="96">
      <c r="A96" s="87" t="n"/>
      <c r="B96" s="87" t="n"/>
      <c r="C96" s="93" t="n"/>
      <c r="D96" s="87" t="n"/>
      <c r="E96" s="89">
        <f>IF(C96="","",IFERROR(INDEX(Lists!$B$5:$B$22,MATCH(C96,Lists!$A$5:$A$22,0)),"Asset"))</f>
        <v/>
      </c>
      <c r="F96" s="89">
        <f>IF(C96="","",IFERROR(INDEX(Lists!$C$5:$C$22,MATCH(C96,Lists!$A$5:$A$22,0)),"Other Assets"))</f>
        <v/>
      </c>
      <c r="G96" s="94" t="n"/>
      <c r="H96" s="88" t="n"/>
      <c r="I96" s="86" t="n"/>
      <c r="J96" s="95">
        <f>IF(A96="","",N(H96)+SUMIFS(Transactions!$E:$E,Transactions!$B:$B,A96,Transactions!$A:$A,"&gt;="&amp;IF(I96="",0,I96)))</f>
        <v/>
      </c>
      <c r="K96" s="88" t="n"/>
      <c r="L96" s="86" t="n"/>
      <c r="M96" s="96">
        <f>IF(A96="","",IF(K96="",J96,K96+IF(L96="",0,SUMIFS(Transactions!$E:$E,Transactions!$B:$B,A96,Transactions!$A:$A,"&gt;"&amp;L96))))</f>
        <v/>
      </c>
      <c r="N96" s="97" t="n"/>
      <c r="O96" s="98" t="n"/>
      <c r="P96" s="88" t="n"/>
      <c r="Q96" s="93" t="n"/>
      <c r="R96" s="87" t="n"/>
      <c r="S96" s="99">
        <f>IF(OR(A96="",T96=0),"",SUMPRODUCT(MAX((Transactions!$B$6:$B$50005=A96)*Transactions!$A$6:$A$50005)))</f>
        <v/>
      </c>
      <c r="T96" s="100">
        <f>IF(A96="","",COUNTIFS(Transactions!$B:$B,A96))</f>
        <v/>
      </c>
      <c r="U96" s="93" t="n"/>
      <c r="V96">
        <f>IF(A96="","",COUNTIF($A$6:A96,"?*"))</f>
        <v/>
      </c>
    </row>
    <row r="97">
      <c r="A97" s="87" t="n"/>
      <c r="B97" s="87" t="n"/>
      <c r="C97" s="93" t="n"/>
      <c r="D97" s="87" t="n"/>
      <c r="E97" s="89">
        <f>IF(C97="","",IFERROR(INDEX(Lists!$B$5:$B$22,MATCH(C97,Lists!$A$5:$A$22,0)),"Asset"))</f>
        <v/>
      </c>
      <c r="F97" s="89">
        <f>IF(C97="","",IFERROR(INDEX(Lists!$C$5:$C$22,MATCH(C97,Lists!$A$5:$A$22,0)),"Other Assets"))</f>
        <v/>
      </c>
      <c r="G97" s="94" t="n"/>
      <c r="H97" s="88" t="n"/>
      <c r="I97" s="86" t="n"/>
      <c r="J97" s="95">
        <f>IF(A97="","",N(H97)+SUMIFS(Transactions!$E:$E,Transactions!$B:$B,A97,Transactions!$A:$A,"&gt;="&amp;IF(I97="",0,I97)))</f>
        <v/>
      </c>
      <c r="K97" s="88" t="n"/>
      <c r="L97" s="86" t="n"/>
      <c r="M97" s="96">
        <f>IF(A97="","",IF(K97="",J97,K97+IF(L97="",0,SUMIFS(Transactions!$E:$E,Transactions!$B:$B,A97,Transactions!$A:$A,"&gt;"&amp;L97))))</f>
        <v/>
      </c>
      <c r="N97" s="97" t="n"/>
      <c r="O97" s="98" t="n"/>
      <c r="P97" s="88" t="n"/>
      <c r="Q97" s="93" t="n"/>
      <c r="R97" s="87" t="n"/>
      <c r="S97" s="99">
        <f>IF(OR(A97="",T97=0),"",SUMPRODUCT(MAX((Transactions!$B$6:$B$50005=A97)*Transactions!$A$6:$A$50005)))</f>
        <v/>
      </c>
      <c r="T97" s="100">
        <f>IF(A97="","",COUNTIFS(Transactions!$B:$B,A97))</f>
        <v/>
      </c>
      <c r="U97" s="93" t="n"/>
      <c r="V97">
        <f>IF(A97="","",COUNTIF($A$6:A97,"?*"))</f>
        <v/>
      </c>
    </row>
    <row r="98">
      <c r="A98" s="87" t="n"/>
      <c r="B98" s="87" t="n"/>
      <c r="C98" s="93" t="n"/>
      <c r="D98" s="87" t="n"/>
      <c r="E98" s="89">
        <f>IF(C98="","",IFERROR(INDEX(Lists!$B$5:$B$22,MATCH(C98,Lists!$A$5:$A$22,0)),"Asset"))</f>
        <v/>
      </c>
      <c r="F98" s="89">
        <f>IF(C98="","",IFERROR(INDEX(Lists!$C$5:$C$22,MATCH(C98,Lists!$A$5:$A$22,0)),"Other Assets"))</f>
        <v/>
      </c>
      <c r="G98" s="94" t="n"/>
      <c r="H98" s="88" t="n"/>
      <c r="I98" s="86" t="n"/>
      <c r="J98" s="95">
        <f>IF(A98="","",N(H98)+SUMIFS(Transactions!$E:$E,Transactions!$B:$B,A98,Transactions!$A:$A,"&gt;="&amp;IF(I98="",0,I98)))</f>
        <v/>
      </c>
      <c r="K98" s="88" t="n"/>
      <c r="L98" s="86" t="n"/>
      <c r="M98" s="96">
        <f>IF(A98="","",IF(K98="",J98,K98+IF(L98="",0,SUMIFS(Transactions!$E:$E,Transactions!$B:$B,A98,Transactions!$A:$A,"&gt;"&amp;L98))))</f>
        <v/>
      </c>
      <c r="N98" s="97" t="n"/>
      <c r="O98" s="98" t="n"/>
      <c r="P98" s="88" t="n"/>
      <c r="Q98" s="93" t="n"/>
      <c r="R98" s="87" t="n"/>
      <c r="S98" s="99">
        <f>IF(OR(A98="",T98=0),"",SUMPRODUCT(MAX((Transactions!$B$6:$B$50005=A98)*Transactions!$A$6:$A$50005)))</f>
        <v/>
      </c>
      <c r="T98" s="100">
        <f>IF(A98="","",COUNTIFS(Transactions!$B:$B,A98))</f>
        <v/>
      </c>
      <c r="U98" s="93" t="n"/>
      <c r="V98">
        <f>IF(A98="","",COUNTIF($A$6:A98,"?*"))</f>
        <v/>
      </c>
    </row>
    <row r="99">
      <c r="A99" s="87" t="n"/>
      <c r="B99" s="87" t="n"/>
      <c r="C99" s="93" t="n"/>
      <c r="D99" s="87" t="n"/>
      <c r="E99" s="89">
        <f>IF(C99="","",IFERROR(INDEX(Lists!$B$5:$B$22,MATCH(C99,Lists!$A$5:$A$22,0)),"Asset"))</f>
        <v/>
      </c>
      <c r="F99" s="89">
        <f>IF(C99="","",IFERROR(INDEX(Lists!$C$5:$C$22,MATCH(C99,Lists!$A$5:$A$22,0)),"Other Assets"))</f>
        <v/>
      </c>
      <c r="G99" s="94" t="n"/>
      <c r="H99" s="88" t="n"/>
      <c r="I99" s="86" t="n"/>
      <c r="J99" s="95">
        <f>IF(A99="","",N(H99)+SUMIFS(Transactions!$E:$E,Transactions!$B:$B,A99,Transactions!$A:$A,"&gt;="&amp;IF(I99="",0,I99)))</f>
        <v/>
      </c>
      <c r="K99" s="88" t="n"/>
      <c r="L99" s="86" t="n"/>
      <c r="M99" s="96">
        <f>IF(A99="","",IF(K99="",J99,K99+IF(L99="",0,SUMIFS(Transactions!$E:$E,Transactions!$B:$B,A99,Transactions!$A:$A,"&gt;"&amp;L99))))</f>
        <v/>
      </c>
      <c r="N99" s="97" t="n"/>
      <c r="O99" s="98" t="n"/>
      <c r="P99" s="88" t="n"/>
      <c r="Q99" s="93" t="n"/>
      <c r="R99" s="87" t="n"/>
      <c r="S99" s="99">
        <f>IF(OR(A99="",T99=0),"",SUMPRODUCT(MAX((Transactions!$B$6:$B$50005=A99)*Transactions!$A$6:$A$50005)))</f>
        <v/>
      </c>
      <c r="T99" s="100">
        <f>IF(A99="","",COUNTIFS(Transactions!$B:$B,A99))</f>
        <v/>
      </c>
      <c r="U99" s="93" t="n"/>
      <c r="V99">
        <f>IF(A99="","",COUNTIF($A$6:A99,"?*"))</f>
        <v/>
      </c>
    </row>
    <row r="100">
      <c r="A100" s="87" t="n"/>
      <c r="B100" s="87" t="n"/>
      <c r="C100" s="93" t="n"/>
      <c r="D100" s="87" t="n"/>
      <c r="E100" s="89">
        <f>IF(C100="","",IFERROR(INDEX(Lists!$B$5:$B$22,MATCH(C100,Lists!$A$5:$A$22,0)),"Asset"))</f>
        <v/>
      </c>
      <c r="F100" s="89">
        <f>IF(C100="","",IFERROR(INDEX(Lists!$C$5:$C$22,MATCH(C100,Lists!$A$5:$A$22,0)),"Other Assets"))</f>
        <v/>
      </c>
      <c r="G100" s="94" t="n"/>
      <c r="H100" s="88" t="n"/>
      <c r="I100" s="86" t="n"/>
      <c r="J100" s="95">
        <f>IF(A100="","",N(H100)+SUMIFS(Transactions!$E:$E,Transactions!$B:$B,A100,Transactions!$A:$A,"&gt;="&amp;IF(I100="",0,I100)))</f>
        <v/>
      </c>
      <c r="K100" s="88" t="n"/>
      <c r="L100" s="86" t="n"/>
      <c r="M100" s="96">
        <f>IF(A100="","",IF(K100="",J100,K100+IF(L100="",0,SUMIFS(Transactions!$E:$E,Transactions!$B:$B,A100,Transactions!$A:$A,"&gt;"&amp;L100))))</f>
        <v/>
      </c>
      <c r="N100" s="97" t="n"/>
      <c r="O100" s="98" t="n"/>
      <c r="P100" s="88" t="n"/>
      <c r="Q100" s="93" t="n"/>
      <c r="R100" s="87" t="n"/>
      <c r="S100" s="99">
        <f>IF(OR(A100="",T100=0),"",SUMPRODUCT(MAX((Transactions!$B$6:$B$50005=A100)*Transactions!$A$6:$A$50005)))</f>
        <v/>
      </c>
      <c r="T100" s="100">
        <f>IF(A100="","",COUNTIFS(Transactions!$B:$B,A100))</f>
        <v/>
      </c>
      <c r="U100" s="93" t="n"/>
      <c r="V100">
        <f>IF(A100="","",COUNTIF($A$6:A100,"?*"))</f>
        <v/>
      </c>
    </row>
    <row r="101">
      <c r="A101" s="87" t="n"/>
      <c r="B101" s="87" t="n"/>
      <c r="C101" s="93" t="n"/>
      <c r="D101" s="87" t="n"/>
      <c r="E101" s="89">
        <f>IF(C101="","",IFERROR(INDEX(Lists!$B$5:$B$22,MATCH(C101,Lists!$A$5:$A$22,0)),"Asset"))</f>
        <v/>
      </c>
      <c r="F101" s="89">
        <f>IF(C101="","",IFERROR(INDEX(Lists!$C$5:$C$22,MATCH(C101,Lists!$A$5:$A$22,0)),"Other Assets"))</f>
        <v/>
      </c>
      <c r="G101" s="94" t="n"/>
      <c r="H101" s="88" t="n"/>
      <c r="I101" s="86" t="n"/>
      <c r="J101" s="95">
        <f>IF(A101="","",N(H101)+SUMIFS(Transactions!$E:$E,Transactions!$B:$B,A101,Transactions!$A:$A,"&gt;="&amp;IF(I101="",0,I101)))</f>
        <v/>
      </c>
      <c r="K101" s="88" t="n"/>
      <c r="L101" s="86" t="n"/>
      <c r="M101" s="96">
        <f>IF(A101="","",IF(K101="",J101,K101+IF(L101="",0,SUMIFS(Transactions!$E:$E,Transactions!$B:$B,A101,Transactions!$A:$A,"&gt;"&amp;L101))))</f>
        <v/>
      </c>
      <c r="N101" s="97" t="n"/>
      <c r="O101" s="98" t="n"/>
      <c r="P101" s="88" t="n"/>
      <c r="Q101" s="93" t="n"/>
      <c r="R101" s="87" t="n"/>
      <c r="S101" s="99">
        <f>IF(OR(A101="",T101=0),"",SUMPRODUCT(MAX((Transactions!$B$6:$B$50005=A101)*Transactions!$A$6:$A$50005)))</f>
        <v/>
      </c>
      <c r="T101" s="100">
        <f>IF(A101="","",COUNTIFS(Transactions!$B:$B,A101))</f>
        <v/>
      </c>
      <c r="U101" s="93" t="n"/>
      <c r="V101">
        <f>IF(A101="","",COUNTIF($A$6:A101,"?*"))</f>
        <v/>
      </c>
    </row>
    <row r="102">
      <c r="A102" s="87" t="n"/>
      <c r="B102" s="87" t="n"/>
      <c r="C102" s="93" t="n"/>
      <c r="D102" s="87" t="n"/>
      <c r="E102" s="89">
        <f>IF(C102="","",IFERROR(INDEX(Lists!$B$5:$B$22,MATCH(C102,Lists!$A$5:$A$22,0)),"Asset"))</f>
        <v/>
      </c>
      <c r="F102" s="89">
        <f>IF(C102="","",IFERROR(INDEX(Lists!$C$5:$C$22,MATCH(C102,Lists!$A$5:$A$22,0)),"Other Assets"))</f>
        <v/>
      </c>
      <c r="G102" s="94" t="n"/>
      <c r="H102" s="88" t="n"/>
      <c r="I102" s="86" t="n"/>
      <c r="J102" s="95">
        <f>IF(A102="","",N(H102)+SUMIFS(Transactions!$E:$E,Transactions!$B:$B,A102,Transactions!$A:$A,"&gt;="&amp;IF(I102="",0,I102)))</f>
        <v/>
      </c>
      <c r="K102" s="88" t="n"/>
      <c r="L102" s="86" t="n"/>
      <c r="M102" s="96">
        <f>IF(A102="","",IF(K102="",J102,K102+IF(L102="",0,SUMIFS(Transactions!$E:$E,Transactions!$B:$B,A102,Transactions!$A:$A,"&gt;"&amp;L102))))</f>
        <v/>
      </c>
      <c r="N102" s="97" t="n"/>
      <c r="O102" s="98" t="n"/>
      <c r="P102" s="88" t="n"/>
      <c r="Q102" s="93" t="n"/>
      <c r="R102" s="87" t="n"/>
      <c r="S102" s="99">
        <f>IF(OR(A102="",T102=0),"",SUMPRODUCT(MAX((Transactions!$B$6:$B$50005=A102)*Transactions!$A$6:$A$50005)))</f>
        <v/>
      </c>
      <c r="T102" s="100">
        <f>IF(A102="","",COUNTIFS(Transactions!$B:$B,A102))</f>
        <v/>
      </c>
      <c r="U102" s="93" t="n"/>
      <c r="V102">
        <f>IF(A102="","",COUNTIF($A$6:A102,"?*"))</f>
        <v/>
      </c>
    </row>
    <row r="103">
      <c r="A103" s="87" t="n"/>
      <c r="B103" s="87" t="n"/>
      <c r="C103" s="93" t="n"/>
      <c r="D103" s="87" t="n"/>
      <c r="E103" s="89">
        <f>IF(C103="","",IFERROR(INDEX(Lists!$B$5:$B$22,MATCH(C103,Lists!$A$5:$A$22,0)),"Asset"))</f>
        <v/>
      </c>
      <c r="F103" s="89">
        <f>IF(C103="","",IFERROR(INDEX(Lists!$C$5:$C$22,MATCH(C103,Lists!$A$5:$A$22,0)),"Other Assets"))</f>
        <v/>
      </c>
      <c r="G103" s="94" t="n"/>
      <c r="H103" s="88" t="n"/>
      <c r="I103" s="86" t="n"/>
      <c r="J103" s="95">
        <f>IF(A103="","",N(H103)+SUMIFS(Transactions!$E:$E,Transactions!$B:$B,A103,Transactions!$A:$A,"&gt;="&amp;IF(I103="",0,I103)))</f>
        <v/>
      </c>
      <c r="K103" s="88" t="n"/>
      <c r="L103" s="86" t="n"/>
      <c r="M103" s="96">
        <f>IF(A103="","",IF(K103="",J103,K103+IF(L103="",0,SUMIFS(Transactions!$E:$E,Transactions!$B:$B,A103,Transactions!$A:$A,"&gt;"&amp;L103))))</f>
        <v/>
      </c>
      <c r="N103" s="97" t="n"/>
      <c r="O103" s="98" t="n"/>
      <c r="P103" s="88" t="n"/>
      <c r="Q103" s="93" t="n"/>
      <c r="R103" s="87" t="n"/>
      <c r="S103" s="99">
        <f>IF(OR(A103="",T103=0),"",SUMPRODUCT(MAX((Transactions!$B$6:$B$50005=A103)*Transactions!$A$6:$A$50005)))</f>
        <v/>
      </c>
      <c r="T103" s="100">
        <f>IF(A103="","",COUNTIFS(Transactions!$B:$B,A103))</f>
        <v/>
      </c>
      <c r="U103" s="93" t="n"/>
      <c r="V103">
        <f>IF(A103="","",COUNTIF($A$6:A103,"?*"))</f>
        <v/>
      </c>
    </row>
    <row r="104">
      <c r="A104" s="87" t="n"/>
      <c r="B104" s="87" t="n"/>
      <c r="C104" s="93" t="n"/>
      <c r="D104" s="87" t="n"/>
      <c r="E104" s="89">
        <f>IF(C104="","",IFERROR(INDEX(Lists!$B$5:$B$22,MATCH(C104,Lists!$A$5:$A$22,0)),"Asset"))</f>
        <v/>
      </c>
      <c r="F104" s="89">
        <f>IF(C104="","",IFERROR(INDEX(Lists!$C$5:$C$22,MATCH(C104,Lists!$A$5:$A$22,0)),"Other Assets"))</f>
        <v/>
      </c>
      <c r="G104" s="94" t="n"/>
      <c r="H104" s="88" t="n"/>
      <c r="I104" s="86" t="n"/>
      <c r="J104" s="95">
        <f>IF(A104="","",N(H104)+SUMIFS(Transactions!$E:$E,Transactions!$B:$B,A104,Transactions!$A:$A,"&gt;="&amp;IF(I104="",0,I104)))</f>
        <v/>
      </c>
      <c r="K104" s="88" t="n"/>
      <c r="L104" s="86" t="n"/>
      <c r="M104" s="96">
        <f>IF(A104="","",IF(K104="",J104,K104+IF(L104="",0,SUMIFS(Transactions!$E:$E,Transactions!$B:$B,A104,Transactions!$A:$A,"&gt;"&amp;L104))))</f>
        <v/>
      </c>
      <c r="N104" s="97" t="n"/>
      <c r="O104" s="98" t="n"/>
      <c r="P104" s="88" t="n"/>
      <c r="Q104" s="93" t="n"/>
      <c r="R104" s="87" t="n"/>
      <c r="S104" s="99">
        <f>IF(OR(A104="",T104=0),"",SUMPRODUCT(MAX((Transactions!$B$6:$B$50005=A104)*Transactions!$A$6:$A$50005)))</f>
        <v/>
      </c>
      <c r="T104" s="100">
        <f>IF(A104="","",COUNTIFS(Transactions!$B:$B,A104))</f>
        <v/>
      </c>
      <c r="U104" s="93" t="n"/>
      <c r="V104">
        <f>IF(A104="","",COUNTIF($A$6:A104,"?*"))</f>
        <v/>
      </c>
    </row>
    <row r="105">
      <c r="A105" s="87" t="n"/>
      <c r="B105" s="87" t="n"/>
      <c r="C105" s="93" t="n"/>
      <c r="D105" s="87" t="n"/>
      <c r="E105" s="89">
        <f>IF(C105="","",IFERROR(INDEX(Lists!$B$5:$B$22,MATCH(C105,Lists!$A$5:$A$22,0)),"Asset"))</f>
        <v/>
      </c>
      <c r="F105" s="89">
        <f>IF(C105="","",IFERROR(INDEX(Lists!$C$5:$C$22,MATCH(C105,Lists!$A$5:$A$22,0)),"Other Assets"))</f>
        <v/>
      </c>
      <c r="G105" s="94" t="n"/>
      <c r="H105" s="88" t="n"/>
      <c r="I105" s="86" t="n"/>
      <c r="J105" s="95">
        <f>IF(A105="","",N(H105)+SUMIFS(Transactions!$E:$E,Transactions!$B:$B,A105,Transactions!$A:$A,"&gt;="&amp;IF(I105="",0,I105)))</f>
        <v/>
      </c>
      <c r="K105" s="88" t="n"/>
      <c r="L105" s="86" t="n"/>
      <c r="M105" s="96">
        <f>IF(A105="","",IF(K105="",J105,K105+IF(L105="",0,SUMIFS(Transactions!$E:$E,Transactions!$B:$B,A105,Transactions!$A:$A,"&gt;"&amp;L105))))</f>
        <v/>
      </c>
      <c r="N105" s="97" t="n"/>
      <c r="O105" s="98" t="n"/>
      <c r="P105" s="88" t="n"/>
      <c r="Q105" s="93" t="n"/>
      <c r="R105" s="87" t="n"/>
      <c r="S105" s="99">
        <f>IF(OR(A105="",T105=0),"",SUMPRODUCT(MAX((Transactions!$B$6:$B$50005=A105)*Transactions!$A$6:$A$50005)))</f>
        <v/>
      </c>
      <c r="T105" s="100">
        <f>IF(A105="","",COUNTIFS(Transactions!$B:$B,A105))</f>
        <v/>
      </c>
      <c r="U105" s="93" t="n"/>
      <c r="V105">
        <f>IF(A105="","",COUNTIF($A$6:A105,"?*"))</f>
        <v/>
      </c>
    </row>
  </sheetData>
  <dataValidations count="3">
    <dataValidation sqref="C6:C105" showDropDown="0" showInputMessage="1" showErrorMessage="1" allowBlank="1" errorTitle="Not in the list" error="Pick a value from the dropdown." promptTitle="Pick from the list" prompt="Type decides whether it's an asset or a debt, and where it shows on Net Worth." type="list" errorStyle="stop">
      <formula1>=lst_AcctTypes</formula1>
    </dataValidation>
    <dataValidation sqref="G6:G105" showDropDown="0" showInputMessage="1" showErrorMessage="1" allowBlank="1" errorTitle="Not in the list" error="Pick a value from the dropdown." promptTitle="Pick from the list" prompt="Yes if this account's money counts toward your emergency fund." type="list" errorStyle="stop">
      <formula1>=lst_YesNo</formula1>
    </dataValidation>
    <dataValidation sqref="Q6:Q105" showDropDown="0" showInputMessage="0" showErrorMessage="1" allowBlank="1" errorTitle="Not in the list" error="This value isn't in the list. Keep it anyway?" type="list" errorStyle="warning">
      <formula1>=lst_Profiles</formula1>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legacyDrawing xmlns:r="http://schemas.openxmlformats.org/officeDocument/2006/relationships" r:id="anysvml"/>
  <tableParts count="1">
    <tablePart xmlns:r="http://schemas.openxmlformats.org/officeDocument/2006/relationships" r:id="rId1"/>
  </tableParts>
</worksheet>
</file>

<file path=xl/worksheets/sheet7.xml><?xml version="1.0" encoding="utf-8"?>
<worksheet xmlns="http://schemas.openxmlformats.org/spreadsheetml/2006/main">
  <sheetPr codeName="shProfiles">
    <tabColor rgb="00177A5A"/>
    <outlinePr summaryBelow="1" summaryRight="1"/>
    <pageSetUpPr fitToPage="1"/>
  </sheetPr>
  <dimension ref="A1:AA55"/>
  <sheetViews>
    <sheetView showGridLines="0" tabSelected="0" zoomScale="100" workbookViewId="0">
      <pane xSplit="1" ySplit="5" topLeftCell="B6" activePane="bottomRight" state="frozen"/>
      <selection pane="topRight"/>
      <selection pane="bottomLeft"/>
      <selection pane="bottomRight" activeCell="A1" sqref="A1"/>
    </sheetView>
  </sheetViews>
  <sheetFormatPr baseColWidth="8" defaultRowHeight="15"/>
  <cols>
    <col width="30" customWidth="1" min="1" max="1"/>
    <col width="18" customWidth="1" min="2" max="2"/>
    <col width="20" customWidth="1" min="3" max="3"/>
    <col width="16" customWidth="1" min="4" max="4"/>
    <col width="11" customWidth="1" min="5" max="5"/>
    <col width="10" customWidth="1" min="6" max="6"/>
    <col width="10" customWidth="1" min="7" max="7"/>
    <col width="17" customWidth="1" min="8" max="8"/>
    <col width="14" customWidth="1" min="9" max="9"/>
    <col width="17" customWidth="1" min="10" max="10"/>
    <col width="20" customWidth="1" min="11" max="11"/>
    <col width="14" customWidth="1" min="12" max="12"/>
    <col width="13" customWidth="1" min="13" max="13"/>
    <col width="13" customWidth="1" min="14" max="14"/>
    <col width="13" customWidth="1" min="15" max="15"/>
    <col width="28" customWidth="1" min="16" max="16"/>
    <col width="9" customWidth="1" min="17" max="17"/>
    <col width="13" customWidth="1" min="18" max="18"/>
    <col width="15" customWidth="1" min="19" max="19"/>
    <col width="14" customWidth="1" min="20" max="20"/>
    <col width="14" customWidth="1" min="21" max="21"/>
    <col width="15" customWidth="1" min="22" max="22"/>
    <col width="40" customWidth="1" min="23" max="23"/>
    <col width="9" customWidth="1" min="24" max="24"/>
    <col width="12" customWidth="1" min="25" max="25"/>
    <col width="60" customWidth="1" min="26" max="26"/>
    <col hidden="1"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Import Profiles</t>
        </is>
      </c>
    </row>
    <row r="2" ht="20" customHeight="1">
      <c r="A2" s="61" t="inlineStr">
        <is>
          <t>Saved import settings, one per bank or card download. The Import tab fills these in when you save a profile.</t>
        </is>
      </c>
      <c r="B2" s="2" t="n"/>
      <c r="C2" s="2" t="n"/>
      <c r="D2" s="2" t="n"/>
      <c r="E2" s="2" t="n"/>
      <c r="F2" s="2" t="n"/>
      <c r="G2" s="2" t="n"/>
      <c r="H2" s="2" t="n"/>
      <c r="I2" s="2" t="n"/>
      <c r="J2" s="2" t="n"/>
      <c r="K2" s="2" t="n"/>
      <c r="L2" s="2" t="n"/>
      <c r="M2" s="2" t="n"/>
      <c r="N2" s="2" t="n"/>
      <c r="O2" s="2" t="n"/>
      <c r="P2" s="2" t="n"/>
      <c r="Q2" s="2" t="n"/>
      <c r="R2" s="2" t="n"/>
      <c r="S2" s="2" t="n"/>
      <c r="T2" s="2" t="n"/>
      <c r="U2" s="2" t="n"/>
      <c r="V2" s="2" t="n"/>
      <c r="W2" s="2" t="n"/>
      <c r="X2" s="2" t="n"/>
      <c r="Y2" s="2" t="n"/>
      <c r="Z2" s="2" t="n"/>
    </row>
    <row r="5" ht="42" customHeight="1">
      <c r="A5" s="35" t="inlineStr">
        <is>
          <t>Profile Name</t>
        </is>
      </c>
      <c r="B5" s="35" t="inlineStr">
        <is>
          <t>Institution</t>
        </is>
      </c>
      <c r="C5" s="35" t="inlineStr">
        <is>
          <t>Account</t>
        </is>
      </c>
      <c r="D5" s="35" t="inlineStr">
        <is>
          <t>File Type</t>
        </is>
      </c>
      <c r="E5" s="35" t="inlineStr">
        <is>
          <t>Delimiter</t>
        </is>
      </c>
      <c r="F5" s="35" t="inlineStr">
        <is>
          <t>Header Row</t>
        </is>
      </c>
      <c r="G5" s="35" t="inlineStr">
        <is>
          <t>Skip Rows at End</t>
        </is>
      </c>
      <c r="H5" s="35" t="inlineStr">
        <is>
          <t>Date Column</t>
        </is>
      </c>
      <c r="I5" s="35" t="inlineStr">
        <is>
          <t>Date Format</t>
        </is>
      </c>
      <c r="J5" s="35" t="inlineStr">
        <is>
          <t>Description Column</t>
        </is>
      </c>
      <c r="K5" s="35" t="inlineStr">
        <is>
          <t>Amount Mode</t>
        </is>
      </c>
      <c r="L5" s="35" t="inlineStr">
        <is>
          <t>Amount Column</t>
        </is>
      </c>
      <c r="M5" s="35" t="inlineStr">
        <is>
          <t>Debit Column</t>
        </is>
      </c>
      <c r="N5" s="35" t="inlineStr">
        <is>
          <t>Credit Column</t>
        </is>
      </c>
      <c r="O5" s="35" t="inlineStr">
        <is>
          <t>Indicator Column</t>
        </is>
      </c>
      <c r="P5" s="35" t="inlineStr">
        <is>
          <t>Debit Words</t>
        </is>
      </c>
      <c r="Q5" s="35" t="inlineStr">
        <is>
          <t>Flip Sign</t>
        </is>
      </c>
      <c r="R5" s="35" t="inlineStr">
        <is>
          <t>Memo Column</t>
        </is>
      </c>
      <c r="S5" s="35" t="inlineStr">
        <is>
          <t>Check Column</t>
        </is>
      </c>
      <c r="T5" s="35" t="inlineStr">
        <is>
          <t>Category Column</t>
        </is>
      </c>
      <c r="U5" s="35" t="inlineStr">
        <is>
          <t>Account Column</t>
        </is>
      </c>
      <c r="V5" s="35" t="inlineStr">
        <is>
          <t>ID Column</t>
        </is>
      </c>
      <c r="W5" s="35" t="inlineStr">
        <is>
          <t>Header Signature</t>
        </is>
      </c>
      <c r="X5" s="35" t="inlineStr">
        <is>
          <t>Times Used</t>
        </is>
      </c>
      <c r="Y5" s="35" t="inlineStr">
        <is>
          <t>Last Used</t>
        </is>
      </c>
      <c r="Z5" s="35" t="inlineStr">
        <is>
          <t>Notes</t>
        </is>
      </c>
      <c r="AA5" t="inlineStr">
        <is>
          <t>Order</t>
        </is>
      </c>
    </row>
    <row r="6">
      <c r="A6" s="87" t="inlineStr">
        <is>
          <t>Sample Bank - Checking (CSV)</t>
        </is>
      </c>
      <c r="B6" s="87" t="inlineStr">
        <is>
          <t>Sample Bank</t>
        </is>
      </c>
      <c r="C6" s="87" t="inlineStr">
        <is>
          <t>Everyday Checking</t>
        </is>
      </c>
      <c r="D6" s="87" t="inlineStr">
        <is>
          <t>Auto</t>
        </is>
      </c>
      <c r="E6" s="87" t="inlineStr">
        <is>
          <t>Auto</t>
        </is>
      </c>
      <c r="F6" s="93" t="inlineStr">
        <is>
          <t>Auto</t>
        </is>
      </c>
      <c r="G6" s="93" t="n">
        <v>0</v>
      </c>
      <c r="H6" s="87" t="inlineStr">
        <is>
          <t>Posting Date</t>
        </is>
      </c>
      <c r="I6" s="87" t="inlineStr">
        <is>
          <t>Auto</t>
        </is>
      </c>
      <c r="J6" s="87" t="inlineStr">
        <is>
          <t>Description</t>
        </is>
      </c>
      <c r="K6" s="87" t="inlineStr">
        <is>
          <t>Signed amount</t>
        </is>
      </c>
      <c r="L6" s="87" t="inlineStr">
        <is>
          <t>Amount</t>
        </is>
      </c>
      <c r="M6" s="87" t="n"/>
      <c r="N6" s="87" t="n"/>
      <c r="O6" s="87" t="n"/>
      <c r="P6" s="87" t="inlineStr">
        <is>
          <t>DEBIT, DR, WITHDRAWAL, SALE, PURCHASE, CHARGE, FEE</t>
        </is>
      </c>
      <c r="Q6" s="87" t="inlineStr">
        <is>
          <t>No</t>
        </is>
      </c>
      <c r="R6" s="87" t="n"/>
      <c r="S6" s="87" t="inlineStr">
        <is>
          <t>Check or Slip #</t>
        </is>
      </c>
      <c r="T6" s="87" t="n"/>
      <c r="U6" s="87" t="n"/>
      <c r="V6" s="87" t="n"/>
      <c r="W6" s="87" t="inlineStr">
        <is>
          <t>DETAILS|POSTING DATE|DESCRIPTION|AMOUNT|TYPE|BALANCE|CHECK OR SLIP #</t>
        </is>
      </c>
      <c r="X6" s="101" t="n">
        <v>3</v>
      </c>
      <c r="Y6" s="86" t="n">
        <v>46310</v>
      </c>
      <c r="Z6" s="102" t="inlineStr">
        <is>
          <t>Sample profile for the sample checking file.</t>
        </is>
      </c>
      <c r="AA6">
        <f>IF(A6="","",COUNTIF($A$6:A6,"?*"))</f>
        <v/>
      </c>
    </row>
    <row r="7">
      <c r="A7" s="87" t="inlineStr">
        <is>
          <t>Sample Card - Visa (CSV)</t>
        </is>
      </c>
      <c r="B7" s="87" t="inlineStr">
        <is>
          <t>Sample Card Co</t>
        </is>
      </c>
      <c r="C7" s="87" t="inlineStr">
        <is>
          <t>Rewards Visa</t>
        </is>
      </c>
      <c r="D7" s="87" t="inlineStr">
        <is>
          <t>Auto</t>
        </is>
      </c>
      <c r="E7" s="87" t="inlineStr">
        <is>
          <t>Auto</t>
        </is>
      </c>
      <c r="F7" s="93" t="inlineStr">
        <is>
          <t>Auto</t>
        </is>
      </c>
      <c r="G7" s="93" t="n">
        <v>0</v>
      </c>
      <c r="H7" s="87" t="inlineStr">
        <is>
          <t>Transaction Date</t>
        </is>
      </c>
      <c r="I7" s="87" t="inlineStr">
        <is>
          <t>Auto</t>
        </is>
      </c>
      <c r="J7" s="87" t="inlineStr">
        <is>
          <t>Description</t>
        </is>
      </c>
      <c r="K7" s="87" t="inlineStr">
        <is>
          <t>Signed amount</t>
        </is>
      </c>
      <c r="L7" s="87" t="inlineStr">
        <is>
          <t>Amount</t>
        </is>
      </c>
      <c r="M7" s="87" t="n"/>
      <c r="N7" s="87" t="n"/>
      <c r="O7" s="87" t="n"/>
      <c r="P7" s="87" t="inlineStr">
        <is>
          <t>DEBIT, DR, WITHDRAWAL, SALE, PURCHASE, CHARGE, FEE</t>
        </is>
      </c>
      <c r="Q7" s="87" t="inlineStr">
        <is>
          <t>No</t>
        </is>
      </c>
      <c r="R7" s="87" t="inlineStr">
        <is>
          <t>Memo</t>
        </is>
      </c>
      <c r="S7" s="87" t="n"/>
      <c r="T7" s="87" t="inlineStr">
        <is>
          <t>Category</t>
        </is>
      </c>
      <c r="U7" s="87" t="n"/>
      <c r="V7" s="87" t="n"/>
      <c r="W7" s="87" t="inlineStr">
        <is>
          <t>TRANSACTION DATE|POST DATE|DESCRIPTION|CATEGORY|TYPE|AMOUNT|MEMO</t>
        </is>
      </c>
      <c r="X7" s="101" t="n">
        <v>3</v>
      </c>
      <c r="Y7" s="86" t="n">
        <v>46310</v>
      </c>
      <c r="Z7" s="102" t="inlineStr">
        <is>
          <t>Sample profile for the sample card file.</t>
        </is>
      </c>
      <c r="AA7">
        <f>IF(A7="","",COUNTIF($A$6:A7,"?*"))</f>
        <v/>
      </c>
    </row>
    <row r="8">
      <c r="A8" s="87" t="inlineStr">
        <is>
          <t>Sample Bank - Savings (QFX)</t>
        </is>
      </c>
      <c r="B8" s="87" t="inlineStr">
        <is>
          <t>Sample Bank</t>
        </is>
      </c>
      <c r="C8" s="87" t="inlineStr">
        <is>
          <t>High-Yield Savings</t>
        </is>
      </c>
      <c r="D8" s="87" t="inlineStr">
        <is>
          <t>OFX / QFX / QBO</t>
        </is>
      </c>
      <c r="E8" s="87" t="inlineStr">
        <is>
          <t>Auto</t>
        </is>
      </c>
      <c r="F8" s="93" t="inlineStr">
        <is>
          <t>Auto</t>
        </is>
      </c>
      <c r="G8" s="93" t="n">
        <v>0</v>
      </c>
      <c r="H8" s="87" t="inlineStr">
        <is>
          <t>Date</t>
        </is>
      </c>
      <c r="I8" s="87" t="inlineStr">
        <is>
          <t>Auto</t>
        </is>
      </c>
      <c r="J8" s="87" t="inlineStr">
        <is>
          <t>Description</t>
        </is>
      </c>
      <c r="K8" s="87" t="inlineStr">
        <is>
          <t>Signed amount</t>
        </is>
      </c>
      <c r="L8" s="87" t="inlineStr">
        <is>
          <t>Amount</t>
        </is>
      </c>
      <c r="M8" s="87" t="n"/>
      <c r="N8" s="87" t="n"/>
      <c r="O8" s="87" t="n"/>
      <c r="P8" s="87" t="inlineStr">
        <is>
          <t>DEBIT, DR, WITHDRAWAL, SALE, PURCHASE, CHARGE, FEE</t>
        </is>
      </c>
      <c r="Q8" s="87" t="inlineStr">
        <is>
          <t>No</t>
        </is>
      </c>
      <c r="R8" s="87" t="inlineStr">
        <is>
          <t>Memo</t>
        </is>
      </c>
      <c r="S8" s="87" t="inlineStr">
        <is>
          <t>Check Number</t>
        </is>
      </c>
      <c r="T8" s="87" t="n"/>
      <c r="U8" s="87" t="inlineStr">
        <is>
          <t>Account ID</t>
        </is>
      </c>
      <c r="V8" s="87" t="inlineStr">
        <is>
          <t>Transaction ID</t>
        </is>
      </c>
      <c r="W8" s="87" t="inlineStr">
        <is>
          <t>DATE|DESCRIPTION|AMOUNT|MEMO|CHECK NUMBER|TRANSACTION ID|TYPE|ACCOUNT ID</t>
        </is>
      </c>
      <c r="X8" s="101" t="n">
        <v>3</v>
      </c>
      <c r="Y8" s="86" t="n">
        <v>46310</v>
      </c>
      <c r="Z8" s="102" t="inlineStr">
        <is>
          <t>Sample profile for the sample savings file.</t>
        </is>
      </c>
      <c r="AA8">
        <f>IF(A8="","",COUNTIF($A$6:A8,"?*"))</f>
        <v/>
      </c>
    </row>
    <row r="9">
      <c r="A9" s="87" t="inlineStr">
        <is>
          <t>Sample Mortgage Co (Excel)</t>
        </is>
      </c>
      <c r="B9" s="87" t="inlineStr">
        <is>
          <t>Sample Mortgage Co</t>
        </is>
      </c>
      <c r="C9" s="87" t="inlineStr">
        <is>
          <t>Home Mortgage</t>
        </is>
      </c>
      <c r="D9" s="87" t="inlineStr">
        <is>
          <t>Excel</t>
        </is>
      </c>
      <c r="E9" s="87" t="inlineStr">
        <is>
          <t>Auto</t>
        </is>
      </c>
      <c r="F9" s="93" t="inlineStr">
        <is>
          <t>Auto</t>
        </is>
      </c>
      <c r="G9" s="93" t="n">
        <v>0</v>
      </c>
      <c r="H9" s="87" t="inlineStr">
        <is>
          <t>Date</t>
        </is>
      </c>
      <c r="I9" s="87" t="inlineStr">
        <is>
          <t>Auto</t>
        </is>
      </c>
      <c r="J9" s="87" t="inlineStr">
        <is>
          <t>Transaction</t>
        </is>
      </c>
      <c r="K9" s="87" t="inlineStr">
        <is>
          <t>Signed amount</t>
        </is>
      </c>
      <c r="L9" s="87" t="inlineStr">
        <is>
          <t>Principal</t>
        </is>
      </c>
      <c r="M9" s="87" t="n"/>
      <c r="N9" s="87" t="n"/>
      <c r="O9" s="87" t="n"/>
      <c r="P9" s="87" t="inlineStr">
        <is>
          <t>DEBIT, DR, WITHDRAWAL, SALE, PURCHASE, CHARGE, FEE</t>
        </is>
      </c>
      <c r="Q9" s="87" t="inlineStr">
        <is>
          <t>No</t>
        </is>
      </c>
      <c r="R9" s="87" t="n"/>
      <c r="S9" s="87" t="n"/>
      <c r="T9" s="87" t="n"/>
      <c r="U9" s="87" t="n"/>
      <c r="V9" s="87" t="n"/>
      <c r="W9" s="87" t="inlineStr">
        <is>
          <t>DATE|TRANSACTION|TOTAL PAYMENT|PRINCIPAL|INTEREST|ESCROW</t>
        </is>
      </c>
      <c r="X9" s="101" t="n">
        <v>3</v>
      </c>
      <c r="Y9" s="86" t="n">
        <v>46310</v>
      </c>
      <c r="Z9" s="102" t="inlineStr">
        <is>
          <t>Sample profile. Imports only the principal, which is what lowers the mortgage balance.</t>
        </is>
      </c>
      <c r="AA9">
        <f>IF(A9="","",COUNTIF($A$6:A9,"?*"))</f>
        <v/>
      </c>
    </row>
    <row r="10">
      <c r="A10" s="87" t="inlineStr">
        <is>
          <t>Any bank - OFX / QFX / QBO</t>
        </is>
      </c>
      <c r="B10" s="87" t="n"/>
      <c r="C10" s="87" t="n"/>
      <c r="D10" s="87" t="inlineStr">
        <is>
          <t>OFX / QFX / QBO</t>
        </is>
      </c>
      <c r="E10" s="87" t="inlineStr">
        <is>
          <t>Auto</t>
        </is>
      </c>
      <c r="F10" s="93" t="inlineStr">
        <is>
          <t>Auto</t>
        </is>
      </c>
      <c r="G10" s="93" t="n">
        <v>0</v>
      </c>
      <c r="H10" s="87" t="inlineStr">
        <is>
          <t>Date</t>
        </is>
      </c>
      <c r="I10" s="87" t="inlineStr">
        <is>
          <t>Auto</t>
        </is>
      </c>
      <c r="J10" s="87" t="inlineStr">
        <is>
          <t>Description</t>
        </is>
      </c>
      <c r="K10" s="87" t="inlineStr">
        <is>
          <t>Signed amount</t>
        </is>
      </c>
      <c r="L10" s="87" t="inlineStr">
        <is>
          <t>Amount</t>
        </is>
      </c>
      <c r="M10" s="87" t="n"/>
      <c r="N10" s="87" t="n"/>
      <c r="O10" s="87" t="n"/>
      <c r="P10" s="87" t="inlineStr">
        <is>
          <t>DEBIT, DR, WITHDRAWAL, SALE, PURCHASE, CHARGE, FEE</t>
        </is>
      </c>
      <c r="Q10" s="87" t="inlineStr">
        <is>
          <t>No</t>
        </is>
      </c>
      <c r="R10" s="87" t="inlineStr">
        <is>
          <t>Memo</t>
        </is>
      </c>
      <c r="S10" s="87" t="inlineStr">
        <is>
          <t>Check Number</t>
        </is>
      </c>
      <c r="T10" s="87" t="n"/>
      <c r="U10" s="87" t="inlineStr">
        <is>
          <t>Account ID</t>
        </is>
      </c>
      <c r="V10" s="87" t="inlineStr">
        <is>
          <t>Transaction ID</t>
        </is>
      </c>
      <c r="W10" s="87" t="n"/>
      <c r="X10" s="101" t="n"/>
      <c r="Y10" s="86" t="n"/>
      <c r="Z10" s="102" t="inlineStr">
        <is>
          <t>Starter: works with Quicken (QFX), Web Connect (QBO) and Microsoft Money (OFX) downloads. Pick the account before importing.</t>
        </is>
      </c>
      <c r="AA10">
        <f>IF(A10="","",COUNTIF($A$6:A10,"?*"))</f>
        <v/>
      </c>
    </row>
    <row r="11">
      <c r="A11" s="87" t="inlineStr">
        <is>
          <t>Chase - Checking (CSV)</t>
        </is>
      </c>
      <c r="B11" s="87" t="inlineStr">
        <is>
          <t>Chase</t>
        </is>
      </c>
      <c r="C11" s="87" t="n"/>
      <c r="D11" s="87" t="inlineStr">
        <is>
          <t>CSV / Text</t>
        </is>
      </c>
      <c r="E11" s="87" t="inlineStr">
        <is>
          <t>Comma</t>
        </is>
      </c>
      <c r="F11" s="93" t="inlineStr">
        <is>
          <t>Auto</t>
        </is>
      </c>
      <c r="G11" s="93" t="n">
        <v>0</v>
      </c>
      <c r="H11" s="87" t="inlineStr">
        <is>
          <t>Posting Date</t>
        </is>
      </c>
      <c r="I11" s="87" t="inlineStr">
        <is>
          <t>MM/DD/YYYY</t>
        </is>
      </c>
      <c r="J11" s="87" t="inlineStr">
        <is>
          <t>Description</t>
        </is>
      </c>
      <c r="K11" s="87" t="inlineStr">
        <is>
          <t>Signed amount</t>
        </is>
      </c>
      <c r="L11" s="87" t="inlineStr">
        <is>
          <t>Amount</t>
        </is>
      </c>
      <c r="M11" s="87" t="n"/>
      <c r="N11" s="87" t="n"/>
      <c r="O11" s="87" t="n"/>
      <c r="P11" s="87" t="inlineStr">
        <is>
          <t>DEBIT, DR, WITHDRAWAL, SALE, PURCHASE, CHARGE, FEE</t>
        </is>
      </c>
      <c r="Q11" s="87" t="inlineStr">
        <is>
          <t>No</t>
        </is>
      </c>
      <c r="R11" s="87" t="n"/>
      <c r="S11" s="87" t="inlineStr">
        <is>
          <t>Check or Slip #</t>
        </is>
      </c>
      <c r="T11" s="87" t="n"/>
      <c r="U11" s="87" t="n"/>
      <c r="V11" s="87" t="n"/>
      <c r="W11" s="87" t="n"/>
      <c r="X11" s="101" t="n"/>
      <c r="Y11" s="86" t="n"/>
      <c r="Z11" s="102" t="inlineStr">
        <is>
          <t>Starter layout. Check the preview the first time, then save it with your account.</t>
        </is>
      </c>
      <c r="AA11">
        <f>IF(A11="","",COUNTIF($A$6:A11,"?*"))</f>
        <v/>
      </c>
    </row>
    <row r="12">
      <c r="A12" s="87" t="inlineStr">
        <is>
          <t>Chase - Credit Card (CSV)</t>
        </is>
      </c>
      <c r="B12" s="87" t="inlineStr">
        <is>
          <t>Chase</t>
        </is>
      </c>
      <c r="C12" s="87" t="n"/>
      <c r="D12" s="87" t="inlineStr">
        <is>
          <t>CSV / Text</t>
        </is>
      </c>
      <c r="E12" s="87" t="inlineStr">
        <is>
          <t>Comma</t>
        </is>
      </c>
      <c r="F12" s="93" t="inlineStr">
        <is>
          <t>Auto</t>
        </is>
      </c>
      <c r="G12" s="93" t="n">
        <v>0</v>
      </c>
      <c r="H12" s="87" t="inlineStr">
        <is>
          <t>Transaction Date</t>
        </is>
      </c>
      <c r="I12" s="87" t="inlineStr">
        <is>
          <t>MM/DD/YYYY</t>
        </is>
      </c>
      <c r="J12" s="87" t="inlineStr">
        <is>
          <t>Description</t>
        </is>
      </c>
      <c r="K12" s="87" t="inlineStr">
        <is>
          <t>Signed amount</t>
        </is>
      </c>
      <c r="L12" s="87" t="inlineStr">
        <is>
          <t>Amount</t>
        </is>
      </c>
      <c r="M12" s="87" t="n"/>
      <c r="N12" s="87" t="n"/>
      <c r="O12" s="87" t="n"/>
      <c r="P12" s="87" t="inlineStr">
        <is>
          <t>DEBIT, DR, WITHDRAWAL, SALE, PURCHASE, CHARGE, FEE</t>
        </is>
      </c>
      <c r="Q12" s="87" t="inlineStr">
        <is>
          <t>No</t>
        </is>
      </c>
      <c r="R12" s="87" t="inlineStr">
        <is>
          <t>Memo</t>
        </is>
      </c>
      <c r="S12" s="87" t="n"/>
      <c r="T12" s="87" t="inlineStr">
        <is>
          <t>Category</t>
        </is>
      </c>
      <c r="U12" s="87" t="n"/>
      <c r="V12" s="87" t="n"/>
      <c r="W12" s="87" t="n"/>
      <c r="X12" s="101" t="n"/>
      <c r="Y12" s="86" t="n"/>
      <c r="Z12" s="102" t="inlineStr">
        <is>
          <t>Starter layout. Purchases already come in as negative amounts.</t>
        </is>
      </c>
      <c r="AA12">
        <f>IF(A12="","",COUNTIF($A$6:A12,"?*"))</f>
        <v/>
      </c>
    </row>
    <row r="13">
      <c r="A13" s="87" t="inlineStr">
        <is>
          <t>American Express (CSV)</t>
        </is>
      </c>
      <c r="B13" s="87" t="inlineStr">
        <is>
          <t>American Express</t>
        </is>
      </c>
      <c r="C13" s="87" t="n"/>
      <c r="D13" s="87" t="inlineStr">
        <is>
          <t>CSV / Text</t>
        </is>
      </c>
      <c r="E13" s="87" t="inlineStr">
        <is>
          <t>Comma</t>
        </is>
      </c>
      <c r="F13" s="93" t="inlineStr">
        <is>
          <t>Auto</t>
        </is>
      </c>
      <c r="G13" s="93" t="n">
        <v>0</v>
      </c>
      <c r="H13" s="87" t="inlineStr">
        <is>
          <t>Date</t>
        </is>
      </c>
      <c r="I13" s="87" t="inlineStr">
        <is>
          <t>MM/DD/YYYY</t>
        </is>
      </c>
      <c r="J13" s="87" t="inlineStr">
        <is>
          <t>Description</t>
        </is>
      </c>
      <c r="K13" s="87" t="inlineStr">
        <is>
          <t>Signed amount</t>
        </is>
      </c>
      <c r="L13" s="87" t="inlineStr">
        <is>
          <t>Amount</t>
        </is>
      </c>
      <c r="M13" s="87" t="n"/>
      <c r="N13" s="87" t="n"/>
      <c r="O13" s="87" t="n"/>
      <c r="P13" s="87" t="inlineStr">
        <is>
          <t>DEBIT, DR, WITHDRAWAL, SALE, PURCHASE, CHARGE, FEE</t>
        </is>
      </c>
      <c r="Q13" s="87" t="inlineStr">
        <is>
          <t>Yes</t>
        </is>
      </c>
      <c r="R13" s="87" t="n"/>
      <c r="S13" s="87" t="n"/>
      <c r="T13" s="87" t="n"/>
      <c r="U13" s="87" t="n"/>
      <c r="V13" s="87" t="n"/>
      <c r="W13" s="87" t="n"/>
      <c r="X13" s="101" t="n"/>
      <c r="Y13" s="86" t="n"/>
      <c r="Z13" s="102" t="inlineStr">
        <is>
          <t>Starter layout. Charges come in as positive amounts, so Flip Sign is Yes.</t>
        </is>
      </c>
      <c r="AA13">
        <f>IF(A13="","",COUNTIF($A$6:A13,"?*"))</f>
        <v/>
      </c>
    </row>
    <row r="14">
      <c r="A14" s="87" t="inlineStr">
        <is>
          <t>Discover (CSV)</t>
        </is>
      </c>
      <c r="B14" s="87" t="inlineStr">
        <is>
          <t>Discover</t>
        </is>
      </c>
      <c r="C14" s="87" t="n"/>
      <c r="D14" s="87" t="inlineStr">
        <is>
          <t>CSV / Text</t>
        </is>
      </c>
      <c r="E14" s="87" t="inlineStr">
        <is>
          <t>Comma</t>
        </is>
      </c>
      <c r="F14" s="93" t="inlineStr">
        <is>
          <t>Auto</t>
        </is>
      </c>
      <c r="G14" s="93" t="n">
        <v>0</v>
      </c>
      <c r="H14" s="87" t="inlineStr">
        <is>
          <t>Trans. Date</t>
        </is>
      </c>
      <c r="I14" s="87" t="inlineStr">
        <is>
          <t>MM/DD/YYYY</t>
        </is>
      </c>
      <c r="J14" s="87" t="inlineStr">
        <is>
          <t>Description</t>
        </is>
      </c>
      <c r="K14" s="87" t="inlineStr">
        <is>
          <t>Signed amount</t>
        </is>
      </c>
      <c r="L14" s="87" t="inlineStr">
        <is>
          <t>Amount</t>
        </is>
      </c>
      <c r="M14" s="87" t="n"/>
      <c r="N14" s="87" t="n"/>
      <c r="O14" s="87" t="n"/>
      <c r="P14" s="87" t="inlineStr">
        <is>
          <t>DEBIT, DR, WITHDRAWAL, SALE, PURCHASE, CHARGE, FEE</t>
        </is>
      </c>
      <c r="Q14" s="87" t="inlineStr">
        <is>
          <t>Yes</t>
        </is>
      </c>
      <c r="R14" s="87" t="n"/>
      <c r="S14" s="87" t="n"/>
      <c r="T14" s="87" t="inlineStr">
        <is>
          <t>Category</t>
        </is>
      </c>
      <c r="U14" s="87" t="n"/>
      <c r="V14" s="87" t="n"/>
      <c r="W14" s="87" t="n"/>
      <c r="X14" s="101" t="n"/>
      <c r="Y14" s="86" t="n"/>
      <c r="Z14" s="102" t="inlineStr">
        <is>
          <t>Starter layout. Purchases come in as positive amounts, so Flip Sign is Yes.</t>
        </is>
      </c>
      <c r="AA14">
        <f>IF(A14="","",COUNTIF($A$6:A14,"?*"))</f>
        <v/>
      </c>
    </row>
    <row r="15">
      <c r="A15" s="87" t="inlineStr">
        <is>
          <t>Capital One (CSV)</t>
        </is>
      </c>
      <c r="B15" s="87" t="inlineStr">
        <is>
          <t>Capital One</t>
        </is>
      </c>
      <c r="C15" s="87" t="n"/>
      <c r="D15" s="87" t="inlineStr">
        <is>
          <t>CSV / Text</t>
        </is>
      </c>
      <c r="E15" s="87" t="inlineStr">
        <is>
          <t>Comma</t>
        </is>
      </c>
      <c r="F15" s="93" t="inlineStr">
        <is>
          <t>Auto</t>
        </is>
      </c>
      <c r="G15" s="93" t="n">
        <v>0</v>
      </c>
      <c r="H15" s="87" t="inlineStr">
        <is>
          <t>Transaction Date</t>
        </is>
      </c>
      <c r="I15" s="87" t="inlineStr">
        <is>
          <t>Auto</t>
        </is>
      </c>
      <c r="J15" s="87" t="inlineStr">
        <is>
          <t>Description</t>
        </is>
      </c>
      <c r="K15" s="87" t="inlineStr">
        <is>
          <t>Debit / Credit columns</t>
        </is>
      </c>
      <c r="L15" s="87" t="n"/>
      <c r="M15" s="87" t="inlineStr">
        <is>
          <t>Debit</t>
        </is>
      </c>
      <c r="N15" s="87" t="inlineStr">
        <is>
          <t>Credit</t>
        </is>
      </c>
      <c r="O15" s="87" t="n"/>
      <c r="P15" s="87" t="inlineStr">
        <is>
          <t>DEBIT, DR, WITHDRAWAL, SALE, PURCHASE, CHARGE, FEE</t>
        </is>
      </c>
      <c r="Q15" s="87" t="inlineStr">
        <is>
          <t>No</t>
        </is>
      </c>
      <c r="R15" s="87" t="n"/>
      <c r="S15" s="87" t="n"/>
      <c r="T15" s="87" t="inlineStr">
        <is>
          <t>Category</t>
        </is>
      </c>
      <c r="U15" s="87" t="n"/>
      <c r="V15" s="87" t="n"/>
      <c r="W15" s="87" t="n"/>
      <c r="X15" s="101" t="n"/>
      <c r="Y15" s="86" t="n"/>
      <c r="Z15" s="102" t="inlineStr">
        <is>
          <t>Starter layout with separate Debit and Credit columns.</t>
        </is>
      </c>
      <c r="AA15">
        <f>IF(A15="","",COUNTIF($A$6:A15,"?*"))</f>
        <v/>
      </c>
    </row>
    <row r="16">
      <c r="A16" s="87" t="inlineStr">
        <is>
          <t>Wells Fargo (CSV, no header)</t>
        </is>
      </c>
      <c r="B16" s="87" t="inlineStr">
        <is>
          <t>Wells Fargo</t>
        </is>
      </c>
      <c r="C16" s="87" t="n"/>
      <c r="D16" s="87" t="inlineStr">
        <is>
          <t>CSV / Text</t>
        </is>
      </c>
      <c r="E16" s="87" t="inlineStr">
        <is>
          <t>Comma</t>
        </is>
      </c>
      <c r="F16" s="93" t="n">
        <v>0</v>
      </c>
      <c r="G16" s="93" t="n">
        <v>0</v>
      </c>
      <c r="H16" s="87" t="inlineStr">
        <is>
          <t>Column 1</t>
        </is>
      </c>
      <c r="I16" s="87" t="inlineStr">
        <is>
          <t>MM/DD/YYYY</t>
        </is>
      </c>
      <c r="J16" s="87" t="inlineStr">
        <is>
          <t>Column 5</t>
        </is>
      </c>
      <c r="K16" s="87" t="inlineStr">
        <is>
          <t>Signed amount</t>
        </is>
      </c>
      <c r="L16" s="87" t="inlineStr">
        <is>
          <t>Column 2</t>
        </is>
      </c>
      <c r="M16" s="87" t="n"/>
      <c r="N16" s="87" t="n"/>
      <c r="O16" s="87" t="n"/>
      <c r="P16" s="87" t="inlineStr">
        <is>
          <t>DEBIT, DR, WITHDRAWAL, SALE, PURCHASE, CHARGE, FEE</t>
        </is>
      </c>
      <c r="Q16" s="87" t="inlineStr">
        <is>
          <t>No</t>
        </is>
      </c>
      <c r="R16" s="87" t="n"/>
      <c r="S16" s="87" t="inlineStr">
        <is>
          <t>Column 4</t>
        </is>
      </c>
      <c r="T16" s="87" t="n"/>
      <c r="U16" s="87" t="n"/>
      <c r="V16" s="87" t="n"/>
      <c r="W16" s="87" t="n"/>
      <c r="X16" s="101" t="n"/>
      <c r="Y16" s="86" t="n"/>
      <c r="Z16" s="102" t="inlineStr">
        <is>
          <t>Starter layout. The file has no header row: date, amount, *, check number, description.</t>
        </is>
      </c>
      <c r="AA16">
        <f>IF(A16="","",COUNTIF($A$6:A16,"?*"))</f>
        <v/>
      </c>
    </row>
    <row r="17">
      <c r="A17" s="87" t="n"/>
      <c r="B17" s="87" t="n"/>
      <c r="C17" s="87" t="n"/>
      <c r="D17" s="87" t="n"/>
      <c r="E17" s="87" t="n"/>
      <c r="F17" s="93" t="n"/>
      <c r="G17" s="93" t="n"/>
      <c r="H17" s="87" t="n"/>
      <c r="I17" s="87" t="n"/>
      <c r="J17" s="87" t="n"/>
      <c r="K17" s="87" t="n"/>
      <c r="L17" s="87" t="n"/>
      <c r="M17" s="87" t="n"/>
      <c r="N17" s="87" t="n"/>
      <c r="O17" s="87" t="n"/>
      <c r="P17" s="87" t="n"/>
      <c r="Q17" s="87" t="n"/>
      <c r="R17" s="87" t="n"/>
      <c r="S17" s="87" t="n"/>
      <c r="T17" s="87" t="n"/>
      <c r="U17" s="87" t="n"/>
      <c r="V17" s="87" t="n"/>
      <c r="W17" s="87" t="n"/>
      <c r="X17" s="101" t="n"/>
      <c r="Y17" s="86" t="n"/>
      <c r="Z17" s="102" t="n"/>
      <c r="AA17">
        <f>IF(A17="","",COUNTIF($A$6:A17,"?*"))</f>
        <v/>
      </c>
    </row>
    <row r="18">
      <c r="A18" s="87" t="n"/>
      <c r="B18" s="87" t="n"/>
      <c r="C18" s="87" t="n"/>
      <c r="D18" s="87" t="n"/>
      <c r="E18" s="87" t="n"/>
      <c r="F18" s="93" t="n"/>
      <c r="G18" s="93" t="n"/>
      <c r="H18" s="87" t="n"/>
      <c r="I18" s="87" t="n"/>
      <c r="J18" s="87" t="n"/>
      <c r="K18" s="87" t="n"/>
      <c r="L18" s="87" t="n"/>
      <c r="M18" s="87" t="n"/>
      <c r="N18" s="87" t="n"/>
      <c r="O18" s="87" t="n"/>
      <c r="P18" s="87" t="n"/>
      <c r="Q18" s="87" t="n"/>
      <c r="R18" s="87" t="n"/>
      <c r="S18" s="87" t="n"/>
      <c r="T18" s="87" t="n"/>
      <c r="U18" s="87" t="n"/>
      <c r="V18" s="87" t="n"/>
      <c r="W18" s="87" t="n"/>
      <c r="X18" s="101" t="n"/>
      <c r="Y18" s="86" t="n"/>
      <c r="Z18" s="102" t="n"/>
      <c r="AA18">
        <f>IF(A18="","",COUNTIF($A$6:A18,"?*"))</f>
        <v/>
      </c>
    </row>
    <row r="19">
      <c r="A19" s="87" t="n"/>
      <c r="B19" s="87" t="n"/>
      <c r="C19" s="87" t="n"/>
      <c r="D19" s="87" t="n"/>
      <c r="E19" s="87" t="n"/>
      <c r="F19" s="93" t="n"/>
      <c r="G19" s="93" t="n"/>
      <c r="H19" s="87" t="n"/>
      <c r="I19" s="87" t="n"/>
      <c r="J19" s="87" t="n"/>
      <c r="K19" s="87" t="n"/>
      <c r="L19" s="87" t="n"/>
      <c r="M19" s="87" t="n"/>
      <c r="N19" s="87" t="n"/>
      <c r="O19" s="87" t="n"/>
      <c r="P19" s="87" t="n"/>
      <c r="Q19" s="87" t="n"/>
      <c r="R19" s="87" t="n"/>
      <c r="S19" s="87" t="n"/>
      <c r="T19" s="87" t="n"/>
      <c r="U19" s="87" t="n"/>
      <c r="V19" s="87" t="n"/>
      <c r="W19" s="87" t="n"/>
      <c r="X19" s="101" t="n"/>
      <c r="Y19" s="86" t="n"/>
      <c r="Z19" s="102" t="n"/>
      <c r="AA19">
        <f>IF(A19="","",COUNTIF($A$6:A19,"?*"))</f>
        <v/>
      </c>
    </row>
    <row r="20">
      <c r="A20" s="87" t="n"/>
      <c r="B20" s="87" t="n"/>
      <c r="C20" s="87" t="n"/>
      <c r="D20" s="87" t="n"/>
      <c r="E20" s="87" t="n"/>
      <c r="F20" s="93" t="n"/>
      <c r="G20" s="93" t="n"/>
      <c r="H20" s="87" t="n"/>
      <c r="I20" s="87" t="n"/>
      <c r="J20" s="87" t="n"/>
      <c r="K20" s="87" t="n"/>
      <c r="L20" s="87" t="n"/>
      <c r="M20" s="87" t="n"/>
      <c r="N20" s="87" t="n"/>
      <c r="O20" s="87" t="n"/>
      <c r="P20" s="87" t="n"/>
      <c r="Q20" s="87" t="n"/>
      <c r="R20" s="87" t="n"/>
      <c r="S20" s="87" t="n"/>
      <c r="T20" s="87" t="n"/>
      <c r="U20" s="87" t="n"/>
      <c r="V20" s="87" t="n"/>
      <c r="W20" s="87" t="n"/>
      <c r="X20" s="101" t="n"/>
      <c r="Y20" s="86" t="n"/>
      <c r="Z20" s="102" t="n"/>
      <c r="AA20">
        <f>IF(A20="","",COUNTIF($A$6:A20,"?*"))</f>
        <v/>
      </c>
    </row>
    <row r="21">
      <c r="A21" s="87" t="n"/>
      <c r="B21" s="87" t="n"/>
      <c r="C21" s="87" t="n"/>
      <c r="D21" s="87" t="n"/>
      <c r="E21" s="87" t="n"/>
      <c r="F21" s="93" t="n"/>
      <c r="G21" s="93" t="n"/>
      <c r="H21" s="87" t="n"/>
      <c r="I21" s="87" t="n"/>
      <c r="J21" s="87" t="n"/>
      <c r="K21" s="87" t="n"/>
      <c r="L21" s="87" t="n"/>
      <c r="M21" s="87" t="n"/>
      <c r="N21" s="87" t="n"/>
      <c r="O21" s="87" t="n"/>
      <c r="P21" s="87" t="n"/>
      <c r="Q21" s="87" t="n"/>
      <c r="R21" s="87" t="n"/>
      <c r="S21" s="87" t="n"/>
      <c r="T21" s="87" t="n"/>
      <c r="U21" s="87" t="n"/>
      <c r="V21" s="87" t="n"/>
      <c r="W21" s="87" t="n"/>
      <c r="X21" s="101" t="n"/>
      <c r="Y21" s="86" t="n"/>
      <c r="Z21" s="102" t="n"/>
      <c r="AA21">
        <f>IF(A21="","",COUNTIF($A$6:A21,"?*"))</f>
        <v/>
      </c>
    </row>
    <row r="22">
      <c r="A22" s="87" t="n"/>
      <c r="B22" s="87" t="n"/>
      <c r="C22" s="87" t="n"/>
      <c r="D22" s="87" t="n"/>
      <c r="E22" s="87" t="n"/>
      <c r="F22" s="93" t="n"/>
      <c r="G22" s="93" t="n"/>
      <c r="H22" s="87" t="n"/>
      <c r="I22" s="87" t="n"/>
      <c r="J22" s="87" t="n"/>
      <c r="K22" s="87" t="n"/>
      <c r="L22" s="87" t="n"/>
      <c r="M22" s="87" t="n"/>
      <c r="N22" s="87" t="n"/>
      <c r="O22" s="87" t="n"/>
      <c r="P22" s="87" t="n"/>
      <c r="Q22" s="87" t="n"/>
      <c r="R22" s="87" t="n"/>
      <c r="S22" s="87" t="n"/>
      <c r="T22" s="87" t="n"/>
      <c r="U22" s="87" t="n"/>
      <c r="V22" s="87" t="n"/>
      <c r="W22" s="87" t="n"/>
      <c r="X22" s="101" t="n"/>
      <c r="Y22" s="86" t="n"/>
      <c r="Z22" s="102" t="n"/>
      <c r="AA22">
        <f>IF(A22="","",COUNTIF($A$6:A22,"?*"))</f>
        <v/>
      </c>
    </row>
    <row r="23">
      <c r="A23" s="87" t="n"/>
      <c r="B23" s="87" t="n"/>
      <c r="C23" s="87" t="n"/>
      <c r="D23" s="87" t="n"/>
      <c r="E23" s="87" t="n"/>
      <c r="F23" s="93" t="n"/>
      <c r="G23" s="93" t="n"/>
      <c r="H23" s="87" t="n"/>
      <c r="I23" s="87" t="n"/>
      <c r="J23" s="87" t="n"/>
      <c r="K23" s="87" t="n"/>
      <c r="L23" s="87" t="n"/>
      <c r="M23" s="87" t="n"/>
      <c r="N23" s="87" t="n"/>
      <c r="O23" s="87" t="n"/>
      <c r="P23" s="87" t="n"/>
      <c r="Q23" s="87" t="n"/>
      <c r="R23" s="87" t="n"/>
      <c r="S23" s="87" t="n"/>
      <c r="T23" s="87" t="n"/>
      <c r="U23" s="87" t="n"/>
      <c r="V23" s="87" t="n"/>
      <c r="W23" s="87" t="n"/>
      <c r="X23" s="101" t="n"/>
      <c r="Y23" s="86" t="n"/>
      <c r="Z23" s="102" t="n"/>
      <c r="AA23">
        <f>IF(A23="","",COUNTIF($A$6:A23,"?*"))</f>
        <v/>
      </c>
    </row>
    <row r="24">
      <c r="A24" s="87" t="n"/>
      <c r="B24" s="87" t="n"/>
      <c r="C24" s="87" t="n"/>
      <c r="D24" s="87" t="n"/>
      <c r="E24" s="87" t="n"/>
      <c r="F24" s="93" t="n"/>
      <c r="G24" s="93" t="n"/>
      <c r="H24" s="87" t="n"/>
      <c r="I24" s="87" t="n"/>
      <c r="J24" s="87" t="n"/>
      <c r="K24" s="87" t="n"/>
      <c r="L24" s="87" t="n"/>
      <c r="M24" s="87" t="n"/>
      <c r="N24" s="87" t="n"/>
      <c r="O24" s="87" t="n"/>
      <c r="P24" s="87" t="n"/>
      <c r="Q24" s="87" t="n"/>
      <c r="R24" s="87" t="n"/>
      <c r="S24" s="87" t="n"/>
      <c r="T24" s="87" t="n"/>
      <c r="U24" s="87" t="n"/>
      <c r="V24" s="87" t="n"/>
      <c r="W24" s="87" t="n"/>
      <c r="X24" s="101" t="n"/>
      <c r="Y24" s="86" t="n"/>
      <c r="Z24" s="102" t="n"/>
      <c r="AA24">
        <f>IF(A24="","",COUNTIF($A$6:A24,"?*"))</f>
        <v/>
      </c>
    </row>
    <row r="25">
      <c r="A25" s="87" t="n"/>
      <c r="B25" s="87" t="n"/>
      <c r="C25" s="87" t="n"/>
      <c r="D25" s="87" t="n"/>
      <c r="E25" s="87" t="n"/>
      <c r="F25" s="93" t="n"/>
      <c r="G25" s="93" t="n"/>
      <c r="H25" s="87" t="n"/>
      <c r="I25" s="87" t="n"/>
      <c r="J25" s="87" t="n"/>
      <c r="K25" s="87" t="n"/>
      <c r="L25" s="87" t="n"/>
      <c r="M25" s="87" t="n"/>
      <c r="N25" s="87" t="n"/>
      <c r="O25" s="87" t="n"/>
      <c r="P25" s="87" t="n"/>
      <c r="Q25" s="87" t="n"/>
      <c r="R25" s="87" t="n"/>
      <c r="S25" s="87" t="n"/>
      <c r="T25" s="87" t="n"/>
      <c r="U25" s="87" t="n"/>
      <c r="V25" s="87" t="n"/>
      <c r="W25" s="87" t="n"/>
      <c r="X25" s="101" t="n"/>
      <c r="Y25" s="86" t="n"/>
      <c r="Z25" s="102" t="n"/>
      <c r="AA25">
        <f>IF(A25="","",COUNTIF($A$6:A25,"?*"))</f>
        <v/>
      </c>
    </row>
    <row r="26">
      <c r="A26" s="87" t="n"/>
      <c r="B26" s="87" t="n"/>
      <c r="C26" s="87" t="n"/>
      <c r="D26" s="87" t="n"/>
      <c r="E26" s="87" t="n"/>
      <c r="F26" s="93" t="n"/>
      <c r="G26" s="93" t="n"/>
      <c r="H26" s="87" t="n"/>
      <c r="I26" s="87" t="n"/>
      <c r="J26" s="87" t="n"/>
      <c r="K26" s="87" t="n"/>
      <c r="L26" s="87" t="n"/>
      <c r="M26" s="87" t="n"/>
      <c r="N26" s="87" t="n"/>
      <c r="O26" s="87" t="n"/>
      <c r="P26" s="87" t="n"/>
      <c r="Q26" s="87" t="n"/>
      <c r="R26" s="87" t="n"/>
      <c r="S26" s="87" t="n"/>
      <c r="T26" s="87" t="n"/>
      <c r="U26" s="87" t="n"/>
      <c r="V26" s="87" t="n"/>
      <c r="W26" s="87" t="n"/>
      <c r="X26" s="101" t="n"/>
      <c r="Y26" s="86" t="n"/>
      <c r="Z26" s="102" t="n"/>
      <c r="AA26">
        <f>IF(A26="","",COUNTIF($A$6:A26,"?*"))</f>
        <v/>
      </c>
    </row>
    <row r="27">
      <c r="A27" s="87" t="n"/>
      <c r="B27" s="87" t="n"/>
      <c r="C27" s="87" t="n"/>
      <c r="D27" s="87" t="n"/>
      <c r="E27" s="87" t="n"/>
      <c r="F27" s="93" t="n"/>
      <c r="G27" s="93" t="n"/>
      <c r="H27" s="87" t="n"/>
      <c r="I27" s="87" t="n"/>
      <c r="J27" s="87" t="n"/>
      <c r="K27" s="87" t="n"/>
      <c r="L27" s="87" t="n"/>
      <c r="M27" s="87" t="n"/>
      <c r="N27" s="87" t="n"/>
      <c r="O27" s="87" t="n"/>
      <c r="P27" s="87" t="n"/>
      <c r="Q27" s="87" t="n"/>
      <c r="R27" s="87" t="n"/>
      <c r="S27" s="87" t="n"/>
      <c r="T27" s="87" t="n"/>
      <c r="U27" s="87" t="n"/>
      <c r="V27" s="87" t="n"/>
      <c r="W27" s="87" t="n"/>
      <c r="X27" s="101" t="n"/>
      <c r="Y27" s="86" t="n"/>
      <c r="Z27" s="102" t="n"/>
      <c r="AA27">
        <f>IF(A27="","",COUNTIF($A$6:A27,"?*"))</f>
        <v/>
      </c>
    </row>
    <row r="28">
      <c r="A28" s="87" t="n"/>
      <c r="B28" s="87" t="n"/>
      <c r="C28" s="87" t="n"/>
      <c r="D28" s="87" t="n"/>
      <c r="E28" s="87" t="n"/>
      <c r="F28" s="93" t="n"/>
      <c r="G28" s="93" t="n"/>
      <c r="H28" s="87" t="n"/>
      <c r="I28" s="87" t="n"/>
      <c r="J28" s="87" t="n"/>
      <c r="K28" s="87" t="n"/>
      <c r="L28" s="87" t="n"/>
      <c r="M28" s="87" t="n"/>
      <c r="N28" s="87" t="n"/>
      <c r="O28" s="87" t="n"/>
      <c r="P28" s="87" t="n"/>
      <c r="Q28" s="87" t="n"/>
      <c r="R28" s="87" t="n"/>
      <c r="S28" s="87" t="n"/>
      <c r="T28" s="87" t="n"/>
      <c r="U28" s="87" t="n"/>
      <c r="V28" s="87" t="n"/>
      <c r="W28" s="87" t="n"/>
      <c r="X28" s="101" t="n"/>
      <c r="Y28" s="86" t="n"/>
      <c r="Z28" s="102" t="n"/>
      <c r="AA28">
        <f>IF(A28="","",COUNTIF($A$6:A28,"?*"))</f>
        <v/>
      </c>
    </row>
    <row r="29">
      <c r="A29" s="87" t="n"/>
      <c r="B29" s="87" t="n"/>
      <c r="C29" s="87" t="n"/>
      <c r="D29" s="87" t="n"/>
      <c r="E29" s="87" t="n"/>
      <c r="F29" s="93" t="n"/>
      <c r="G29" s="93" t="n"/>
      <c r="H29" s="87" t="n"/>
      <c r="I29" s="87" t="n"/>
      <c r="J29" s="87" t="n"/>
      <c r="K29" s="87" t="n"/>
      <c r="L29" s="87" t="n"/>
      <c r="M29" s="87" t="n"/>
      <c r="N29" s="87" t="n"/>
      <c r="O29" s="87" t="n"/>
      <c r="P29" s="87" t="n"/>
      <c r="Q29" s="87" t="n"/>
      <c r="R29" s="87" t="n"/>
      <c r="S29" s="87" t="n"/>
      <c r="T29" s="87" t="n"/>
      <c r="U29" s="87" t="n"/>
      <c r="V29" s="87" t="n"/>
      <c r="W29" s="87" t="n"/>
      <c r="X29" s="101" t="n"/>
      <c r="Y29" s="86" t="n"/>
      <c r="Z29" s="102" t="n"/>
      <c r="AA29">
        <f>IF(A29="","",COUNTIF($A$6:A29,"?*"))</f>
        <v/>
      </c>
    </row>
    <row r="30">
      <c r="A30" s="87" t="n"/>
      <c r="B30" s="87" t="n"/>
      <c r="C30" s="87" t="n"/>
      <c r="D30" s="87" t="n"/>
      <c r="E30" s="87" t="n"/>
      <c r="F30" s="93" t="n"/>
      <c r="G30" s="93" t="n"/>
      <c r="H30" s="87" t="n"/>
      <c r="I30" s="87" t="n"/>
      <c r="J30" s="87" t="n"/>
      <c r="K30" s="87" t="n"/>
      <c r="L30" s="87" t="n"/>
      <c r="M30" s="87" t="n"/>
      <c r="N30" s="87" t="n"/>
      <c r="O30" s="87" t="n"/>
      <c r="P30" s="87" t="n"/>
      <c r="Q30" s="87" t="n"/>
      <c r="R30" s="87" t="n"/>
      <c r="S30" s="87" t="n"/>
      <c r="T30" s="87" t="n"/>
      <c r="U30" s="87" t="n"/>
      <c r="V30" s="87" t="n"/>
      <c r="W30" s="87" t="n"/>
      <c r="X30" s="101" t="n"/>
      <c r="Y30" s="86" t="n"/>
      <c r="Z30" s="102" t="n"/>
      <c r="AA30">
        <f>IF(A30="","",COUNTIF($A$6:A30,"?*"))</f>
        <v/>
      </c>
    </row>
    <row r="31">
      <c r="A31" s="87" t="n"/>
      <c r="B31" s="87" t="n"/>
      <c r="C31" s="87" t="n"/>
      <c r="D31" s="87" t="n"/>
      <c r="E31" s="87" t="n"/>
      <c r="F31" s="93" t="n"/>
      <c r="G31" s="93" t="n"/>
      <c r="H31" s="87" t="n"/>
      <c r="I31" s="87" t="n"/>
      <c r="J31" s="87" t="n"/>
      <c r="K31" s="87" t="n"/>
      <c r="L31" s="87" t="n"/>
      <c r="M31" s="87" t="n"/>
      <c r="N31" s="87" t="n"/>
      <c r="O31" s="87" t="n"/>
      <c r="P31" s="87" t="n"/>
      <c r="Q31" s="87" t="n"/>
      <c r="R31" s="87" t="n"/>
      <c r="S31" s="87" t="n"/>
      <c r="T31" s="87" t="n"/>
      <c r="U31" s="87" t="n"/>
      <c r="V31" s="87" t="n"/>
      <c r="W31" s="87" t="n"/>
      <c r="X31" s="101" t="n"/>
      <c r="Y31" s="86" t="n"/>
      <c r="Z31" s="102" t="n"/>
      <c r="AA31">
        <f>IF(A31="","",COUNTIF($A$6:A31,"?*"))</f>
        <v/>
      </c>
    </row>
    <row r="32">
      <c r="A32" s="87" t="n"/>
      <c r="B32" s="87" t="n"/>
      <c r="C32" s="87" t="n"/>
      <c r="D32" s="87" t="n"/>
      <c r="E32" s="87" t="n"/>
      <c r="F32" s="93" t="n"/>
      <c r="G32" s="93" t="n"/>
      <c r="H32" s="87" t="n"/>
      <c r="I32" s="87" t="n"/>
      <c r="J32" s="87" t="n"/>
      <c r="K32" s="87" t="n"/>
      <c r="L32" s="87" t="n"/>
      <c r="M32" s="87" t="n"/>
      <c r="N32" s="87" t="n"/>
      <c r="O32" s="87" t="n"/>
      <c r="P32" s="87" t="n"/>
      <c r="Q32" s="87" t="n"/>
      <c r="R32" s="87" t="n"/>
      <c r="S32" s="87" t="n"/>
      <c r="T32" s="87" t="n"/>
      <c r="U32" s="87" t="n"/>
      <c r="V32" s="87" t="n"/>
      <c r="W32" s="87" t="n"/>
      <c r="X32" s="101" t="n"/>
      <c r="Y32" s="86" t="n"/>
      <c r="Z32" s="102" t="n"/>
      <c r="AA32">
        <f>IF(A32="","",COUNTIF($A$6:A32,"?*"))</f>
        <v/>
      </c>
    </row>
    <row r="33">
      <c r="A33" s="87" t="n"/>
      <c r="B33" s="87" t="n"/>
      <c r="C33" s="87" t="n"/>
      <c r="D33" s="87" t="n"/>
      <c r="E33" s="87" t="n"/>
      <c r="F33" s="93" t="n"/>
      <c r="G33" s="93" t="n"/>
      <c r="H33" s="87" t="n"/>
      <c r="I33" s="87" t="n"/>
      <c r="J33" s="87" t="n"/>
      <c r="K33" s="87" t="n"/>
      <c r="L33" s="87" t="n"/>
      <c r="M33" s="87" t="n"/>
      <c r="N33" s="87" t="n"/>
      <c r="O33" s="87" t="n"/>
      <c r="P33" s="87" t="n"/>
      <c r="Q33" s="87" t="n"/>
      <c r="R33" s="87" t="n"/>
      <c r="S33" s="87" t="n"/>
      <c r="T33" s="87" t="n"/>
      <c r="U33" s="87" t="n"/>
      <c r="V33" s="87" t="n"/>
      <c r="W33" s="87" t="n"/>
      <c r="X33" s="101" t="n"/>
      <c r="Y33" s="86" t="n"/>
      <c r="Z33" s="102" t="n"/>
      <c r="AA33">
        <f>IF(A33="","",COUNTIF($A$6:A33,"?*"))</f>
        <v/>
      </c>
    </row>
    <row r="34">
      <c r="A34" s="87" t="n"/>
      <c r="B34" s="87" t="n"/>
      <c r="C34" s="87" t="n"/>
      <c r="D34" s="87" t="n"/>
      <c r="E34" s="87" t="n"/>
      <c r="F34" s="93" t="n"/>
      <c r="G34" s="93" t="n"/>
      <c r="H34" s="87" t="n"/>
      <c r="I34" s="87" t="n"/>
      <c r="J34" s="87" t="n"/>
      <c r="K34" s="87" t="n"/>
      <c r="L34" s="87" t="n"/>
      <c r="M34" s="87" t="n"/>
      <c r="N34" s="87" t="n"/>
      <c r="O34" s="87" t="n"/>
      <c r="P34" s="87" t="n"/>
      <c r="Q34" s="87" t="n"/>
      <c r="R34" s="87" t="n"/>
      <c r="S34" s="87" t="n"/>
      <c r="T34" s="87" t="n"/>
      <c r="U34" s="87" t="n"/>
      <c r="V34" s="87" t="n"/>
      <c r="W34" s="87" t="n"/>
      <c r="X34" s="101" t="n"/>
      <c r="Y34" s="86" t="n"/>
      <c r="Z34" s="102" t="n"/>
      <c r="AA34">
        <f>IF(A34="","",COUNTIF($A$6:A34,"?*"))</f>
        <v/>
      </c>
    </row>
    <row r="35">
      <c r="A35" s="87" t="n"/>
      <c r="B35" s="87" t="n"/>
      <c r="C35" s="87" t="n"/>
      <c r="D35" s="87" t="n"/>
      <c r="E35" s="87" t="n"/>
      <c r="F35" s="93" t="n"/>
      <c r="G35" s="93" t="n"/>
      <c r="H35" s="87" t="n"/>
      <c r="I35" s="87" t="n"/>
      <c r="J35" s="87" t="n"/>
      <c r="K35" s="87" t="n"/>
      <c r="L35" s="87" t="n"/>
      <c r="M35" s="87" t="n"/>
      <c r="N35" s="87" t="n"/>
      <c r="O35" s="87" t="n"/>
      <c r="P35" s="87" t="n"/>
      <c r="Q35" s="87" t="n"/>
      <c r="R35" s="87" t="n"/>
      <c r="S35" s="87" t="n"/>
      <c r="T35" s="87" t="n"/>
      <c r="U35" s="87" t="n"/>
      <c r="V35" s="87" t="n"/>
      <c r="W35" s="87" t="n"/>
      <c r="X35" s="101" t="n"/>
      <c r="Y35" s="86" t="n"/>
      <c r="Z35" s="102" t="n"/>
      <c r="AA35">
        <f>IF(A35="","",COUNTIF($A$6:A35,"?*"))</f>
        <v/>
      </c>
    </row>
    <row r="36">
      <c r="A36" s="87" t="n"/>
      <c r="B36" s="87" t="n"/>
      <c r="C36" s="87" t="n"/>
      <c r="D36" s="87" t="n"/>
      <c r="E36" s="87" t="n"/>
      <c r="F36" s="93" t="n"/>
      <c r="G36" s="93" t="n"/>
      <c r="H36" s="87" t="n"/>
      <c r="I36" s="87" t="n"/>
      <c r="J36" s="87" t="n"/>
      <c r="K36" s="87" t="n"/>
      <c r="L36" s="87" t="n"/>
      <c r="M36" s="87" t="n"/>
      <c r="N36" s="87" t="n"/>
      <c r="O36" s="87" t="n"/>
      <c r="P36" s="87" t="n"/>
      <c r="Q36" s="87" t="n"/>
      <c r="R36" s="87" t="n"/>
      <c r="S36" s="87" t="n"/>
      <c r="T36" s="87" t="n"/>
      <c r="U36" s="87" t="n"/>
      <c r="V36" s="87" t="n"/>
      <c r="W36" s="87" t="n"/>
      <c r="X36" s="101" t="n"/>
      <c r="Y36" s="86" t="n"/>
      <c r="Z36" s="102" t="n"/>
      <c r="AA36">
        <f>IF(A36="","",COUNTIF($A$6:A36,"?*"))</f>
        <v/>
      </c>
    </row>
    <row r="37">
      <c r="A37" s="87" t="n"/>
      <c r="B37" s="87" t="n"/>
      <c r="C37" s="87" t="n"/>
      <c r="D37" s="87" t="n"/>
      <c r="E37" s="87" t="n"/>
      <c r="F37" s="93" t="n"/>
      <c r="G37" s="93" t="n"/>
      <c r="H37" s="87" t="n"/>
      <c r="I37" s="87" t="n"/>
      <c r="J37" s="87" t="n"/>
      <c r="K37" s="87" t="n"/>
      <c r="L37" s="87" t="n"/>
      <c r="M37" s="87" t="n"/>
      <c r="N37" s="87" t="n"/>
      <c r="O37" s="87" t="n"/>
      <c r="P37" s="87" t="n"/>
      <c r="Q37" s="87" t="n"/>
      <c r="R37" s="87" t="n"/>
      <c r="S37" s="87" t="n"/>
      <c r="T37" s="87" t="n"/>
      <c r="U37" s="87" t="n"/>
      <c r="V37" s="87" t="n"/>
      <c r="W37" s="87" t="n"/>
      <c r="X37" s="101" t="n"/>
      <c r="Y37" s="86" t="n"/>
      <c r="Z37" s="102" t="n"/>
      <c r="AA37">
        <f>IF(A37="","",COUNTIF($A$6:A37,"?*"))</f>
        <v/>
      </c>
    </row>
    <row r="38">
      <c r="A38" s="87" t="n"/>
      <c r="B38" s="87" t="n"/>
      <c r="C38" s="87" t="n"/>
      <c r="D38" s="87" t="n"/>
      <c r="E38" s="87" t="n"/>
      <c r="F38" s="93" t="n"/>
      <c r="G38" s="93" t="n"/>
      <c r="H38" s="87" t="n"/>
      <c r="I38" s="87" t="n"/>
      <c r="J38" s="87" t="n"/>
      <c r="K38" s="87" t="n"/>
      <c r="L38" s="87" t="n"/>
      <c r="M38" s="87" t="n"/>
      <c r="N38" s="87" t="n"/>
      <c r="O38" s="87" t="n"/>
      <c r="P38" s="87" t="n"/>
      <c r="Q38" s="87" t="n"/>
      <c r="R38" s="87" t="n"/>
      <c r="S38" s="87" t="n"/>
      <c r="T38" s="87" t="n"/>
      <c r="U38" s="87" t="n"/>
      <c r="V38" s="87" t="n"/>
      <c r="W38" s="87" t="n"/>
      <c r="X38" s="101" t="n"/>
      <c r="Y38" s="86" t="n"/>
      <c r="Z38" s="102" t="n"/>
      <c r="AA38">
        <f>IF(A38="","",COUNTIF($A$6:A38,"?*"))</f>
        <v/>
      </c>
    </row>
    <row r="39">
      <c r="A39" s="87" t="n"/>
      <c r="B39" s="87" t="n"/>
      <c r="C39" s="87" t="n"/>
      <c r="D39" s="87" t="n"/>
      <c r="E39" s="87" t="n"/>
      <c r="F39" s="93" t="n"/>
      <c r="G39" s="93" t="n"/>
      <c r="H39" s="87" t="n"/>
      <c r="I39" s="87" t="n"/>
      <c r="J39" s="87" t="n"/>
      <c r="K39" s="87" t="n"/>
      <c r="L39" s="87" t="n"/>
      <c r="M39" s="87" t="n"/>
      <c r="N39" s="87" t="n"/>
      <c r="O39" s="87" t="n"/>
      <c r="P39" s="87" t="n"/>
      <c r="Q39" s="87" t="n"/>
      <c r="R39" s="87" t="n"/>
      <c r="S39" s="87" t="n"/>
      <c r="T39" s="87" t="n"/>
      <c r="U39" s="87" t="n"/>
      <c r="V39" s="87" t="n"/>
      <c r="W39" s="87" t="n"/>
      <c r="X39" s="101" t="n"/>
      <c r="Y39" s="86" t="n"/>
      <c r="Z39" s="102" t="n"/>
      <c r="AA39">
        <f>IF(A39="","",COUNTIF($A$6:A39,"?*"))</f>
        <v/>
      </c>
    </row>
    <row r="40">
      <c r="A40" s="87" t="n"/>
      <c r="B40" s="87" t="n"/>
      <c r="C40" s="87" t="n"/>
      <c r="D40" s="87" t="n"/>
      <c r="E40" s="87" t="n"/>
      <c r="F40" s="93" t="n"/>
      <c r="G40" s="93" t="n"/>
      <c r="H40" s="87" t="n"/>
      <c r="I40" s="87" t="n"/>
      <c r="J40" s="87" t="n"/>
      <c r="K40" s="87" t="n"/>
      <c r="L40" s="87" t="n"/>
      <c r="M40" s="87" t="n"/>
      <c r="N40" s="87" t="n"/>
      <c r="O40" s="87" t="n"/>
      <c r="P40" s="87" t="n"/>
      <c r="Q40" s="87" t="n"/>
      <c r="R40" s="87" t="n"/>
      <c r="S40" s="87" t="n"/>
      <c r="T40" s="87" t="n"/>
      <c r="U40" s="87" t="n"/>
      <c r="V40" s="87" t="n"/>
      <c r="W40" s="87" t="n"/>
      <c r="X40" s="101" t="n"/>
      <c r="Y40" s="86" t="n"/>
      <c r="Z40" s="102" t="n"/>
      <c r="AA40">
        <f>IF(A40="","",COUNTIF($A$6:A40,"?*"))</f>
        <v/>
      </c>
    </row>
    <row r="41">
      <c r="A41" s="87" t="n"/>
      <c r="B41" s="87" t="n"/>
      <c r="C41" s="87" t="n"/>
      <c r="D41" s="87" t="n"/>
      <c r="E41" s="87" t="n"/>
      <c r="F41" s="93" t="n"/>
      <c r="G41" s="93" t="n"/>
      <c r="H41" s="87" t="n"/>
      <c r="I41" s="87" t="n"/>
      <c r="J41" s="87" t="n"/>
      <c r="K41" s="87" t="n"/>
      <c r="L41" s="87" t="n"/>
      <c r="M41" s="87" t="n"/>
      <c r="N41" s="87" t="n"/>
      <c r="O41" s="87" t="n"/>
      <c r="P41" s="87" t="n"/>
      <c r="Q41" s="87" t="n"/>
      <c r="R41" s="87" t="n"/>
      <c r="S41" s="87" t="n"/>
      <c r="T41" s="87" t="n"/>
      <c r="U41" s="87" t="n"/>
      <c r="V41" s="87" t="n"/>
      <c r="W41" s="87" t="n"/>
      <c r="X41" s="101" t="n"/>
      <c r="Y41" s="86" t="n"/>
      <c r="Z41" s="102" t="n"/>
      <c r="AA41">
        <f>IF(A41="","",COUNTIF($A$6:A41,"?*"))</f>
        <v/>
      </c>
    </row>
    <row r="42">
      <c r="A42" s="87" t="n"/>
      <c r="B42" s="87" t="n"/>
      <c r="C42" s="87" t="n"/>
      <c r="D42" s="87" t="n"/>
      <c r="E42" s="87" t="n"/>
      <c r="F42" s="93" t="n"/>
      <c r="G42" s="93" t="n"/>
      <c r="H42" s="87" t="n"/>
      <c r="I42" s="87" t="n"/>
      <c r="J42" s="87" t="n"/>
      <c r="K42" s="87" t="n"/>
      <c r="L42" s="87" t="n"/>
      <c r="M42" s="87" t="n"/>
      <c r="N42" s="87" t="n"/>
      <c r="O42" s="87" t="n"/>
      <c r="P42" s="87" t="n"/>
      <c r="Q42" s="87" t="n"/>
      <c r="R42" s="87" t="n"/>
      <c r="S42" s="87" t="n"/>
      <c r="T42" s="87" t="n"/>
      <c r="U42" s="87" t="n"/>
      <c r="V42" s="87" t="n"/>
      <c r="W42" s="87" t="n"/>
      <c r="X42" s="101" t="n"/>
      <c r="Y42" s="86" t="n"/>
      <c r="Z42" s="102" t="n"/>
      <c r="AA42">
        <f>IF(A42="","",COUNTIF($A$6:A42,"?*"))</f>
        <v/>
      </c>
    </row>
    <row r="43">
      <c r="A43" s="87" t="n"/>
      <c r="B43" s="87" t="n"/>
      <c r="C43" s="87" t="n"/>
      <c r="D43" s="87" t="n"/>
      <c r="E43" s="87" t="n"/>
      <c r="F43" s="93" t="n"/>
      <c r="G43" s="93" t="n"/>
      <c r="H43" s="87" t="n"/>
      <c r="I43" s="87" t="n"/>
      <c r="J43" s="87" t="n"/>
      <c r="K43" s="87" t="n"/>
      <c r="L43" s="87" t="n"/>
      <c r="M43" s="87" t="n"/>
      <c r="N43" s="87" t="n"/>
      <c r="O43" s="87" t="n"/>
      <c r="P43" s="87" t="n"/>
      <c r="Q43" s="87" t="n"/>
      <c r="R43" s="87" t="n"/>
      <c r="S43" s="87" t="n"/>
      <c r="T43" s="87" t="n"/>
      <c r="U43" s="87" t="n"/>
      <c r="V43" s="87" t="n"/>
      <c r="W43" s="87" t="n"/>
      <c r="X43" s="101" t="n"/>
      <c r="Y43" s="86" t="n"/>
      <c r="Z43" s="102" t="n"/>
      <c r="AA43">
        <f>IF(A43="","",COUNTIF($A$6:A43,"?*"))</f>
        <v/>
      </c>
    </row>
    <row r="44">
      <c r="A44" s="87" t="n"/>
      <c r="B44" s="87" t="n"/>
      <c r="C44" s="87" t="n"/>
      <c r="D44" s="87" t="n"/>
      <c r="E44" s="87" t="n"/>
      <c r="F44" s="93" t="n"/>
      <c r="G44" s="93" t="n"/>
      <c r="H44" s="87" t="n"/>
      <c r="I44" s="87" t="n"/>
      <c r="J44" s="87" t="n"/>
      <c r="K44" s="87" t="n"/>
      <c r="L44" s="87" t="n"/>
      <c r="M44" s="87" t="n"/>
      <c r="N44" s="87" t="n"/>
      <c r="O44" s="87" t="n"/>
      <c r="P44" s="87" t="n"/>
      <c r="Q44" s="87" t="n"/>
      <c r="R44" s="87" t="n"/>
      <c r="S44" s="87" t="n"/>
      <c r="T44" s="87" t="n"/>
      <c r="U44" s="87" t="n"/>
      <c r="V44" s="87" t="n"/>
      <c r="W44" s="87" t="n"/>
      <c r="X44" s="101" t="n"/>
      <c r="Y44" s="86" t="n"/>
      <c r="Z44" s="102" t="n"/>
      <c r="AA44">
        <f>IF(A44="","",COUNTIF($A$6:A44,"?*"))</f>
        <v/>
      </c>
    </row>
    <row r="45">
      <c r="A45" s="87" t="n"/>
      <c r="B45" s="87" t="n"/>
      <c r="C45" s="87" t="n"/>
      <c r="D45" s="87" t="n"/>
      <c r="E45" s="87" t="n"/>
      <c r="F45" s="93" t="n"/>
      <c r="G45" s="93" t="n"/>
      <c r="H45" s="87" t="n"/>
      <c r="I45" s="87" t="n"/>
      <c r="J45" s="87" t="n"/>
      <c r="K45" s="87" t="n"/>
      <c r="L45" s="87" t="n"/>
      <c r="M45" s="87" t="n"/>
      <c r="N45" s="87" t="n"/>
      <c r="O45" s="87" t="n"/>
      <c r="P45" s="87" t="n"/>
      <c r="Q45" s="87" t="n"/>
      <c r="R45" s="87" t="n"/>
      <c r="S45" s="87" t="n"/>
      <c r="T45" s="87" t="n"/>
      <c r="U45" s="87" t="n"/>
      <c r="V45" s="87" t="n"/>
      <c r="W45" s="87" t="n"/>
      <c r="X45" s="101" t="n"/>
      <c r="Y45" s="86" t="n"/>
      <c r="Z45" s="102" t="n"/>
      <c r="AA45">
        <f>IF(A45="","",COUNTIF($A$6:A45,"?*"))</f>
        <v/>
      </c>
    </row>
    <row r="46">
      <c r="A46" s="87" t="n"/>
      <c r="B46" s="87" t="n"/>
      <c r="C46" s="87" t="n"/>
      <c r="D46" s="87" t="n"/>
      <c r="E46" s="87" t="n"/>
      <c r="F46" s="93" t="n"/>
      <c r="G46" s="93" t="n"/>
      <c r="H46" s="87" t="n"/>
      <c r="I46" s="87" t="n"/>
      <c r="J46" s="87" t="n"/>
      <c r="K46" s="87" t="n"/>
      <c r="L46" s="87" t="n"/>
      <c r="M46" s="87" t="n"/>
      <c r="N46" s="87" t="n"/>
      <c r="O46" s="87" t="n"/>
      <c r="P46" s="87" t="n"/>
      <c r="Q46" s="87" t="n"/>
      <c r="R46" s="87" t="n"/>
      <c r="S46" s="87" t="n"/>
      <c r="T46" s="87" t="n"/>
      <c r="U46" s="87" t="n"/>
      <c r="V46" s="87" t="n"/>
      <c r="W46" s="87" t="n"/>
      <c r="X46" s="101" t="n"/>
      <c r="Y46" s="86" t="n"/>
      <c r="Z46" s="102" t="n"/>
      <c r="AA46">
        <f>IF(A46="","",COUNTIF($A$6:A46,"?*"))</f>
        <v/>
      </c>
    </row>
    <row r="47">
      <c r="A47" s="87" t="n"/>
      <c r="B47" s="87" t="n"/>
      <c r="C47" s="87" t="n"/>
      <c r="D47" s="87" t="n"/>
      <c r="E47" s="87" t="n"/>
      <c r="F47" s="93" t="n"/>
      <c r="G47" s="93" t="n"/>
      <c r="H47" s="87" t="n"/>
      <c r="I47" s="87" t="n"/>
      <c r="J47" s="87" t="n"/>
      <c r="K47" s="87" t="n"/>
      <c r="L47" s="87" t="n"/>
      <c r="M47" s="87" t="n"/>
      <c r="N47" s="87" t="n"/>
      <c r="O47" s="87" t="n"/>
      <c r="P47" s="87" t="n"/>
      <c r="Q47" s="87" t="n"/>
      <c r="R47" s="87" t="n"/>
      <c r="S47" s="87" t="n"/>
      <c r="T47" s="87" t="n"/>
      <c r="U47" s="87" t="n"/>
      <c r="V47" s="87" t="n"/>
      <c r="W47" s="87" t="n"/>
      <c r="X47" s="101" t="n"/>
      <c r="Y47" s="86" t="n"/>
      <c r="Z47" s="102" t="n"/>
      <c r="AA47">
        <f>IF(A47="","",COUNTIF($A$6:A47,"?*"))</f>
        <v/>
      </c>
    </row>
    <row r="48">
      <c r="A48" s="87" t="n"/>
      <c r="B48" s="87" t="n"/>
      <c r="C48" s="87" t="n"/>
      <c r="D48" s="87" t="n"/>
      <c r="E48" s="87" t="n"/>
      <c r="F48" s="93" t="n"/>
      <c r="G48" s="93" t="n"/>
      <c r="H48" s="87" t="n"/>
      <c r="I48" s="87" t="n"/>
      <c r="J48" s="87" t="n"/>
      <c r="K48" s="87" t="n"/>
      <c r="L48" s="87" t="n"/>
      <c r="M48" s="87" t="n"/>
      <c r="N48" s="87" t="n"/>
      <c r="O48" s="87" t="n"/>
      <c r="P48" s="87" t="n"/>
      <c r="Q48" s="87" t="n"/>
      <c r="R48" s="87" t="n"/>
      <c r="S48" s="87" t="n"/>
      <c r="T48" s="87" t="n"/>
      <c r="U48" s="87" t="n"/>
      <c r="V48" s="87" t="n"/>
      <c r="W48" s="87" t="n"/>
      <c r="X48" s="101" t="n"/>
      <c r="Y48" s="86" t="n"/>
      <c r="Z48" s="102" t="n"/>
      <c r="AA48">
        <f>IF(A48="","",COUNTIF($A$6:A48,"?*"))</f>
        <v/>
      </c>
    </row>
    <row r="49">
      <c r="A49" s="87" t="n"/>
      <c r="B49" s="87" t="n"/>
      <c r="C49" s="87" t="n"/>
      <c r="D49" s="87" t="n"/>
      <c r="E49" s="87" t="n"/>
      <c r="F49" s="93" t="n"/>
      <c r="G49" s="93" t="n"/>
      <c r="H49" s="87" t="n"/>
      <c r="I49" s="87" t="n"/>
      <c r="J49" s="87" t="n"/>
      <c r="K49" s="87" t="n"/>
      <c r="L49" s="87" t="n"/>
      <c r="M49" s="87" t="n"/>
      <c r="N49" s="87" t="n"/>
      <c r="O49" s="87" t="n"/>
      <c r="P49" s="87" t="n"/>
      <c r="Q49" s="87" t="n"/>
      <c r="R49" s="87" t="n"/>
      <c r="S49" s="87" t="n"/>
      <c r="T49" s="87" t="n"/>
      <c r="U49" s="87" t="n"/>
      <c r="V49" s="87" t="n"/>
      <c r="W49" s="87" t="n"/>
      <c r="X49" s="101" t="n"/>
      <c r="Y49" s="86" t="n"/>
      <c r="Z49" s="102" t="n"/>
      <c r="AA49">
        <f>IF(A49="","",COUNTIF($A$6:A49,"?*"))</f>
        <v/>
      </c>
    </row>
    <row r="50">
      <c r="A50" s="87" t="n"/>
      <c r="B50" s="87" t="n"/>
      <c r="C50" s="87" t="n"/>
      <c r="D50" s="87" t="n"/>
      <c r="E50" s="87" t="n"/>
      <c r="F50" s="93" t="n"/>
      <c r="G50" s="93" t="n"/>
      <c r="H50" s="87" t="n"/>
      <c r="I50" s="87" t="n"/>
      <c r="J50" s="87" t="n"/>
      <c r="K50" s="87" t="n"/>
      <c r="L50" s="87" t="n"/>
      <c r="M50" s="87" t="n"/>
      <c r="N50" s="87" t="n"/>
      <c r="O50" s="87" t="n"/>
      <c r="P50" s="87" t="n"/>
      <c r="Q50" s="87" t="n"/>
      <c r="R50" s="87" t="n"/>
      <c r="S50" s="87" t="n"/>
      <c r="T50" s="87" t="n"/>
      <c r="U50" s="87" t="n"/>
      <c r="V50" s="87" t="n"/>
      <c r="W50" s="87" t="n"/>
      <c r="X50" s="101" t="n"/>
      <c r="Y50" s="86" t="n"/>
      <c r="Z50" s="102" t="n"/>
      <c r="AA50">
        <f>IF(A50="","",COUNTIF($A$6:A50,"?*"))</f>
        <v/>
      </c>
    </row>
    <row r="51">
      <c r="A51" s="87" t="n"/>
      <c r="B51" s="87" t="n"/>
      <c r="C51" s="87" t="n"/>
      <c r="D51" s="87" t="n"/>
      <c r="E51" s="87" t="n"/>
      <c r="F51" s="93" t="n"/>
      <c r="G51" s="93" t="n"/>
      <c r="H51" s="87" t="n"/>
      <c r="I51" s="87" t="n"/>
      <c r="J51" s="87" t="n"/>
      <c r="K51" s="87" t="n"/>
      <c r="L51" s="87" t="n"/>
      <c r="M51" s="87" t="n"/>
      <c r="N51" s="87" t="n"/>
      <c r="O51" s="87" t="n"/>
      <c r="P51" s="87" t="n"/>
      <c r="Q51" s="87" t="n"/>
      <c r="R51" s="87" t="n"/>
      <c r="S51" s="87" t="n"/>
      <c r="T51" s="87" t="n"/>
      <c r="U51" s="87" t="n"/>
      <c r="V51" s="87" t="n"/>
      <c r="W51" s="87" t="n"/>
      <c r="X51" s="101" t="n"/>
      <c r="Y51" s="86" t="n"/>
      <c r="Z51" s="102" t="n"/>
      <c r="AA51">
        <f>IF(A51="","",COUNTIF($A$6:A51,"?*"))</f>
        <v/>
      </c>
    </row>
    <row r="52">
      <c r="A52" s="87" t="n"/>
      <c r="B52" s="87" t="n"/>
      <c r="C52" s="87" t="n"/>
      <c r="D52" s="87" t="n"/>
      <c r="E52" s="87" t="n"/>
      <c r="F52" s="93" t="n"/>
      <c r="G52" s="93" t="n"/>
      <c r="H52" s="87" t="n"/>
      <c r="I52" s="87" t="n"/>
      <c r="J52" s="87" t="n"/>
      <c r="K52" s="87" t="n"/>
      <c r="L52" s="87" t="n"/>
      <c r="M52" s="87" t="n"/>
      <c r="N52" s="87" t="n"/>
      <c r="O52" s="87" t="n"/>
      <c r="P52" s="87" t="n"/>
      <c r="Q52" s="87" t="n"/>
      <c r="R52" s="87" t="n"/>
      <c r="S52" s="87" t="n"/>
      <c r="T52" s="87" t="n"/>
      <c r="U52" s="87" t="n"/>
      <c r="V52" s="87" t="n"/>
      <c r="W52" s="87" t="n"/>
      <c r="X52" s="101" t="n"/>
      <c r="Y52" s="86" t="n"/>
      <c r="Z52" s="102" t="n"/>
      <c r="AA52">
        <f>IF(A52="","",COUNTIF($A$6:A52,"?*"))</f>
        <v/>
      </c>
    </row>
    <row r="53">
      <c r="A53" s="87" t="n"/>
      <c r="B53" s="87" t="n"/>
      <c r="C53" s="87" t="n"/>
      <c r="D53" s="87" t="n"/>
      <c r="E53" s="87" t="n"/>
      <c r="F53" s="93" t="n"/>
      <c r="G53" s="93" t="n"/>
      <c r="H53" s="87" t="n"/>
      <c r="I53" s="87" t="n"/>
      <c r="J53" s="87" t="n"/>
      <c r="K53" s="87" t="n"/>
      <c r="L53" s="87" t="n"/>
      <c r="M53" s="87" t="n"/>
      <c r="N53" s="87" t="n"/>
      <c r="O53" s="87" t="n"/>
      <c r="P53" s="87" t="n"/>
      <c r="Q53" s="87" t="n"/>
      <c r="R53" s="87" t="n"/>
      <c r="S53" s="87" t="n"/>
      <c r="T53" s="87" t="n"/>
      <c r="U53" s="87" t="n"/>
      <c r="V53" s="87" t="n"/>
      <c r="W53" s="87" t="n"/>
      <c r="X53" s="101" t="n"/>
      <c r="Y53" s="86" t="n"/>
      <c r="Z53" s="102" t="n"/>
      <c r="AA53">
        <f>IF(A53="","",COUNTIF($A$6:A53,"?*"))</f>
        <v/>
      </c>
    </row>
    <row r="54">
      <c r="A54" s="87" t="n"/>
      <c r="B54" s="87" t="n"/>
      <c r="C54" s="87" t="n"/>
      <c r="D54" s="87" t="n"/>
      <c r="E54" s="87" t="n"/>
      <c r="F54" s="93" t="n"/>
      <c r="G54" s="93" t="n"/>
      <c r="H54" s="87" t="n"/>
      <c r="I54" s="87" t="n"/>
      <c r="J54" s="87" t="n"/>
      <c r="K54" s="87" t="n"/>
      <c r="L54" s="87" t="n"/>
      <c r="M54" s="87" t="n"/>
      <c r="N54" s="87" t="n"/>
      <c r="O54" s="87" t="n"/>
      <c r="P54" s="87" t="n"/>
      <c r="Q54" s="87" t="n"/>
      <c r="R54" s="87" t="n"/>
      <c r="S54" s="87" t="n"/>
      <c r="T54" s="87" t="n"/>
      <c r="U54" s="87" t="n"/>
      <c r="V54" s="87" t="n"/>
      <c r="W54" s="87" t="n"/>
      <c r="X54" s="101" t="n"/>
      <c r="Y54" s="86" t="n"/>
      <c r="Z54" s="102" t="n"/>
      <c r="AA54">
        <f>IF(A54="","",COUNTIF($A$6:A54,"?*"))</f>
        <v/>
      </c>
    </row>
    <row r="55">
      <c r="A55" s="87" t="n"/>
      <c r="B55" s="87" t="n"/>
      <c r="C55" s="87" t="n"/>
      <c r="D55" s="87" t="n"/>
      <c r="E55" s="87" t="n"/>
      <c r="F55" s="93" t="n"/>
      <c r="G55" s="93" t="n"/>
      <c r="H55" s="87" t="n"/>
      <c r="I55" s="87" t="n"/>
      <c r="J55" s="87" t="n"/>
      <c r="K55" s="87" t="n"/>
      <c r="L55" s="87" t="n"/>
      <c r="M55" s="87" t="n"/>
      <c r="N55" s="87" t="n"/>
      <c r="O55" s="87" t="n"/>
      <c r="P55" s="87" t="n"/>
      <c r="Q55" s="87" t="n"/>
      <c r="R55" s="87" t="n"/>
      <c r="S55" s="87" t="n"/>
      <c r="T55" s="87" t="n"/>
      <c r="U55" s="87" t="n"/>
      <c r="V55" s="87" t="n"/>
      <c r="W55" s="87" t="n"/>
      <c r="X55" s="101" t="n"/>
      <c r="Y55" s="86" t="n"/>
      <c r="Z55" s="102" t="n"/>
      <c r="AA55">
        <f>IF(A55="","",COUNTIF($A$6:A55,"?*"))</f>
        <v/>
      </c>
    </row>
  </sheetData>
  <dataValidations count="6">
    <dataValidation sqref="C6:C55" showDropDown="0" showInputMessage="0" showErrorMessage="1" allowBlank="1" errorTitle="Not in the list" error="This value isn't in the list. Keep it anyway?" type="list" errorStyle="warning">
      <formula1>=lst_Accounts</formula1>
    </dataValidation>
    <dataValidation sqref="D6:D55" showDropDown="0" showInputMessage="0" showErrorMessage="1" allowBlank="1" errorTitle="Not in the list" error="Pick a value from the dropdown." type="list" errorStyle="stop">
      <formula1>=lst_FileTypes</formula1>
    </dataValidation>
    <dataValidation sqref="E6:E55" showDropDown="0" showInputMessage="0" showErrorMessage="1" allowBlank="1" errorTitle="Not in the list" error="Pick a value from the dropdown." type="list" errorStyle="stop">
      <formula1>=lst_Delims</formula1>
    </dataValidation>
    <dataValidation sqref="I6:I55" showDropDown="0" showInputMessage="0" showErrorMessage="1" allowBlank="1" errorTitle="Not in the list" error="Pick a value from the dropdown." type="list" errorStyle="stop">
      <formula1>=lst_DateFmts</formula1>
    </dataValidation>
    <dataValidation sqref="K6:K55" showDropDown="0" showInputMessage="0" showErrorMessage="1" allowBlank="1" errorTitle="Not in the list" error="Pick a value from the dropdown." type="list" errorStyle="stop">
      <formula1>=lst_AmountModes</formula1>
    </dataValidation>
    <dataValidation sqref="Q6:Q55" showDropDown="0" showInputMessage="0" showErrorMessage="1" allowBlank="1" errorTitle="Not in the list" error="Pick a value from the dropdown." type="list" errorStyle="stop">
      <formula1>=lst_YesNo</formula1>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legacyDrawing xmlns:r="http://schemas.openxmlformats.org/officeDocument/2006/relationships" r:id="anysvml"/>
  <tableParts count="1">
    <tablePart xmlns:r="http://schemas.openxmlformats.org/officeDocument/2006/relationships" r:id="rId1"/>
  </tableParts>
</worksheet>
</file>

<file path=xl/worksheets/sheet8.xml><?xml version="1.0" encoding="utf-8"?>
<worksheet xmlns="http://schemas.openxmlformats.org/spreadsheetml/2006/main">
  <sheetPr codeName="shCats">
    <tabColor rgb="00177A5A"/>
    <outlinePr summaryBelow="1" summaryRight="1"/>
    <pageSetUpPr fitToPage="1"/>
  </sheetPr>
  <dimension ref="A1:N255"/>
  <sheetViews>
    <sheetView showGridLines="0" tabSelected="0" zoomScale="100" workbookViewId="0">
      <pane ySplit="5" topLeftCell="A6" activePane="bottomLeft" state="frozen"/>
      <selection pane="bottomLeft" activeCell="A1" sqref="A1"/>
    </sheetView>
  </sheetViews>
  <sheetFormatPr baseColWidth="8" defaultRowHeight="15"/>
  <cols>
    <col width="26" customWidth="1" min="1" max="1"/>
    <col width="12" customWidth="1" min="2" max="2"/>
    <col width="11" customWidth="1" min="3" max="3"/>
    <col width="15" customWidth="1" min="4" max="4"/>
    <col width="42" customWidth="1" min="5" max="5"/>
    <col width="2" customWidth="1" min="6" max="6"/>
    <col width="2" customWidth="1" min="7" max="7"/>
    <col width="10" customWidth="1" min="8" max="8"/>
    <col width="26" customWidth="1" min="9" max="9"/>
    <col width="13" customWidth="1" min="10" max="10"/>
    <col width="15" customWidth="1" min="11" max="11"/>
    <col width="18" customWidth="1" min="12" max="12"/>
    <col width="24" customWidth="1" min="13" max="13"/>
    <col width="22"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Categories &amp; Rules</t>
        </is>
      </c>
    </row>
    <row r="2" ht="20" customHeight="1">
      <c r="A2" s="61" t="inlineStr">
        <is>
          <t>Categories drive the Dashboard and Budget. Rules on the right set the category automatically on every import.</t>
        </is>
      </c>
      <c r="B2" s="2" t="n"/>
      <c r="C2" s="2" t="n"/>
      <c r="D2" s="2" t="n"/>
      <c r="E2" s="2" t="n"/>
      <c r="F2" s="2" t="n"/>
      <c r="G2" s="2" t="n"/>
      <c r="H2" s="2" t="n"/>
      <c r="I2" s="2" t="n"/>
      <c r="J2" s="2" t="n"/>
      <c r="K2" s="2" t="n"/>
      <c r="L2" s="2" t="n"/>
      <c r="M2" s="2" t="n"/>
      <c r="N2" s="2" t="n"/>
    </row>
    <row r="3">
      <c r="H3" s="17" t="inlineStr">
        <is>
          <t>Rules run from the lowest priority number up; the first match wins. Text is matched anywhere, ignoring case; use * as a wildcard.</t>
        </is>
      </c>
    </row>
    <row r="4">
      <c r="A4" s="17" t="inlineStr">
        <is>
          <t>Group: Income, Expense or Transfer (transfers between your own accounts don't count as spending). Bucket: Needs or Wants for the 50/30/20 check.</t>
        </is>
      </c>
    </row>
    <row r="5" ht="30" customHeight="1">
      <c r="A5" s="35" t="inlineStr">
        <is>
          <t>Category</t>
        </is>
      </c>
      <c r="B5" s="35" t="inlineStr">
        <is>
          <t>Group</t>
        </is>
      </c>
      <c r="C5" s="35" t="inlineStr">
        <is>
          <t>Bucket</t>
        </is>
      </c>
      <c r="D5" s="38" t="inlineStr">
        <is>
          <t>Monthly Budget</t>
        </is>
      </c>
      <c r="E5" s="35" t="inlineStr">
        <is>
          <t>Notes</t>
        </is>
      </c>
      <c r="H5" s="38" t="inlineStr">
        <is>
          <t>Priority</t>
        </is>
      </c>
      <c r="I5" s="35" t="inlineStr">
        <is>
          <t>If Text Contains</t>
        </is>
      </c>
      <c r="J5" s="35" t="inlineStr">
        <is>
          <t>Look In</t>
        </is>
      </c>
      <c r="K5" s="35" t="inlineStr">
        <is>
          <t>Money Direction</t>
        </is>
      </c>
      <c r="L5" s="35" t="inlineStr">
        <is>
          <t>Account</t>
        </is>
      </c>
      <c r="M5" s="35" t="inlineStr">
        <is>
          <t>Set Category</t>
        </is>
      </c>
      <c r="N5" s="35" t="inlineStr">
        <is>
          <t>Rename To</t>
        </is>
      </c>
    </row>
    <row r="6">
      <c r="A6" s="93" t="inlineStr">
        <is>
          <t>Salary</t>
        </is>
      </c>
      <c r="B6" s="93" t="inlineStr">
        <is>
          <t>Income</t>
        </is>
      </c>
      <c r="C6" s="93" t="n"/>
      <c r="D6" s="97" t="n">
        <v>7250</v>
      </c>
      <c r="E6" s="102" t="n"/>
      <c r="H6" s="101" t="n">
        <v>10</v>
      </c>
      <c r="I6" s="87" t="inlineStr">
        <is>
          <t>UBER EATS</t>
        </is>
      </c>
      <c r="J6" s="87" t="inlineStr">
        <is>
          <t>Both</t>
        </is>
      </c>
      <c r="K6" s="87" t="inlineStr">
        <is>
          <t>Any</t>
        </is>
      </c>
      <c r="L6" s="87" t="n"/>
      <c r="M6" s="87" t="inlineStr">
        <is>
          <t>Dining Out</t>
        </is>
      </c>
      <c r="N6" s="87" t="n"/>
    </row>
    <row r="7">
      <c r="A7" s="93" t="inlineStr">
        <is>
          <t>Bonus</t>
        </is>
      </c>
      <c r="B7" s="93" t="inlineStr">
        <is>
          <t>Income</t>
        </is>
      </c>
      <c r="C7" s="93" t="n"/>
      <c r="D7" s="97" t="n">
        <v>0</v>
      </c>
      <c r="E7" s="102" t="n"/>
      <c r="H7" s="101" t="n">
        <v>10</v>
      </c>
      <c r="I7" s="87" t="inlineStr">
        <is>
          <t>DOORDASH</t>
        </is>
      </c>
      <c r="J7" s="87" t="inlineStr">
        <is>
          <t>Both</t>
        </is>
      </c>
      <c r="K7" s="87" t="inlineStr">
        <is>
          <t>Any</t>
        </is>
      </c>
      <c r="L7" s="87" t="n"/>
      <c r="M7" s="87" t="inlineStr">
        <is>
          <t>Dining Out</t>
        </is>
      </c>
      <c r="N7" s="87" t="n"/>
    </row>
    <row r="8">
      <c r="A8" s="93" t="inlineStr">
        <is>
          <t>Interest &amp; Dividends</t>
        </is>
      </c>
      <c r="B8" s="93" t="inlineStr">
        <is>
          <t>Income</t>
        </is>
      </c>
      <c r="C8" s="93" t="n"/>
      <c r="D8" s="97" t="n">
        <v>40</v>
      </c>
      <c r="E8" s="102" t="n"/>
      <c r="H8" s="101" t="n">
        <v>10</v>
      </c>
      <c r="I8" s="87" t="inlineStr">
        <is>
          <t>GRUBHUB</t>
        </is>
      </c>
      <c r="J8" s="87" t="inlineStr">
        <is>
          <t>Both</t>
        </is>
      </c>
      <c r="K8" s="87" t="inlineStr">
        <is>
          <t>Any</t>
        </is>
      </c>
      <c r="L8" s="87" t="n"/>
      <c r="M8" s="87" t="inlineStr">
        <is>
          <t>Dining Out</t>
        </is>
      </c>
      <c r="N8" s="87" t="n"/>
    </row>
    <row r="9">
      <c r="A9" s="93" t="inlineStr">
        <is>
          <t>Refunds &amp; Reimbursements</t>
        </is>
      </c>
      <c r="B9" s="93" t="inlineStr">
        <is>
          <t>Income</t>
        </is>
      </c>
      <c r="C9" s="93" t="n"/>
      <c r="D9" s="97" t="n">
        <v>0</v>
      </c>
      <c r="E9" s="102" t="n"/>
      <c r="H9" s="101" t="n">
        <v>10</v>
      </c>
      <c r="I9" s="87" t="inlineStr">
        <is>
          <t>SEAMLESS</t>
        </is>
      </c>
      <c r="J9" s="87" t="inlineStr">
        <is>
          <t>Both</t>
        </is>
      </c>
      <c r="K9" s="87" t="inlineStr">
        <is>
          <t>Any</t>
        </is>
      </c>
      <c r="L9" s="87" t="n"/>
      <c r="M9" s="87" t="inlineStr">
        <is>
          <t>Dining Out</t>
        </is>
      </c>
      <c r="N9" s="87" t="n"/>
    </row>
    <row r="10">
      <c r="A10" s="93" t="inlineStr">
        <is>
          <t>Other Income</t>
        </is>
      </c>
      <c r="B10" s="93" t="inlineStr">
        <is>
          <t>Income</t>
        </is>
      </c>
      <c r="C10" s="93" t="n"/>
      <c r="D10" s="97" t="n">
        <v>0</v>
      </c>
      <c r="E10" s="102" t="n"/>
      <c r="H10" s="101" t="n">
        <v>15</v>
      </c>
      <c r="I10" s="87" t="inlineStr">
        <is>
          <t>BONUS</t>
        </is>
      </c>
      <c r="J10" s="87" t="inlineStr">
        <is>
          <t>Both</t>
        </is>
      </c>
      <c r="K10" s="87" t="inlineStr">
        <is>
          <t>Money in</t>
        </is>
      </c>
      <c r="L10" s="87" t="n"/>
      <c r="M10" s="87" t="inlineStr">
        <is>
          <t>Bonus</t>
        </is>
      </c>
      <c r="N10" s="87" t="n"/>
    </row>
    <row r="11">
      <c r="A11" s="93" t="inlineStr">
        <is>
          <t>Mortgage / Rent</t>
        </is>
      </c>
      <c r="B11" s="93" t="inlineStr">
        <is>
          <t>Expense</t>
        </is>
      </c>
      <c r="C11" s="93" t="inlineStr">
        <is>
          <t>Needs</t>
        </is>
      </c>
      <c r="D11" s="97" t="n">
        <v>2450</v>
      </c>
      <c r="E11" s="102" t="n"/>
      <c r="H11" s="101" t="n">
        <v>20</v>
      </c>
      <c r="I11" s="87" t="inlineStr">
        <is>
          <t>PAYROLL</t>
        </is>
      </c>
      <c r="J11" s="87" t="inlineStr">
        <is>
          <t>Both</t>
        </is>
      </c>
      <c r="K11" s="87" t="inlineStr">
        <is>
          <t>Money in</t>
        </is>
      </c>
      <c r="L11" s="87" t="n"/>
      <c r="M11" s="87" t="inlineStr">
        <is>
          <t>Salary</t>
        </is>
      </c>
      <c r="N11" s="87" t="n"/>
    </row>
    <row r="12">
      <c r="A12" s="93" t="inlineStr">
        <is>
          <t>Utilities</t>
        </is>
      </c>
      <c r="B12" s="93" t="inlineStr">
        <is>
          <t>Expense</t>
        </is>
      </c>
      <c r="C12" s="93" t="inlineStr">
        <is>
          <t>Needs</t>
        </is>
      </c>
      <c r="D12" s="97" t="n">
        <v>280</v>
      </c>
      <c r="E12" s="102" t="n"/>
      <c r="H12" s="101" t="n">
        <v>20</v>
      </c>
      <c r="I12" s="87" t="inlineStr">
        <is>
          <t>DIR DEP</t>
        </is>
      </c>
      <c r="J12" s="87" t="inlineStr">
        <is>
          <t>Both</t>
        </is>
      </c>
      <c r="K12" s="87" t="inlineStr">
        <is>
          <t>Money in</t>
        </is>
      </c>
      <c r="L12" s="87" t="n"/>
      <c r="M12" s="87" t="inlineStr">
        <is>
          <t>Salary</t>
        </is>
      </c>
      <c r="N12" s="87" t="n"/>
    </row>
    <row r="13">
      <c r="A13" s="93" t="inlineStr">
        <is>
          <t>Phone &amp; Internet</t>
        </is>
      </c>
      <c r="B13" s="93" t="inlineStr">
        <is>
          <t>Expense</t>
        </is>
      </c>
      <c r="C13" s="93" t="inlineStr">
        <is>
          <t>Needs</t>
        </is>
      </c>
      <c r="D13" s="97" t="n">
        <v>175</v>
      </c>
      <c r="E13" s="102" t="n"/>
      <c r="H13" s="101" t="n">
        <v>20</v>
      </c>
      <c r="I13" s="87" t="inlineStr">
        <is>
          <t>DIRECT DEP</t>
        </is>
      </c>
      <c r="J13" s="87" t="inlineStr">
        <is>
          <t>Both</t>
        </is>
      </c>
      <c r="K13" s="87" t="inlineStr">
        <is>
          <t>Money in</t>
        </is>
      </c>
      <c r="L13" s="87" t="n"/>
      <c r="M13" s="87" t="inlineStr">
        <is>
          <t>Salary</t>
        </is>
      </c>
      <c r="N13" s="87" t="n"/>
    </row>
    <row r="14">
      <c r="A14" s="93" t="inlineStr">
        <is>
          <t>Groceries</t>
        </is>
      </c>
      <c r="B14" s="93" t="inlineStr">
        <is>
          <t>Expense</t>
        </is>
      </c>
      <c r="C14" s="93" t="inlineStr">
        <is>
          <t>Needs</t>
        </is>
      </c>
      <c r="D14" s="97" t="n">
        <v>780</v>
      </c>
      <c r="E14" s="102" t="n"/>
      <c r="H14" s="101" t="n">
        <v>25</v>
      </c>
      <c r="I14" s="87" t="inlineStr">
        <is>
          <t>PRINCIPAL</t>
        </is>
      </c>
      <c r="J14" s="87" t="inlineStr">
        <is>
          <t>Description</t>
        </is>
      </c>
      <c r="K14" s="87" t="inlineStr">
        <is>
          <t>Money in</t>
        </is>
      </c>
      <c r="L14" s="87" t="n"/>
      <c r="M14" s="87" t="inlineStr">
        <is>
          <t>Transfer</t>
        </is>
      </c>
      <c r="N14" s="87" t="n"/>
    </row>
    <row r="15">
      <c r="A15" s="93" t="inlineStr">
        <is>
          <t>Gas &amp; Fuel</t>
        </is>
      </c>
      <c r="B15" s="93" t="inlineStr">
        <is>
          <t>Expense</t>
        </is>
      </c>
      <c r="C15" s="93" t="inlineStr">
        <is>
          <t>Needs</t>
        </is>
      </c>
      <c r="D15" s="97" t="n">
        <v>210</v>
      </c>
      <c r="E15" s="102" t="n"/>
      <c r="H15" s="101" t="n">
        <v>30</v>
      </c>
      <c r="I15" s="87" t="inlineStr">
        <is>
          <t>INTEREST</t>
        </is>
      </c>
      <c r="J15" s="87" t="inlineStr">
        <is>
          <t>Description</t>
        </is>
      </c>
      <c r="K15" s="87" t="inlineStr">
        <is>
          <t>Money in</t>
        </is>
      </c>
      <c r="L15" s="87" t="n"/>
      <c r="M15" s="87" t="inlineStr">
        <is>
          <t>Interest &amp; Dividends</t>
        </is>
      </c>
      <c r="N15" s="87" t="n"/>
    </row>
    <row r="16">
      <c r="A16" s="93" t="inlineStr">
        <is>
          <t>Transportation</t>
        </is>
      </c>
      <c r="B16" s="93" t="inlineStr">
        <is>
          <t>Expense</t>
        </is>
      </c>
      <c r="C16" s="93" t="inlineStr">
        <is>
          <t>Needs</t>
        </is>
      </c>
      <c r="D16" s="97" t="n">
        <v>60</v>
      </c>
      <c r="E16" s="102" t="n"/>
      <c r="H16" s="101" t="n">
        <v>30</v>
      </c>
      <c r="I16" s="87" t="inlineStr">
        <is>
          <t>DIVIDEND</t>
        </is>
      </c>
      <c r="J16" s="87" t="inlineStr">
        <is>
          <t>Description</t>
        </is>
      </c>
      <c r="K16" s="87" t="inlineStr">
        <is>
          <t>Money in</t>
        </is>
      </c>
      <c r="L16" s="87" t="n"/>
      <c r="M16" s="87" t="inlineStr">
        <is>
          <t>Interest &amp; Dividends</t>
        </is>
      </c>
      <c r="N16" s="87" t="n"/>
    </row>
    <row r="17">
      <c r="A17" s="93" t="inlineStr">
        <is>
          <t>Auto Payment</t>
        </is>
      </c>
      <c r="B17" s="93" t="inlineStr">
        <is>
          <t>Expense</t>
        </is>
      </c>
      <c r="C17" s="93" t="inlineStr">
        <is>
          <t>Needs</t>
        </is>
      </c>
      <c r="D17" s="97" t="n">
        <v>385</v>
      </c>
      <c r="E17" s="102" t="n"/>
      <c r="H17" s="101" t="n">
        <v>35</v>
      </c>
      <c r="I17" s="87" t="inlineStr">
        <is>
          <t>REFUND</t>
        </is>
      </c>
      <c r="J17" s="87" t="inlineStr">
        <is>
          <t>Both</t>
        </is>
      </c>
      <c r="K17" s="87" t="inlineStr">
        <is>
          <t>Money in</t>
        </is>
      </c>
      <c r="L17" s="87" t="n"/>
      <c r="M17" s="87" t="inlineStr">
        <is>
          <t>Refunds &amp; Reimbursements</t>
        </is>
      </c>
      <c r="N17" s="87" t="n"/>
    </row>
    <row r="18">
      <c r="A18" s="93" t="inlineStr">
        <is>
          <t>Loan Payments</t>
        </is>
      </c>
      <c r="B18" s="93" t="inlineStr">
        <is>
          <t>Expense</t>
        </is>
      </c>
      <c r="C18" s="93" t="inlineStr">
        <is>
          <t>Needs</t>
        </is>
      </c>
      <c r="D18" s="97" t="n">
        <v>260</v>
      </c>
      <c r="E18" s="102" t="n"/>
      <c r="H18" s="101" t="n">
        <v>35</v>
      </c>
      <c r="I18" s="87" t="inlineStr">
        <is>
          <t>REIMBURSE</t>
        </is>
      </c>
      <c r="J18" s="87" t="inlineStr">
        <is>
          <t>Both</t>
        </is>
      </c>
      <c r="K18" s="87" t="inlineStr">
        <is>
          <t>Money in</t>
        </is>
      </c>
      <c r="L18" s="87" t="n"/>
      <c r="M18" s="87" t="inlineStr">
        <is>
          <t>Refunds &amp; Reimbursements</t>
        </is>
      </c>
      <c r="N18" s="87" t="n"/>
    </row>
    <row r="19">
      <c r="A19" s="93" t="inlineStr">
        <is>
          <t>Insurance</t>
        </is>
      </c>
      <c r="B19" s="93" t="inlineStr">
        <is>
          <t>Expense</t>
        </is>
      </c>
      <c r="C19" s="93" t="inlineStr">
        <is>
          <t>Needs</t>
        </is>
      </c>
      <c r="D19" s="97" t="n">
        <v>145</v>
      </c>
      <c r="E19" s="102" t="n"/>
      <c r="H19" s="101" t="n">
        <v>40</v>
      </c>
      <c r="I19" s="87" t="inlineStr">
        <is>
          <t>PAYMENT THANK YOU</t>
        </is>
      </c>
      <c r="J19" s="87" t="inlineStr">
        <is>
          <t>Both</t>
        </is>
      </c>
      <c r="K19" s="87" t="inlineStr">
        <is>
          <t>Money in</t>
        </is>
      </c>
      <c r="L19" s="87" t="n"/>
      <c r="M19" s="87" t="inlineStr">
        <is>
          <t>Credit Card Payment</t>
        </is>
      </c>
      <c r="N19" s="87" t="n"/>
    </row>
    <row r="20">
      <c r="A20" s="93" t="inlineStr">
        <is>
          <t>Healthcare</t>
        </is>
      </c>
      <c r="B20" s="93" t="inlineStr">
        <is>
          <t>Expense</t>
        </is>
      </c>
      <c r="C20" s="93" t="inlineStr">
        <is>
          <t>Needs</t>
        </is>
      </c>
      <c r="D20" s="97" t="n">
        <v>60</v>
      </c>
      <c r="E20" s="102" t="n"/>
      <c r="H20" s="101" t="n">
        <v>40</v>
      </c>
      <c r="I20" s="87" t="inlineStr">
        <is>
          <t>AUTOPAY PAYMENT</t>
        </is>
      </c>
      <c r="J20" s="87" t="inlineStr">
        <is>
          <t>Both</t>
        </is>
      </c>
      <c r="K20" s="87" t="inlineStr">
        <is>
          <t>Money in</t>
        </is>
      </c>
      <c r="L20" s="87" t="n"/>
      <c r="M20" s="87" t="inlineStr">
        <is>
          <t>Credit Card Payment</t>
        </is>
      </c>
      <c r="N20" s="87" t="n"/>
    </row>
    <row r="21">
      <c r="A21" s="93" t="inlineStr">
        <is>
          <t>Childcare &amp; Education</t>
        </is>
      </c>
      <c r="B21" s="93" t="inlineStr">
        <is>
          <t>Expense</t>
        </is>
      </c>
      <c r="C21" s="93" t="inlineStr">
        <is>
          <t>Needs</t>
        </is>
      </c>
      <c r="D21" s="97" t="n">
        <v>0</v>
      </c>
      <c r="E21" s="102" t="n"/>
      <c r="H21" s="101" t="n">
        <v>40</v>
      </c>
      <c r="I21" s="87" t="inlineStr">
        <is>
          <t>ONLINE PAYMENT - THANK</t>
        </is>
      </c>
      <c r="J21" s="87" t="inlineStr">
        <is>
          <t>Both</t>
        </is>
      </c>
      <c r="K21" s="87" t="inlineStr">
        <is>
          <t>Money in</t>
        </is>
      </c>
      <c r="L21" s="87" t="n"/>
      <c r="M21" s="87" t="inlineStr">
        <is>
          <t>Credit Card Payment</t>
        </is>
      </c>
      <c r="N21" s="87" t="n"/>
    </row>
    <row r="22">
      <c r="A22" s="93" t="inlineStr">
        <is>
          <t>Dining Out</t>
        </is>
      </c>
      <c r="B22" s="93" t="inlineStr">
        <is>
          <t>Expense</t>
        </is>
      </c>
      <c r="C22" s="93" t="inlineStr">
        <is>
          <t>Wants</t>
        </is>
      </c>
      <c r="D22" s="97" t="n">
        <v>320</v>
      </c>
      <c r="E22" s="102" t="n"/>
      <c r="H22" s="101" t="n">
        <v>40</v>
      </c>
      <c r="I22" s="87" t="inlineStr">
        <is>
          <t>MOBILE PAYMENT</t>
        </is>
      </c>
      <c r="J22" s="87" t="inlineStr">
        <is>
          <t>Both</t>
        </is>
      </c>
      <c r="K22" s="87" t="inlineStr">
        <is>
          <t>Money in</t>
        </is>
      </c>
      <c r="L22" s="87" t="n"/>
      <c r="M22" s="87" t="inlineStr">
        <is>
          <t>Credit Card Payment</t>
        </is>
      </c>
      <c r="N22" s="87" t="n"/>
    </row>
    <row r="23">
      <c r="A23" s="93" t="inlineStr">
        <is>
          <t>Shopping</t>
        </is>
      </c>
      <c r="B23" s="93" t="inlineStr">
        <is>
          <t>Expense</t>
        </is>
      </c>
      <c r="C23" s="93" t="inlineStr">
        <is>
          <t>Wants</t>
        </is>
      </c>
      <c r="D23" s="97" t="n">
        <v>300</v>
      </c>
      <c r="E23" s="102" t="n"/>
      <c r="H23" s="101" t="n">
        <v>41</v>
      </c>
      <c r="I23" s="87" t="inlineStr">
        <is>
          <t>CREDIT CARD PAYMENT</t>
        </is>
      </c>
      <c r="J23" s="87" t="inlineStr">
        <is>
          <t>Both</t>
        </is>
      </c>
      <c r="K23" s="87" t="inlineStr">
        <is>
          <t>Money out</t>
        </is>
      </c>
      <c r="L23" s="87" t="n"/>
      <c r="M23" s="87" t="inlineStr">
        <is>
          <t>Credit Card Payment</t>
        </is>
      </c>
      <c r="N23" s="87" t="n"/>
    </row>
    <row r="24">
      <c r="A24" s="93" t="inlineStr">
        <is>
          <t>Entertainment</t>
        </is>
      </c>
      <c r="B24" s="93" t="inlineStr">
        <is>
          <t>Expense</t>
        </is>
      </c>
      <c r="C24" s="93" t="inlineStr">
        <is>
          <t>Wants</t>
        </is>
      </c>
      <c r="D24" s="97" t="n">
        <v>60</v>
      </c>
      <c r="E24" s="102" t="n"/>
      <c r="H24" s="101" t="n">
        <v>41</v>
      </c>
      <c r="I24" s="87" t="inlineStr">
        <is>
          <t>CRCARDPMT</t>
        </is>
      </c>
      <c r="J24" s="87" t="inlineStr">
        <is>
          <t>Both</t>
        </is>
      </c>
      <c r="K24" s="87" t="inlineStr">
        <is>
          <t>Money out</t>
        </is>
      </c>
      <c r="L24" s="87" t="n"/>
      <c r="M24" s="87" t="inlineStr">
        <is>
          <t>Credit Card Payment</t>
        </is>
      </c>
      <c r="N24" s="87" t="n"/>
    </row>
    <row r="25">
      <c r="A25" s="93" t="inlineStr">
        <is>
          <t>Subscriptions</t>
        </is>
      </c>
      <c r="B25" s="93" t="inlineStr">
        <is>
          <t>Expense</t>
        </is>
      </c>
      <c r="C25" s="93" t="inlineStr">
        <is>
          <t>Wants</t>
        </is>
      </c>
      <c r="D25" s="97" t="n">
        <v>35</v>
      </c>
      <c r="E25" s="102" t="n"/>
      <c r="H25" s="101" t="n">
        <v>41</v>
      </c>
      <c r="I25" s="87" t="inlineStr">
        <is>
          <t>CARD SERVICES PAYMENT</t>
        </is>
      </c>
      <c r="J25" s="87" t="inlineStr">
        <is>
          <t>Both</t>
        </is>
      </c>
      <c r="K25" s="87" t="inlineStr">
        <is>
          <t>Money out</t>
        </is>
      </c>
      <c r="L25" s="87" t="n"/>
      <c r="M25" s="87" t="inlineStr">
        <is>
          <t>Credit Card Payment</t>
        </is>
      </c>
      <c r="N25" s="87" t="n"/>
    </row>
    <row r="26">
      <c r="A26" s="93" t="inlineStr">
        <is>
          <t>Travel</t>
        </is>
      </c>
      <c r="B26" s="93" t="inlineStr">
        <is>
          <t>Expense</t>
        </is>
      </c>
      <c r="C26" s="93" t="inlineStr">
        <is>
          <t>Wants</t>
        </is>
      </c>
      <c r="D26" s="97" t="n">
        <v>150</v>
      </c>
      <c r="E26" s="102" t="n"/>
      <c r="H26" s="101" t="n">
        <v>41</v>
      </c>
      <c r="I26" s="87" t="inlineStr">
        <is>
          <t>AMEX EPAYMENT</t>
        </is>
      </c>
      <c r="J26" s="87" t="inlineStr">
        <is>
          <t>Both</t>
        </is>
      </c>
      <c r="K26" s="87" t="inlineStr">
        <is>
          <t>Money out</t>
        </is>
      </c>
      <c r="L26" s="87" t="n"/>
      <c r="M26" s="87" t="inlineStr">
        <is>
          <t>Credit Card Payment</t>
        </is>
      </c>
      <c r="N26" s="87" t="n"/>
    </row>
    <row r="27">
      <c r="A27" s="93" t="inlineStr">
        <is>
          <t>Personal Care</t>
        </is>
      </c>
      <c r="B27" s="93" t="inlineStr">
        <is>
          <t>Expense</t>
        </is>
      </c>
      <c r="C27" s="93" t="inlineStr">
        <is>
          <t>Wants</t>
        </is>
      </c>
      <c r="D27" s="97" t="n">
        <v>40</v>
      </c>
      <c r="E27" s="102" t="n"/>
      <c r="H27" s="101" t="n">
        <v>45</v>
      </c>
      <c r="I27" s="87" t="inlineStr">
        <is>
          <t>TRANSFER TO</t>
        </is>
      </c>
      <c r="J27" s="87" t="inlineStr">
        <is>
          <t>Both</t>
        </is>
      </c>
      <c r="K27" s="87" t="inlineStr">
        <is>
          <t>Any</t>
        </is>
      </c>
      <c r="L27" s="87" t="n"/>
      <c r="M27" s="87" t="inlineStr">
        <is>
          <t>Transfer</t>
        </is>
      </c>
      <c r="N27" s="87" t="n"/>
    </row>
    <row r="28">
      <c r="A28" s="93" t="inlineStr">
        <is>
          <t>Health &amp; Fitness</t>
        </is>
      </c>
      <c r="B28" s="93" t="inlineStr">
        <is>
          <t>Expense</t>
        </is>
      </c>
      <c r="C28" s="93" t="inlineStr">
        <is>
          <t>Wants</t>
        </is>
      </c>
      <c r="D28" s="97" t="n">
        <v>25</v>
      </c>
      <c r="E28" s="102" t="n"/>
      <c r="H28" s="101" t="n">
        <v>45</v>
      </c>
      <c r="I28" s="87" t="inlineStr">
        <is>
          <t>TRANSFER FROM</t>
        </is>
      </c>
      <c r="J28" s="87" t="inlineStr">
        <is>
          <t>Both</t>
        </is>
      </c>
      <c r="K28" s="87" t="inlineStr">
        <is>
          <t>Any</t>
        </is>
      </c>
      <c r="L28" s="87" t="n"/>
      <c r="M28" s="87" t="inlineStr">
        <is>
          <t>Transfer</t>
        </is>
      </c>
      <c r="N28" s="87" t="n"/>
    </row>
    <row r="29">
      <c r="A29" s="93" t="inlineStr">
        <is>
          <t>Gifts &amp; Donations</t>
        </is>
      </c>
      <c r="B29" s="93" t="inlineStr">
        <is>
          <t>Expense</t>
        </is>
      </c>
      <c r="C29" s="93" t="inlineStr">
        <is>
          <t>Wants</t>
        </is>
      </c>
      <c r="D29" s="97" t="n">
        <v>75</v>
      </c>
      <c r="E29" s="102" t="n"/>
      <c r="H29" s="101" t="n">
        <v>45</v>
      </c>
      <c r="I29" s="87" t="inlineStr">
        <is>
          <t>ONLINE TRANSFER</t>
        </is>
      </c>
      <c r="J29" s="87" t="inlineStr">
        <is>
          <t>Both</t>
        </is>
      </c>
      <c r="K29" s="87" t="inlineStr">
        <is>
          <t>Any</t>
        </is>
      </c>
      <c r="L29" s="87" t="n"/>
      <c r="M29" s="87" t="inlineStr">
        <is>
          <t>Transfer</t>
        </is>
      </c>
      <c r="N29" s="87" t="n"/>
    </row>
    <row r="30">
      <c r="A30" s="93" t="inlineStr">
        <is>
          <t>Home Improvement</t>
        </is>
      </c>
      <c r="B30" s="93" t="inlineStr">
        <is>
          <t>Expense</t>
        </is>
      </c>
      <c r="C30" s="93" t="inlineStr">
        <is>
          <t>Wants</t>
        </is>
      </c>
      <c r="D30" s="97" t="n">
        <v>60</v>
      </c>
      <c r="E30" s="102" t="n"/>
      <c r="H30" s="101" t="n">
        <v>45</v>
      </c>
      <c r="I30" s="87" t="inlineStr">
        <is>
          <t>XFER</t>
        </is>
      </c>
      <c r="J30" s="87" t="inlineStr">
        <is>
          <t>Both</t>
        </is>
      </c>
      <c r="K30" s="87" t="inlineStr">
        <is>
          <t>Any</t>
        </is>
      </c>
      <c r="L30" s="87" t="n"/>
      <c r="M30" s="87" t="inlineStr">
        <is>
          <t>Transfer</t>
        </is>
      </c>
      <c r="N30" s="87" t="n"/>
    </row>
    <row r="31">
      <c r="A31" s="93" t="inlineStr">
        <is>
          <t>Pets</t>
        </is>
      </c>
      <c r="B31" s="93" t="inlineStr">
        <is>
          <t>Expense</t>
        </is>
      </c>
      <c r="C31" s="93" t="inlineStr">
        <is>
          <t>Wants</t>
        </is>
      </c>
      <c r="D31" s="97" t="n">
        <v>0</v>
      </c>
      <c r="E31" s="102" t="n"/>
      <c r="H31" s="101" t="n">
        <v>55</v>
      </c>
      <c r="I31" s="87" t="inlineStr">
        <is>
          <t>MORTGAGE</t>
        </is>
      </c>
      <c r="J31" s="87" t="inlineStr">
        <is>
          <t>Both</t>
        </is>
      </c>
      <c r="K31" s="87" t="inlineStr">
        <is>
          <t>Money out</t>
        </is>
      </c>
      <c r="L31" s="87" t="n"/>
      <c r="M31" s="87" t="inlineStr">
        <is>
          <t>Mortgage / Rent</t>
        </is>
      </c>
      <c r="N31" s="87" t="n"/>
    </row>
    <row r="32">
      <c r="A32" s="93" t="inlineStr">
        <is>
          <t>Cash &amp; ATM</t>
        </is>
      </c>
      <c r="B32" s="93" t="inlineStr">
        <is>
          <t>Expense</t>
        </is>
      </c>
      <c r="C32" s="93" t="inlineStr">
        <is>
          <t>Wants</t>
        </is>
      </c>
      <c r="D32" s="97" t="n">
        <v>60</v>
      </c>
      <c r="E32" s="102" t="n"/>
      <c r="H32" s="101" t="n">
        <v>55</v>
      </c>
      <c r="I32" s="87" t="inlineStr">
        <is>
          <t>RENT PAYMENT</t>
        </is>
      </c>
      <c r="J32" s="87" t="inlineStr">
        <is>
          <t>Both</t>
        </is>
      </c>
      <c r="K32" s="87" t="inlineStr">
        <is>
          <t>Money out</t>
        </is>
      </c>
      <c r="L32" s="87" t="n"/>
      <c r="M32" s="87" t="inlineStr">
        <is>
          <t>Mortgage / Rent</t>
        </is>
      </c>
      <c r="N32" s="87" t="n"/>
    </row>
    <row r="33">
      <c r="A33" s="93" t="inlineStr">
        <is>
          <t>Fees &amp; Charges</t>
        </is>
      </c>
      <c r="B33" s="93" t="inlineStr">
        <is>
          <t>Expense</t>
        </is>
      </c>
      <c r="C33" s="93" t="inlineStr">
        <is>
          <t>Wants</t>
        </is>
      </c>
      <c r="D33" s="97" t="n">
        <v>0</v>
      </c>
      <c r="E33" s="102" t="n"/>
      <c r="H33" s="101" t="n">
        <v>55</v>
      </c>
      <c r="I33" s="87" t="inlineStr">
        <is>
          <t>HOA DUES</t>
        </is>
      </c>
      <c r="J33" s="87" t="inlineStr">
        <is>
          <t>Both</t>
        </is>
      </c>
      <c r="K33" s="87" t="inlineStr">
        <is>
          <t>Money out</t>
        </is>
      </c>
      <c r="L33" s="87" t="n"/>
      <c r="M33" s="87" t="inlineStr">
        <is>
          <t>Mortgage / Rent</t>
        </is>
      </c>
      <c r="N33" s="87" t="n"/>
    </row>
    <row r="34">
      <c r="A34" s="93" t="inlineStr">
        <is>
          <t>Other Expenses</t>
        </is>
      </c>
      <c r="B34" s="93" t="inlineStr">
        <is>
          <t>Expense</t>
        </is>
      </c>
      <c r="C34" s="93" t="inlineStr">
        <is>
          <t>Wants</t>
        </is>
      </c>
      <c r="D34" s="97" t="n">
        <v>50</v>
      </c>
      <c r="E34" s="102" t="n"/>
      <c r="H34" s="101" t="n">
        <v>60</v>
      </c>
      <c r="I34" s="87" t="inlineStr">
        <is>
          <t>AUTO FINANCE</t>
        </is>
      </c>
      <c r="J34" s="87" t="inlineStr">
        <is>
          <t>Both</t>
        </is>
      </c>
      <c r="K34" s="87" t="inlineStr">
        <is>
          <t>Money out</t>
        </is>
      </c>
      <c r="L34" s="87" t="n"/>
      <c r="M34" s="87" t="inlineStr">
        <is>
          <t>Auto Payment</t>
        </is>
      </c>
      <c r="N34" s="87" t="n"/>
    </row>
    <row r="35">
      <c r="A35" s="93" t="inlineStr">
        <is>
          <t>Credit Card Payment</t>
        </is>
      </c>
      <c r="B35" s="93" t="inlineStr">
        <is>
          <t>Transfer</t>
        </is>
      </c>
      <c r="C35" s="93" t="n"/>
      <c r="D35" s="97" t="n">
        <v>0</v>
      </c>
      <c r="E35" s="102" t="inlineStr">
        <is>
          <t>Money moving between your own accounts.</t>
        </is>
      </c>
      <c r="H35" s="101" t="n">
        <v>60</v>
      </c>
      <c r="I35" s="87" t="inlineStr">
        <is>
          <t>AUTO LOAN</t>
        </is>
      </c>
      <c r="J35" s="87" t="inlineStr">
        <is>
          <t>Both</t>
        </is>
      </c>
      <c r="K35" s="87" t="inlineStr">
        <is>
          <t>Money out</t>
        </is>
      </c>
      <c r="L35" s="87" t="n"/>
      <c r="M35" s="87" t="inlineStr">
        <is>
          <t>Auto Payment</t>
        </is>
      </c>
      <c r="N35" s="87" t="n"/>
    </row>
    <row r="36">
      <c r="A36" s="93" t="inlineStr">
        <is>
          <t>Transfer</t>
        </is>
      </c>
      <c r="B36" s="93" t="inlineStr">
        <is>
          <t>Transfer</t>
        </is>
      </c>
      <c r="C36" s="93" t="n"/>
      <c r="D36" s="97" t="n">
        <v>0</v>
      </c>
      <c r="E36" s="102" t="inlineStr">
        <is>
          <t>Money moving between your own accounts.</t>
        </is>
      </c>
      <c r="H36" s="101" t="n">
        <v>60</v>
      </c>
      <c r="I36" s="87" t="inlineStr">
        <is>
          <t>CAR PAYMENT</t>
        </is>
      </c>
      <c r="J36" s="87" t="inlineStr">
        <is>
          <t>Both</t>
        </is>
      </c>
      <c r="K36" s="87" t="inlineStr">
        <is>
          <t>Money out</t>
        </is>
      </c>
      <c r="L36" s="87" t="n"/>
      <c r="M36" s="87" t="inlineStr">
        <is>
          <t>Auto Payment</t>
        </is>
      </c>
      <c r="N36" s="87" t="n"/>
    </row>
    <row r="37">
      <c r="A37" s="93" t="inlineStr">
        <is>
          <t>Uncategorized</t>
        </is>
      </c>
      <c r="B37" s="93" t="n"/>
      <c r="C37" s="93" t="inlineStr">
        <is>
          <t>Wants</t>
        </is>
      </c>
      <c r="D37" s="97" t="n">
        <v>0</v>
      </c>
      <c r="E37" s="102" t="inlineStr">
        <is>
          <t>Set automatically when no rule matches. Keep this row.</t>
        </is>
      </c>
      <c r="H37" s="101" t="n">
        <v>60</v>
      </c>
      <c r="I37" s="87" t="inlineStr">
        <is>
          <t>LOAN SERVICER</t>
        </is>
      </c>
      <c r="J37" s="87" t="inlineStr">
        <is>
          <t>Both</t>
        </is>
      </c>
      <c r="K37" s="87" t="inlineStr">
        <is>
          <t>Money out</t>
        </is>
      </c>
      <c r="L37" s="87" t="n"/>
      <c r="M37" s="87" t="inlineStr">
        <is>
          <t>Loan Payments</t>
        </is>
      </c>
      <c r="N37" s="87" t="n"/>
    </row>
    <row r="38">
      <c r="A38" s="93" t="n"/>
      <c r="B38" s="93" t="n"/>
      <c r="C38" s="93" t="n"/>
      <c r="D38" s="97" t="n"/>
      <c r="E38" s="102" t="n"/>
      <c r="H38" s="101" t="n">
        <v>60</v>
      </c>
      <c r="I38" s="87" t="inlineStr">
        <is>
          <t>NAVIENT</t>
        </is>
      </c>
      <c r="J38" s="87" t="inlineStr">
        <is>
          <t>Both</t>
        </is>
      </c>
      <c r="K38" s="87" t="inlineStr">
        <is>
          <t>Money out</t>
        </is>
      </c>
      <c r="L38" s="87" t="n"/>
      <c r="M38" s="87" t="inlineStr">
        <is>
          <t>Loan Payments</t>
        </is>
      </c>
      <c r="N38" s="87" t="n"/>
    </row>
    <row r="39">
      <c r="A39" s="93" t="n"/>
      <c r="B39" s="93" t="n"/>
      <c r="C39" s="93" t="n"/>
      <c r="D39" s="97" t="n"/>
      <c r="E39" s="102" t="n"/>
      <c r="H39" s="101" t="n">
        <v>60</v>
      </c>
      <c r="I39" s="87" t="inlineStr">
        <is>
          <t>NELNET</t>
        </is>
      </c>
      <c r="J39" s="87" t="inlineStr">
        <is>
          <t>Both</t>
        </is>
      </c>
      <c r="K39" s="87" t="inlineStr">
        <is>
          <t>Money out</t>
        </is>
      </c>
      <c r="L39" s="87" t="n"/>
      <c r="M39" s="87" t="inlineStr">
        <is>
          <t>Loan Payments</t>
        </is>
      </c>
      <c r="N39" s="87" t="n"/>
    </row>
    <row r="40">
      <c r="A40" s="93" t="n"/>
      <c r="B40" s="93" t="n"/>
      <c r="C40" s="93" t="n"/>
      <c r="D40" s="97" t="n"/>
      <c r="E40" s="102" t="n"/>
      <c r="H40" s="101" t="n">
        <v>60</v>
      </c>
      <c r="I40" s="87" t="inlineStr">
        <is>
          <t>MOHELA</t>
        </is>
      </c>
      <c r="J40" s="87" t="inlineStr">
        <is>
          <t>Both</t>
        </is>
      </c>
      <c r="K40" s="87" t="inlineStr">
        <is>
          <t>Money out</t>
        </is>
      </c>
      <c r="L40" s="87" t="n"/>
      <c r="M40" s="87" t="inlineStr">
        <is>
          <t>Loan Payments</t>
        </is>
      </c>
      <c r="N40" s="87" t="n"/>
    </row>
    <row r="41">
      <c r="A41" s="93" t="n"/>
      <c r="B41" s="93" t="n"/>
      <c r="C41" s="93" t="n"/>
      <c r="D41" s="97" t="n"/>
      <c r="E41" s="102" t="n"/>
      <c r="H41" s="101" t="n">
        <v>60</v>
      </c>
      <c r="I41" s="87" t="inlineStr">
        <is>
          <t>STUDENT LOAN</t>
        </is>
      </c>
      <c r="J41" s="87" t="inlineStr">
        <is>
          <t>Both</t>
        </is>
      </c>
      <c r="K41" s="87" t="inlineStr">
        <is>
          <t>Money out</t>
        </is>
      </c>
      <c r="L41" s="87" t="n"/>
      <c r="M41" s="87" t="inlineStr">
        <is>
          <t>Loan Payments</t>
        </is>
      </c>
      <c r="N41" s="87" t="n"/>
    </row>
    <row r="42">
      <c r="A42" s="93" t="n"/>
      <c r="B42" s="93" t="n"/>
      <c r="C42" s="93" t="n"/>
      <c r="D42" s="97" t="n"/>
      <c r="E42" s="102" t="n"/>
      <c r="H42" s="101" t="n">
        <v>70</v>
      </c>
      <c r="I42" s="87" t="inlineStr">
        <is>
          <t>ELECTRIC</t>
        </is>
      </c>
      <c r="J42" s="87" t="inlineStr">
        <is>
          <t>Both</t>
        </is>
      </c>
      <c r="K42" s="87" t="inlineStr">
        <is>
          <t>Money out</t>
        </is>
      </c>
      <c r="L42" s="87" t="n"/>
      <c r="M42" s="87" t="inlineStr">
        <is>
          <t>Utilities</t>
        </is>
      </c>
      <c r="N42" s="87" t="n"/>
    </row>
    <row r="43">
      <c r="A43" s="93" t="n"/>
      <c r="B43" s="93" t="n"/>
      <c r="C43" s="93" t="n"/>
      <c r="D43" s="97" t="n"/>
      <c r="E43" s="102" t="n"/>
      <c r="H43" s="101" t="n">
        <v>70</v>
      </c>
      <c r="I43" s="87" t="inlineStr">
        <is>
          <t>PSEG</t>
        </is>
      </c>
      <c r="J43" s="87" t="inlineStr">
        <is>
          <t>Both</t>
        </is>
      </c>
      <c r="K43" s="87" t="inlineStr">
        <is>
          <t>Money out</t>
        </is>
      </c>
      <c r="L43" s="87" t="n"/>
      <c r="M43" s="87" t="inlineStr">
        <is>
          <t>Utilities</t>
        </is>
      </c>
      <c r="N43" s="87" t="n"/>
    </row>
    <row r="44">
      <c r="A44" s="93" t="n"/>
      <c r="B44" s="93" t="n"/>
      <c r="C44" s="93" t="n"/>
      <c r="D44" s="97" t="n"/>
      <c r="E44" s="102" t="n"/>
      <c r="H44" s="101" t="n">
        <v>70</v>
      </c>
      <c r="I44" s="87" t="inlineStr">
        <is>
          <t>CON ED</t>
        </is>
      </c>
      <c r="J44" s="87" t="inlineStr">
        <is>
          <t>Both</t>
        </is>
      </c>
      <c r="K44" s="87" t="inlineStr">
        <is>
          <t>Money out</t>
        </is>
      </c>
      <c r="L44" s="87" t="n"/>
      <c r="M44" s="87" t="inlineStr">
        <is>
          <t>Utilities</t>
        </is>
      </c>
      <c r="N44" s="87" t="n"/>
    </row>
    <row r="45">
      <c r="A45" s="93" t="n"/>
      <c r="B45" s="93" t="n"/>
      <c r="C45" s="93" t="n"/>
      <c r="D45" s="97" t="n"/>
      <c r="E45" s="102" t="n"/>
      <c r="H45" s="101" t="n">
        <v>70</v>
      </c>
      <c r="I45" s="87" t="inlineStr">
        <is>
          <t>WATER UTIL</t>
        </is>
      </c>
      <c r="J45" s="87" t="inlineStr">
        <is>
          <t>Both</t>
        </is>
      </c>
      <c r="K45" s="87" t="inlineStr">
        <is>
          <t>Money out</t>
        </is>
      </c>
      <c r="L45" s="87" t="n"/>
      <c r="M45" s="87" t="inlineStr">
        <is>
          <t>Utilities</t>
        </is>
      </c>
      <c r="N45" s="87" t="n"/>
    </row>
    <row r="46">
      <c r="A46" s="93" t="n"/>
      <c r="B46" s="93" t="n"/>
      <c r="C46" s="93" t="n"/>
      <c r="D46" s="97" t="n"/>
      <c r="E46" s="102" t="n"/>
      <c r="H46" s="101" t="n">
        <v>70</v>
      </c>
      <c r="I46" s="87" t="inlineStr">
        <is>
          <t>NATURAL GAS</t>
        </is>
      </c>
      <c r="J46" s="87" t="inlineStr">
        <is>
          <t>Both</t>
        </is>
      </c>
      <c r="K46" s="87" t="inlineStr">
        <is>
          <t>Money out</t>
        </is>
      </c>
      <c r="L46" s="87" t="n"/>
      <c r="M46" s="87" t="inlineStr">
        <is>
          <t>Utilities</t>
        </is>
      </c>
      <c r="N46" s="87" t="n"/>
    </row>
    <row r="47">
      <c r="A47" s="93" t="n"/>
      <c r="B47" s="93" t="n"/>
      <c r="C47" s="93" t="n"/>
      <c r="D47" s="97" t="n"/>
      <c r="E47" s="102" t="n"/>
      <c r="H47" s="101" t="n">
        <v>70</v>
      </c>
      <c r="I47" s="87" t="inlineStr">
        <is>
          <t>SEWER</t>
        </is>
      </c>
      <c r="J47" s="87" t="inlineStr">
        <is>
          <t>Both</t>
        </is>
      </c>
      <c r="K47" s="87" t="inlineStr">
        <is>
          <t>Money out</t>
        </is>
      </c>
      <c r="L47" s="87" t="n"/>
      <c r="M47" s="87" t="inlineStr">
        <is>
          <t>Utilities</t>
        </is>
      </c>
      <c r="N47" s="87" t="n"/>
    </row>
    <row r="48">
      <c r="A48" s="93" t="n"/>
      <c r="B48" s="93" t="n"/>
      <c r="C48" s="93" t="n"/>
      <c r="D48" s="97" t="n"/>
      <c r="E48" s="102" t="n"/>
      <c r="H48" s="101" t="n">
        <v>70</v>
      </c>
      <c r="I48" s="87" t="inlineStr">
        <is>
          <t>VERIZON</t>
        </is>
      </c>
      <c r="J48" s="87" t="inlineStr">
        <is>
          <t>Both</t>
        </is>
      </c>
      <c r="K48" s="87" t="inlineStr">
        <is>
          <t>Any</t>
        </is>
      </c>
      <c r="L48" s="87" t="n"/>
      <c r="M48" s="87" t="inlineStr">
        <is>
          <t>Phone &amp; Internet</t>
        </is>
      </c>
      <c r="N48" s="87" t="n"/>
    </row>
    <row r="49">
      <c r="A49" s="93" t="n"/>
      <c r="B49" s="93" t="n"/>
      <c r="C49" s="93" t="n"/>
      <c r="D49" s="97" t="n"/>
      <c r="E49" s="102" t="n"/>
      <c r="H49" s="101" t="n">
        <v>70</v>
      </c>
      <c r="I49" s="87" t="inlineStr">
        <is>
          <t>AT&amp;T</t>
        </is>
      </c>
      <c r="J49" s="87" t="inlineStr">
        <is>
          <t>Both</t>
        </is>
      </c>
      <c r="K49" s="87" t="inlineStr">
        <is>
          <t>Any</t>
        </is>
      </c>
      <c r="L49" s="87" t="n"/>
      <c r="M49" s="87" t="inlineStr">
        <is>
          <t>Phone &amp; Internet</t>
        </is>
      </c>
      <c r="N49" s="87" t="n"/>
    </row>
    <row r="50">
      <c r="A50" s="93" t="n"/>
      <c r="B50" s="93" t="n"/>
      <c r="C50" s="93" t="n"/>
      <c r="D50" s="97" t="n"/>
      <c r="E50" s="102" t="n"/>
      <c r="H50" s="101" t="n">
        <v>70</v>
      </c>
      <c r="I50" s="87" t="inlineStr">
        <is>
          <t>T-MOBILE</t>
        </is>
      </c>
      <c r="J50" s="87" t="inlineStr">
        <is>
          <t>Both</t>
        </is>
      </c>
      <c r="K50" s="87" t="inlineStr">
        <is>
          <t>Any</t>
        </is>
      </c>
      <c r="L50" s="87" t="n"/>
      <c r="M50" s="87" t="inlineStr">
        <is>
          <t>Phone &amp; Internet</t>
        </is>
      </c>
      <c r="N50" s="87" t="n"/>
    </row>
    <row r="51">
      <c r="A51" s="93" t="n"/>
      <c r="B51" s="93" t="n"/>
      <c r="C51" s="93" t="n"/>
      <c r="D51" s="97" t="n"/>
      <c r="E51" s="102" t="n"/>
      <c r="H51" s="101" t="n">
        <v>70</v>
      </c>
      <c r="I51" s="87" t="inlineStr">
        <is>
          <t>XFINITY</t>
        </is>
      </c>
      <c r="J51" s="87" t="inlineStr">
        <is>
          <t>Both</t>
        </is>
      </c>
      <c r="K51" s="87" t="inlineStr">
        <is>
          <t>Any</t>
        </is>
      </c>
      <c r="L51" s="87" t="n"/>
      <c r="M51" s="87" t="inlineStr">
        <is>
          <t>Phone &amp; Internet</t>
        </is>
      </c>
      <c r="N51" s="87" t="n"/>
    </row>
    <row r="52">
      <c r="A52" s="93" t="n"/>
      <c r="B52" s="93" t="n"/>
      <c r="C52" s="93" t="n"/>
      <c r="D52" s="97" t="n"/>
      <c r="E52" s="102" t="n"/>
      <c r="H52" s="101" t="n">
        <v>70</v>
      </c>
      <c r="I52" s="87" t="inlineStr">
        <is>
          <t>COMCAST</t>
        </is>
      </c>
      <c r="J52" s="87" t="inlineStr">
        <is>
          <t>Both</t>
        </is>
      </c>
      <c r="K52" s="87" t="inlineStr">
        <is>
          <t>Any</t>
        </is>
      </c>
      <c r="L52" s="87" t="n"/>
      <c r="M52" s="87" t="inlineStr">
        <is>
          <t>Phone &amp; Internet</t>
        </is>
      </c>
      <c r="N52" s="87" t="n"/>
    </row>
    <row r="53">
      <c r="A53" s="93" t="n"/>
      <c r="B53" s="93" t="n"/>
      <c r="C53" s="93" t="n"/>
      <c r="D53" s="97" t="n"/>
      <c r="E53" s="102" t="n"/>
      <c r="H53" s="101" t="n">
        <v>70</v>
      </c>
      <c r="I53" s="87" t="inlineStr">
        <is>
          <t>SPECTRUM</t>
        </is>
      </c>
      <c r="J53" s="87" t="inlineStr">
        <is>
          <t>Both</t>
        </is>
      </c>
      <c r="K53" s="87" t="inlineStr">
        <is>
          <t>Any</t>
        </is>
      </c>
      <c r="L53" s="87" t="n"/>
      <c r="M53" s="87" t="inlineStr">
        <is>
          <t>Phone &amp; Internet</t>
        </is>
      </c>
      <c r="N53" s="87" t="n"/>
    </row>
    <row r="54">
      <c r="A54" s="93" t="n"/>
      <c r="B54" s="93" t="n"/>
      <c r="C54" s="93" t="n"/>
      <c r="D54" s="97" t="n"/>
      <c r="E54" s="102" t="n"/>
      <c r="H54" s="101" t="n">
        <v>70</v>
      </c>
      <c r="I54" s="87" t="inlineStr">
        <is>
          <t>OPTIMUM</t>
        </is>
      </c>
      <c r="J54" s="87" t="inlineStr">
        <is>
          <t>Both</t>
        </is>
      </c>
      <c r="K54" s="87" t="inlineStr">
        <is>
          <t>Any</t>
        </is>
      </c>
      <c r="L54" s="87" t="n"/>
      <c r="M54" s="87" t="inlineStr">
        <is>
          <t>Phone &amp; Internet</t>
        </is>
      </c>
      <c r="N54" s="87" t="n"/>
    </row>
    <row r="55">
      <c r="A55" s="93" t="n"/>
      <c r="B55" s="93" t="n"/>
      <c r="C55" s="93" t="n"/>
      <c r="D55" s="97" t="n"/>
      <c r="E55" s="102" t="n"/>
      <c r="H55" s="101" t="n">
        <v>75</v>
      </c>
      <c r="I55" s="87" t="inlineStr">
        <is>
          <t>GEICO</t>
        </is>
      </c>
      <c r="J55" s="87" t="inlineStr">
        <is>
          <t>Both</t>
        </is>
      </c>
      <c r="K55" s="87" t="inlineStr">
        <is>
          <t>Money out</t>
        </is>
      </c>
      <c r="L55" s="87" t="n"/>
      <c r="M55" s="87" t="inlineStr">
        <is>
          <t>Insurance</t>
        </is>
      </c>
      <c r="N55" s="87" t="n"/>
    </row>
    <row r="56">
      <c r="A56" s="93" t="n"/>
      <c r="B56" s="93" t="n"/>
      <c r="C56" s="93" t="n"/>
      <c r="D56" s="97" t="n"/>
      <c r="E56" s="102" t="n"/>
      <c r="H56" s="101" t="n">
        <v>75</v>
      </c>
      <c r="I56" s="87" t="inlineStr">
        <is>
          <t>STATE FARM</t>
        </is>
      </c>
      <c r="J56" s="87" t="inlineStr">
        <is>
          <t>Both</t>
        </is>
      </c>
      <c r="K56" s="87" t="inlineStr">
        <is>
          <t>Money out</t>
        </is>
      </c>
      <c r="L56" s="87" t="n"/>
      <c r="M56" s="87" t="inlineStr">
        <is>
          <t>Insurance</t>
        </is>
      </c>
      <c r="N56" s="87" t="n"/>
    </row>
    <row r="57">
      <c r="A57" s="93" t="n"/>
      <c r="B57" s="93" t="n"/>
      <c r="C57" s="93" t="n"/>
      <c r="D57" s="97" t="n"/>
      <c r="E57" s="102" t="n"/>
      <c r="H57" s="101" t="n">
        <v>75</v>
      </c>
      <c r="I57" s="87" t="inlineStr">
        <is>
          <t>PROGRESSIVE</t>
        </is>
      </c>
      <c r="J57" s="87" t="inlineStr">
        <is>
          <t>Both</t>
        </is>
      </c>
      <c r="K57" s="87" t="inlineStr">
        <is>
          <t>Money out</t>
        </is>
      </c>
      <c r="L57" s="87" t="n"/>
      <c r="M57" s="87" t="inlineStr">
        <is>
          <t>Insurance</t>
        </is>
      </c>
      <c r="N57" s="87" t="n"/>
    </row>
    <row r="58">
      <c r="A58" s="93" t="n"/>
      <c r="B58" s="93" t="n"/>
      <c r="C58" s="93" t="n"/>
      <c r="D58" s="97" t="n"/>
      <c r="E58" s="102" t="n"/>
      <c r="H58" s="101" t="n">
        <v>75</v>
      </c>
      <c r="I58" s="87" t="inlineStr">
        <is>
          <t>ALLSTATE</t>
        </is>
      </c>
      <c r="J58" s="87" t="inlineStr">
        <is>
          <t>Both</t>
        </is>
      </c>
      <c r="K58" s="87" t="inlineStr">
        <is>
          <t>Money out</t>
        </is>
      </c>
      <c r="L58" s="87" t="n"/>
      <c r="M58" s="87" t="inlineStr">
        <is>
          <t>Insurance</t>
        </is>
      </c>
      <c r="N58" s="87" t="n"/>
    </row>
    <row r="59">
      <c r="A59" s="93" t="n"/>
      <c r="B59" s="93" t="n"/>
      <c r="C59" s="93" t="n"/>
      <c r="D59" s="97" t="n"/>
      <c r="E59" s="102" t="n"/>
      <c r="H59" s="101" t="n">
        <v>75</v>
      </c>
      <c r="I59" s="87" t="inlineStr">
        <is>
          <t>INSURANCE</t>
        </is>
      </c>
      <c r="J59" s="87" t="inlineStr">
        <is>
          <t>Both</t>
        </is>
      </c>
      <c r="K59" s="87" t="inlineStr">
        <is>
          <t>Money out</t>
        </is>
      </c>
      <c r="L59" s="87" t="n"/>
      <c r="M59" s="87" t="inlineStr">
        <is>
          <t>Insurance</t>
        </is>
      </c>
      <c r="N59" s="87" t="n"/>
    </row>
    <row r="60">
      <c r="A60" s="93" t="n"/>
      <c r="B60" s="93" t="n"/>
      <c r="C60" s="93" t="n"/>
      <c r="D60" s="97" t="n"/>
      <c r="E60" s="102" t="n"/>
      <c r="H60" s="101" t="n">
        <v>80</v>
      </c>
      <c r="I60" s="87" t="inlineStr">
        <is>
          <t>WHOLE FOODS</t>
        </is>
      </c>
      <c r="J60" s="87" t="inlineStr">
        <is>
          <t>Both</t>
        </is>
      </c>
      <c r="K60" s="87" t="inlineStr">
        <is>
          <t>Any</t>
        </is>
      </c>
      <c r="L60" s="87" t="n"/>
      <c r="M60" s="87" t="inlineStr">
        <is>
          <t>Groceries</t>
        </is>
      </c>
      <c r="N60" s="87" t="n"/>
    </row>
    <row r="61">
      <c r="A61" s="93" t="n"/>
      <c r="B61" s="93" t="n"/>
      <c r="C61" s="93" t="n"/>
      <c r="D61" s="97" t="n"/>
      <c r="E61" s="102" t="n"/>
      <c r="H61" s="101" t="n">
        <v>80</v>
      </c>
      <c r="I61" s="87" t="inlineStr">
        <is>
          <t>TRADER JOE</t>
        </is>
      </c>
      <c r="J61" s="87" t="inlineStr">
        <is>
          <t>Both</t>
        </is>
      </c>
      <c r="K61" s="87" t="inlineStr">
        <is>
          <t>Any</t>
        </is>
      </c>
      <c r="L61" s="87" t="n"/>
      <c r="M61" s="87" t="inlineStr">
        <is>
          <t>Groceries</t>
        </is>
      </c>
      <c r="N61" s="87" t="n"/>
    </row>
    <row r="62">
      <c r="A62" s="93" t="n"/>
      <c r="B62" s="93" t="n"/>
      <c r="C62" s="93" t="n"/>
      <c r="D62" s="97" t="n"/>
      <c r="E62" s="102" t="n"/>
      <c r="H62" s="101" t="n">
        <v>80</v>
      </c>
      <c r="I62" s="87" t="inlineStr">
        <is>
          <t>SHOPRITE</t>
        </is>
      </c>
      <c r="J62" s="87" t="inlineStr">
        <is>
          <t>Both</t>
        </is>
      </c>
      <c r="K62" s="87" t="inlineStr">
        <is>
          <t>Any</t>
        </is>
      </c>
      <c r="L62" s="87" t="n"/>
      <c r="M62" s="87" t="inlineStr">
        <is>
          <t>Groceries</t>
        </is>
      </c>
      <c r="N62" s="87" t="n"/>
    </row>
    <row r="63">
      <c r="A63" s="93" t="n"/>
      <c r="B63" s="93" t="n"/>
      <c r="C63" s="93" t="n"/>
      <c r="D63" s="97" t="n"/>
      <c r="E63" s="102" t="n"/>
      <c r="H63" s="101" t="n">
        <v>80</v>
      </c>
      <c r="I63" s="87" t="inlineStr">
        <is>
          <t>KROGER</t>
        </is>
      </c>
      <c r="J63" s="87" t="inlineStr">
        <is>
          <t>Both</t>
        </is>
      </c>
      <c r="K63" s="87" t="inlineStr">
        <is>
          <t>Any</t>
        </is>
      </c>
      <c r="L63" s="87" t="n"/>
      <c r="M63" s="87" t="inlineStr">
        <is>
          <t>Groceries</t>
        </is>
      </c>
      <c r="N63" s="87" t="n"/>
    </row>
    <row r="64">
      <c r="A64" s="93" t="n"/>
      <c r="B64" s="93" t="n"/>
      <c r="C64" s="93" t="n"/>
      <c r="D64" s="97" t="n"/>
      <c r="E64" s="102" t="n"/>
      <c r="H64" s="101" t="n">
        <v>80</v>
      </c>
      <c r="I64" s="87" t="inlineStr">
        <is>
          <t>SAFEWAY</t>
        </is>
      </c>
      <c r="J64" s="87" t="inlineStr">
        <is>
          <t>Both</t>
        </is>
      </c>
      <c r="K64" s="87" t="inlineStr">
        <is>
          <t>Any</t>
        </is>
      </c>
      <c r="L64" s="87" t="n"/>
      <c r="M64" s="87" t="inlineStr">
        <is>
          <t>Groceries</t>
        </is>
      </c>
      <c r="N64" s="87" t="n"/>
    </row>
    <row r="65">
      <c r="A65" s="93" t="n"/>
      <c r="B65" s="93" t="n"/>
      <c r="C65" s="93" t="n"/>
      <c r="D65" s="97" t="n"/>
      <c r="E65" s="102" t="n"/>
      <c r="H65" s="101" t="n">
        <v>80</v>
      </c>
      <c r="I65" s="87" t="inlineStr">
        <is>
          <t>PUBLIX</t>
        </is>
      </c>
      <c r="J65" s="87" t="inlineStr">
        <is>
          <t>Both</t>
        </is>
      </c>
      <c r="K65" s="87" t="inlineStr">
        <is>
          <t>Any</t>
        </is>
      </c>
      <c r="L65" s="87" t="n"/>
      <c r="M65" s="87" t="inlineStr">
        <is>
          <t>Groceries</t>
        </is>
      </c>
      <c r="N65" s="87" t="n"/>
    </row>
    <row r="66">
      <c r="H66" s="101" t="n">
        <v>80</v>
      </c>
      <c r="I66" s="87" t="inlineStr">
        <is>
          <t>ALDI</t>
        </is>
      </c>
      <c r="J66" s="87" t="inlineStr">
        <is>
          <t>Both</t>
        </is>
      </c>
      <c r="K66" s="87" t="inlineStr">
        <is>
          <t>Any</t>
        </is>
      </c>
      <c r="L66" s="87" t="n"/>
      <c r="M66" s="87" t="inlineStr">
        <is>
          <t>Groceries</t>
        </is>
      </c>
      <c r="N66" s="87" t="n"/>
    </row>
    <row r="67">
      <c r="H67" s="101" t="n">
        <v>80</v>
      </c>
      <c r="I67" s="87" t="inlineStr">
        <is>
          <t>WEGMANS</t>
        </is>
      </c>
      <c r="J67" s="87" t="inlineStr">
        <is>
          <t>Both</t>
        </is>
      </c>
      <c r="K67" s="87" t="inlineStr">
        <is>
          <t>Any</t>
        </is>
      </c>
      <c r="L67" s="87" t="n"/>
      <c r="M67" s="87" t="inlineStr">
        <is>
          <t>Groceries</t>
        </is>
      </c>
      <c r="N67" s="87" t="n"/>
    </row>
    <row r="68">
      <c r="H68" s="101" t="n">
        <v>80</v>
      </c>
      <c r="I68" s="87" t="inlineStr">
        <is>
          <t>STOP &amp; SHOP</t>
        </is>
      </c>
      <c r="J68" s="87" t="inlineStr">
        <is>
          <t>Both</t>
        </is>
      </c>
      <c r="K68" s="87" t="inlineStr">
        <is>
          <t>Any</t>
        </is>
      </c>
      <c r="L68" s="87" t="n"/>
      <c r="M68" s="87" t="inlineStr">
        <is>
          <t>Groceries</t>
        </is>
      </c>
      <c r="N68" s="87" t="n"/>
    </row>
    <row r="69">
      <c r="H69" s="101" t="n">
        <v>80</v>
      </c>
      <c r="I69" s="87" t="inlineStr">
        <is>
          <t>COSTCO</t>
        </is>
      </c>
      <c r="J69" s="87" t="inlineStr">
        <is>
          <t>Both</t>
        </is>
      </c>
      <c r="K69" s="87" t="inlineStr">
        <is>
          <t>Any</t>
        </is>
      </c>
      <c r="L69" s="87" t="n"/>
      <c r="M69" s="87" t="inlineStr">
        <is>
          <t>Groceries</t>
        </is>
      </c>
      <c r="N69" s="87" t="n"/>
    </row>
    <row r="70">
      <c r="H70" s="101" t="n">
        <v>80</v>
      </c>
      <c r="I70" s="87" t="inlineStr">
        <is>
          <t>H MART</t>
        </is>
      </c>
      <c r="J70" s="87" t="inlineStr">
        <is>
          <t>Both</t>
        </is>
      </c>
      <c r="K70" s="87" t="inlineStr">
        <is>
          <t>Any</t>
        </is>
      </c>
      <c r="L70" s="87" t="n"/>
      <c r="M70" s="87" t="inlineStr">
        <is>
          <t>Groceries</t>
        </is>
      </c>
      <c r="N70" s="87" t="n"/>
    </row>
    <row r="71">
      <c r="H71" s="101" t="n">
        <v>80</v>
      </c>
      <c r="I71" s="87" t="inlineStr">
        <is>
          <t>GROCERY</t>
        </is>
      </c>
      <c r="J71" s="87" t="inlineStr">
        <is>
          <t>Both</t>
        </is>
      </c>
      <c r="K71" s="87" t="inlineStr">
        <is>
          <t>Any</t>
        </is>
      </c>
      <c r="L71" s="87" t="n"/>
      <c r="M71" s="87" t="inlineStr">
        <is>
          <t>Groceries</t>
        </is>
      </c>
      <c r="N71" s="87" t="n"/>
    </row>
    <row r="72">
      <c r="H72" s="101" t="n">
        <v>80</v>
      </c>
      <c r="I72" s="87" t="inlineStr">
        <is>
          <t>SHELL OIL</t>
        </is>
      </c>
      <c r="J72" s="87" t="inlineStr">
        <is>
          <t>Both</t>
        </is>
      </c>
      <c r="K72" s="87" t="inlineStr">
        <is>
          <t>Any</t>
        </is>
      </c>
      <c r="L72" s="87" t="n"/>
      <c r="M72" s="87" t="inlineStr">
        <is>
          <t>Gas &amp; Fuel</t>
        </is>
      </c>
      <c r="N72" s="87" t="n"/>
    </row>
    <row r="73">
      <c r="H73" s="101" t="n">
        <v>80</v>
      </c>
      <c r="I73" s="87" t="inlineStr">
        <is>
          <t>EXXON</t>
        </is>
      </c>
      <c r="J73" s="87" t="inlineStr">
        <is>
          <t>Both</t>
        </is>
      </c>
      <c r="K73" s="87" t="inlineStr">
        <is>
          <t>Any</t>
        </is>
      </c>
      <c r="L73" s="87" t="n"/>
      <c r="M73" s="87" t="inlineStr">
        <is>
          <t>Gas &amp; Fuel</t>
        </is>
      </c>
      <c r="N73" s="87" t="n"/>
    </row>
    <row r="74">
      <c r="H74" s="101" t="n">
        <v>80</v>
      </c>
      <c r="I74" s="87" t="inlineStr">
        <is>
          <t>MOBIL</t>
        </is>
      </c>
      <c r="J74" s="87" t="inlineStr">
        <is>
          <t>Both</t>
        </is>
      </c>
      <c r="K74" s="87" t="inlineStr">
        <is>
          <t>Any</t>
        </is>
      </c>
      <c r="L74" s="87" t="n"/>
      <c r="M74" s="87" t="inlineStr">
        <is>
          <t>Gas &amp; Fuel</t>
        </is>
      </c>
      <c r="N74" s="87" t="n"/>
    </row>
    <row r="75">
      <c r="H75" s="101" t="n">
        <v>80</v>
      </c>
      <c r="I75" s="87" t="inlineStr">
        <is>
          <t>CHEVRON</t>
        </is>
      </c>
      <c r="J75" s="87" t="inlineStr">
        <is>
          <t>Both</t>
        </is>
      </c>
      <c r="K75" s="87" t="inlineStr">
        <is>
          <t>Any</t>
        </is>
      </c>
      <c r="L75" s="87" t="n"/>
      <c r="M75" s="87" t="inlineStr">
        <is>
          <t>Gas &amp; Fuel</t>
        </is>
      </c>
      <c r="N75" s="87" t="n"/>
    </row>
    <row r="76">
      <c r="H76" s="101" t="n">
        <v>80</v>
      </c>
      <c r="I76" s="87" t="inlineStr">
        <is>
          <t>SUNOCO</t>
        </is>
      </c>
      <c r="J76" s="87" t="inlineStr">
        <is>
          <t>Both</t>
        </is>
      </c>
      <c r="K76" s="87" t="inlineStr">
        <is>
          <t>Any</t>
        </is>
      </c>
      <c r="L76" s="87" t="n"/>
      <c r="M76" s="87" t="inlineStr">
        <is>
          <t>Gas &amp; Fuel</t>
        </is>
      </c>
      <c r="N76" s="87" t="n"/>
    </row>
    <row r="77">
      <c r="H77" s="101" t="n">
        <v>80</v>
      </c>
      <c r="I77" s="87" t="inlineStr">
        <is>
          <t>BP#</t>
        </is>
      </c>
      <c r="J77" s="87" t="inlineStr">
        <is>
          <t>Both</t>
        </is>
      </c>
      <c r="K77" s="87" t="inlineStr">
        <is>
          <t>Any</t>
        </is>
      </c>
      <c r="L77" s="87" t="n"/>
      <c r="M77" s="87" t="inlineStr">
        <is>
          <t>Gas &amp; Fuel</t>
        </is>
      </c>
      <c r="N77" s="87" t="n"/>
    </row>
    <row r="78">
      <c r="H78" s="101" t="n">
        <v>80</v>
      </c>
      <c r="I78" s="87" t="inlineStr">
        <is>
          <t>GULF OIL</t>
        </is>
      </c>
      <c r="J78" s="87" t="inlineStr">
        <is>
          <t>Both</t>
        </is>
      </c>
      <c r="K78" s="87" t="inlineStr">
        <is>
          <t>Any</t>
        </is>
      </c>
      <c r="L78" s="87" t="n"/>
      <c r="M78" s="87" t="inlineStr">
        <is>
          <t>Gas &amp; Fuel</t>
        </is>
      </c>
      <c r="N78" s="87" t="n"/>
    </row>
    <row r="79">
      <c r="H79" s="101" t="n">
        <v>85</v>
      </c>
      <c r="I79" s="87" t="inlineStr">
        <is>
          <t>UBER</t>
        </is>
      </c>
      <c r="J79" s="87" t="inlineStr">
        <is>
          <t>Both</t>
        </is>
      </c>
      <c r="K79" s="87" t="inlineStr">
        <is>
          <t>Any</t>
        </is>
      </c>
      <c r="L79" s="87" t="n"/>
      <c r="M79" s="87" t="inlineStr">
        <is>
          <t>Transportation</t>
        </is>
      </c>
      <c r="N79" s="87" t="n"/>
    </row>
    <row r="80">
      <c r="H80" s="101" t="n">
        <v>85</v>
      </c>
      <c r="I80" s="87" t="inlineStr">
        <is>
          <t>LYFT</t>
        </is>
      </c>
      <c r="J80" s="87" t="inlineStr">
        <is>
          <t>Both</t>
        </is>
      </c>
      <c r="K80" s="87" t="inlineStr">
        <is>
          <t>Any</t>
        </is>
      </c>
      <c r="L80" s="87" t="n"/>
      <c r="M80" s="87" t="inlineStr">
        <is>
          <t>Transportation</t>
        </is>
      </c>
      <c r="N80" s="87" t="n"/>
    </row>
    <row r="81">
      <c r="H81" s="101" t="n">
        <v>85</v>
      </c>
      <c r="I81" s="87" t="inlineStr">
        <is>
          <t>PARKING</t>
        </is>
      </c>
      <c r="J81" s="87" t="inlineStr">
        <is>
          <t>Both</t>
        </is>
      </c>
      <c r="K81" s="87" t="inlineStr">
        <is>
          <t>Any</t>
        </is>
      </c>
      <c r="L81" s="87" t="n"/>
      <c r="M81" s="87" t="inlineStr">
        <is>
          <t>Transportation</t>
        </is>
      </c>
      <c r="N81" s="87" t="n"/>
    </row>
    <row r="82">
      <c r="H82" s="101" t="n">
        <v>85</v>
      </c>
      <c r="I82" s="87" t="inlineStr">
        <is>
          <t>E-ZPASS</t>
        </is>
      </c>
      <c r="J82" s="87" t="inlineStr">
        <is>
          <t>Both</t>
        </is>
      </c>
      <c r="K82" s="87" t="inlineStr">
        <is>
          <t>Any</t>
        </is>
      </c>
      <c r="L82" s="87" t="n"/>
      <c r="M82" s="87" t="inlineStr">
        <is>
          <t>Transportation</t>
        </is>
      </c>
      <c r="N82" s="87" t="n"/>
    </row>
    <row r="83">
      <c r="H83" s="101" t="n">
        <v>85</v>
      </c>
      <c r="I83" s="87" t="inlineStr">
        <is>
          <t>EZPASS</t>
        </is>
      </c>
      <c r="J83" s="87" t="inlineStr">
        <is>
          <t>Both</t>
        </is>
      </c>
      <c r="K83" s="87" t="inlineStr">
        <is>
          <t>Any</t>
        </is>
      </c>
      <c r="L83" s="87" t="n"/>
      <c r="M83" s="87" t="inlineStr">
        <is>
          <t>Transportation</t>
        </is>
      </c>
      <c r="N83" s="87" t="n"/>
    </row>
    <row r="84">
      <c r="H84" s="101" t="n">
        <v>85</v>
      </c>
      <c r="I84" s="87" t="inlineStr">
        <is>
          <t>TOLL</t>
        </is>
      </c>
      <c r="J84" s="87" t="inlineStr">
        <is>
          <t>Both</t>
        </is>
      </c>
      <c r="K84" s="87" t="inlineStr">
        <is>
          <t>Any</t>
        </is>
      </c>
      <c r="L84" s="87" t="n"/>
      <c r="M84" s="87" t="inlineStr">
        <is>
          <t>Transportation</t>
        </is>
      </c>
      <c r="N84" s="87" t="n"/>
    </row>
    <row r="85">
      <c r="H85" s="101" t="n">
        <v>85</v>
      </c>
      <c r="I85" s="87" t="inlineStr">
        <is>
          <t>TRANSIT</t>
        </is>
      </c>
      <c r="J85" s="87" t="inlineStr">
        <is>
          <t>Both</t>
        </is>
      </c>
      <c r="K85" s="87" t="inlineStr">
        <is>
          <t>Any</t>
        </is>
      </c>
      <c r="L85" s="87" t="n"/>
      <c r="M85" s="87" t="inlineStr">
        <is>
          <t>Transportation</t>
        </is>
      </c>
      <c r="N85" s="87" t="n"/>
    </row>
    <row r="86">
      <c r="H86" s="101" t="n">
        <v>90</v>
      </c>
      <c r="I86" s="87" t="inlineStr">
        <is>
          <t>NETFLIX</t>
        </is>
      </c>
      <c r="J86" s="87" t="inlineStr">
        <is>
          <t>Both</t>
        </is>
      </c>
      <c r="K86" s="87" t="inlineStr">
        <is>
          <t>Any</t>
        </is>
      </c>
      <c r="L86" s="87" t="n"/>
      <c r="M86" s="87" t="inlineStr">
        <is>
          <t>Subscriptions</t>
        </is>
      </c>
      <c r="N86" s="87" t="n"/>
    </row>
    <row r="87">
      <c r="H87" s="101" t="n">
        <v>90</v>
      </c>
      <c r="I87" s="87" t="inlineStr">
        <is>
          <t>SPOTIFY</t>
        </is>
      </c>
      <c r="J87" s="87" t="inlineStr">
        <is>
          <t>Both</t>
        </is>
      </c>
      <c r="K87" s="87" t="inlineStr">
        <is>
          <t>Any</t>
        </is>
      </c>
      <c r="L87" s="87" t="n"/>
      <c r="M87" s="87" t="inlineStr">
        <is>
          <t>Subscriptions</t>
        </is>
      </c>
      <c r="N87" s="87" t="n"/>
    </row>
    <row r="88">
      <c r="H88" s="101" t="n">
        <v>90</v>
      </c>
      <c r="I88" s="87" t="inlineStr">
        <is>
          <t>HULU</t>
        </is>
      </c>
      <c r="J88" s="87" t="inlineStr">
        <is>
          <t>Both</t>
        </is>
      </c>
      <c r="K88" s="87" t="inlineStr">
        <is>
          <t>Any</t>
        </is>
      </c>
      <c r="L88" s="87" t="n"/>
      <c r="M88" s="87" t="inlineStr">
        <is>
          <t>Subscriptions</t>
        </is>
      </c>
      <c r="N88" s="87" t="n"/>
    </row>
    <row r="89">
      <c r="H89" s="101" t="n">
        <v>90</v>
      </c>
      <c r="I89" s="87" t="inlineStr">
        <is>
          <t>DISNEY PLUS</t>
        </is>
      </c>
      <c r="J89" s="87" t="inlineStr">
        <is>
          <t>Both</t>
        </is>
      </c>
      <c r="K89" s="87" t="inlineStr">
        <is>
          <t>Any</t>
        </is>
      </c>
      <c r="L89" s="87" t="n"/>
      <c r="M89" s="87" t="inlineStr">
        <is>
          <t>Subscriptions</t>
        </is>
      </c>
      <c r="N89" s="87" t="n"/>
    </row>
    <row r="90">
      <c r="H90" s="101" t="n">
        <v>90</v>
      </c>
      <c r="I90" s="87" t="inlineStr">
        <is>
          <t>HBO MAX</t>
        </is>
      </c>
      <c r="J90" s="87" t="inlineStr">
        <is>
          <t>Both</t>
        </is>
      </c>
      <c r="K90" s="87" t="inlineStr">
        <is>
          <t>Any</t>
        </is>
      </c>
      <c r="L90" s="87" t="n"/>
      <c r="M90" s="87" t="inlineStr">
        <is>
          <t>Subscriptions</t>
        </is>
      </c>
      <c r="N90" s="87" t="n"/>
    </row>
    <row r="91">
      <c r="H91" s="101" t="n">
        <v>90</v>
      </c>
      <c r="I91" s="87" t="inlineStr">
        <is>
          <t>YOUTUBE</t>
        </is>
      </c>
      <c r="J91" s="87" t="inlineStr">
        <is>
          <t>Both</t>
        </is>
      </c>
      <c r="K91" s="87" t="inlineStr">
        <is>
          <t>Any</t>
        </is>
      </c>
      <c r="L91" s="87" t="n"/>
      <c r="M91" s="87" t="inlineStr">
        <is>
          <t>Subscriptions</t>
        </is>
      </c>
      <c r="N91" s="87" t="n"/>
    </row>
    <row r="92">
      <c r="H92" s="101" t="n">
        <v>90</v>
      </c>
      <c r="I92" s="87" t="inlineStr">
        <is>
          <t>APPLE.COM/BILL</t>
        </is>
      </c>
      <c r="J92" s="87" t="inlineStr">
        <is>
          <t>Both</t>
        </is>
      </c>
      <c r="K92" s="87" t="inlineStr">
        <is>
          <t>Any</t>
        </is>
      </c>
      <c r="L92" s="87" t="n"/>
      <c r="M92" s="87" t="inlineStr">
        <is>
          <t>Subscriptions</t>
        </is>
      </c>
      <c r="N92" s="87" t="n"/>
    </row>
    <row r="93">
      <c r="H93" s="101" t="n">
        <v>90</v>
      </c>
      <c r="I93" s="87" t="inlineStr">
        <is>
          <t>AUDIBLE</t>
        </is>
      </c>
      <c r="J93" s="87" t="inlineStr">
        <is>
          <t>Both</t>
        </is>
      </c>
      <c r="K93" s="87" t="inlineStr">
        <is>
          <t>Any</t>
        </is>
      </c>
      <c r="L93" s="87" t="n"/>
      <c r="M93" s="87" t="inlineStr">
        <is>
          <t>Subscriptions</t>
        </is>
      </c>
      <c r="N93" s="87" t="n"/>
    </row>
    <row r="94">
      <c r="H94" s="101" t="n">
        <v>90</v>
      </c>
      <c r="I94" s="87" t="inlineStr">
        <is>
          <t>PATREON</t>
        </is>
      </c>
      <c r="J94" s="87" t="inlineStr">
        <is>
          <t>Both</t>
        </is>
      </c>
      <c r="K94" s="87" t="inlineStr">
        <is>
          <t>Any</t>
        </is>
      </c>
      <c r="L94" s="87" t="n"/>
      <c r="M94" s="87" t="inlineStr">
        <is>
          <t>Subscriptions</t>
        </is>
      </c>
      <c r="N94" s="87" t="n"/>
    </row>
    <row r="95">
      <c r="H95" s="101" t="n">
        <v>90</v>
      </c>
      <c r="I95" s="87" t="inlineStr">
        <is>
          <t>STARBUCKS</t>
        </is>
      </c>
      <c r="J95" s="87" t="inlineStr">
        <is>
          <t>Both</t>
        </is>
      </c>
      <c r="K95" s="87" t="inlineStr">
        <is>
          <t>Any</t>
        </is>
      </c>
      <c r="L95" s="87" t="n"/>
      <c r="M95" s="87" t="inlineStr">
        <is>
          <t>Dining Out</t>
        </is>
      </c>
      <c r="N95" s="87" t="n"/>
    </row>
    <row r="96">
      <c r="H96" s="101" t="n">
        <v>90</v>
      </c>
      <c r="I96" s="87" t="inlineStr">
        <is>
          <t>DUNKIN</t>
        </is>
      </c>
      <c r="J96" s="87" t="inlineStr">
        <is>
          <t>Both</t>
        </is>
      </c>
      <c r="K96" s="87" t="inlineStr">
        <is>
          <t>Any</t>
        </is>
      </c>
      <c r="L96" s="87" t="n"/>
      <c r="M96" s="87" t="inlineStr">
        <is>
          <t>Dining Out</t>
        </is>
      </c>
      <c r="N96" s="87" t="n"/>
    </row>
    <row r="97">
      <c r="H97" s="101" t="n">
        <v>90</v>
      </c>
      <c r="I97" s="87" t="inlineStr">
        <is>
          <t>COFFEE</t>
        </is>
      </c>
      <c r="J97" s="87" t="inlineStr">
        <is>
          <t>Both</t>
        </is>
      </c>
      <c r="K97" s="87" t="inlineStr">
        <is>
          <t>Any</t>
        </is>
      </c>
      <c r="L97" s="87" t="n"/>
      <c r="M97" s="87" t="inlineStr">
        <is>
          <t>Dining Out</t>
        </is>
      </c>
      <c r="N97" s="87" t="n"/>
    </row>
    <row r="98">
      <c r="H98" s="101" t="n">
        <v>90</v>
      </c>
      <c r="I98" s="87" t="inlineStr">
        <is>
          <t>CHIPOTLE</t>
        </is>
      </c>
      <c r="J98" s="87" t="inlineStr">
        <is>
          <t>Both</t>
        </is>
      </c>
      <c r="K98" s="87" t="inlineStr">
        <is>
          <t>Any</t>
        </is>
      </c>
      <c r="L98" s="87" t="n"/>
      <c r="M98" s="87" t="inlineStr">
        <is>
          <t>Dining Out</t>
        </is>
      </c>
      <c r="N98" s="87" t="n"/>
    </row>
    <row r="99">
      <c r="H99" s="101" t="n">
        <v>90</v>
      </c>
      <c r="I99" s="87" t="inlineStr">
        <is>
          <t>MCDONALD</t>
        </is>
      </c>
      <c r="J99" s="87" t="inlineStr">
        <is>
          <t>Both</t>
        </is>
      </c>
      <c r="K99" s="87" t="inlineStr">
        <is>
          <t>Any</t>
        </is>
      </c>
      <c r="L99" s="87" t="n"/>
      <c r="M99" s="87" t="inlineStr">
        <is>
          <t>Dining Out</t>
        </is>
      </c>
      <c r="N99" s="87" t="n"/>
    </row>
    <row r="100">
      <c r="H100" s="101" t="n">
        <v>90</v>
      </c>
      <c r="I100" s="87" t="inlineStr">
        <is>
          <t>PIZZ</t>
        </is>
      </c>
      <c r="J100" s="87" t="inlineStr">
        <is>
          <t>Both</t>
        </is>
      </c>
      <c r="K100" s="87" t="inlineStr">
        <is>
          <t>Any</t>
        </is>
      </c>
      <c r="L100" s="87" t="n"/>
      <c r="M100" s="87" t="inlineStr">
        <is>
          <t>Dining Out</t>
        </is>
      </c>
      <c r="N100" s="87" t="n"/>
    </row>
    <row r="101">
      <c r="H101" s="101" t="n">
        <v>90</v>
      </c>
      <c r="I101" s="87" t="inlineStr">
        <is>
          <t>CAFE</t>
        </is>
      </c>
      <c r="J101" s="87" t="inlineStr">
        <is>
          <t>Both</t>
        </is>
      </c>
      <c r="K101" s="87" t="inlineStr">
        <is>
          <t>Any</t>
        </is>
      </c>
      <c r="L101" s="87" t="n"/>
      <c r="M101" s="87" t="inlineStr">
        <is>
          <t>Dining Out</t>
        </is>
      </c>
      <c r="N101" s="87" t="n"/>
    </row>
    <row r="102">
      <c r="H102" s="101" t="n">
        <v>90</v>
      </c>
      <c r="I102" s="87" t="inlineStr">
        <is>
          <t>RESTAURANT</t>
        </is>
      </c>
      <c r="J102" s="87" t="inlineStr">
        <is>
          <t>Both</t>
        </is>
      </c>
      <c r="K102" s="87" t="inlineStr">
        <is>
          <t>Any</t>
        </is>
      </c>
      <c r="L102" s="87" t="n"/>
      <c r="M102" s="87" t="inlineStr">
        <is>
          <t>Dining Out</t>
        </is>
      </c>
      <c r="N102" s="87" t="n"/>
    </row>
    <row r="103">
      <c r="H103" s="101" t="n">
        <v>90</v>
      </c>
      <c r="I103" s="87" t="inlineStr">
        <is>
          <t>SWEETGREEN</t>
        </is>
      </c>
      <c r="J103" s="87" t="inlineStr">
        <is>
          <t>Both</t>
        </is>
      </c>
      <c r="K103" s="87" t="inlineStr">
        <is>
          <t>Any</t>
        </is>
      </c>
      <c r="L103" s="87" t="n"/>
      <c r="M103" s="87" t="inlineStr">
        <is>
          <t>Dining Out</t>
        </is>
      </c>
      <c r="N103" s="87" t="n"/>
    </row>
    <row r="104">
      <c r="H104" s="101" t="n">
        <v>90</v>
      </c>
      <c r="I104" s="87" t="inlineStr">
        <is>
          <t>PANERA</t>
        </is>
      </c>
      <c r="J104" s="87" t="inlineStr">
        <is>
          <t>Both</t>
        </is>
      </c>
      <c r="K104" s="87" t="inlineStr">
        <is>
          <t>Any</t>
        </is>
      </c>
      <c r="L104" s="87" t="n"/>
      <c r="M104" s="87" t="inlineStr">
        <is>
          <t>Dining Out</t>
        </is>
      </c>
      <c r="N104" s="87" t="n"/>
    </row>
    <row r="105">
      <c r="H105" s="101" t="n">
        <v>90</v>
      </c>
      <c r="I105" s="87" t="inlineStr">
        <is>
          <t>CHICK-FIL-A</t>
        </is>
      </c>
      <c r="J105" s="87" t="inlineStr">
        <is>
          <t>Both</t>
        </is>
      </c>
      <c r="K105" s="87" t="inlineStr">
        <is>
          <t>Any</t>
        </is>
      </c>
      <c r="L105" s="87" t="n"/>
      <c r="M105" s="87" t="inlineStr">
        <is>
          <t>Dining Out</t>
        </is>
      </c>
      <c r="N105" s="87" t="n"/>
    </row>
    <row r="106">
      <c r="H106" s="101" t="n">
        <v>90</v>
      </c>
      <c r="I106" s="87" t="inlineStr">
        <is>
          <t>TACO</t>
        </is>
      </c>
      <c r="J106" s="87" t="inlineStr">
        <is>
          <t>Both</t>
        </is>
      </c>
      <c r="K106" s="87" t="inlineStr">
        <is>
          <t>Any</t>
        </is>
      </c>
      <c r="L106" s="87" t="n"/>
      <c r="M106" s="87" t="inlineStr">
        <is>
          <t>Dining Out</t>
        </is>
      </c>
      <c r="N106" s="87" t="n"/>
    </row>
    <row r="107">
      <c r="H107" s="101" t="n">
        <v>90</v>
      </c>
      <c r="I107" s="87" t="inlineStr">
        <is>
          <t>DINER</t>
        </is>
      </c>
      <c r="J107" s="87" t="inlineStr">
        <is>
          <t>Both</t>
        </is>
      </c>
      <c r="K107" s="87" t="inlineStr">
        <is>
          <t>Any</t>
        </is>
      </c>
      <c r="L107" s="87" t="n"/>
      <c r="M107" s="87" t="inlineStr">
        <is>
          <t>Dining Out</t>
        </is>
      </c>
      <c r="N107" s="87" t="n"/>
    </row>
    <row r="108">
      <c r="H108" s="101" t="n">
        <v>90</v>
      </c>
      <c r="I108" s="87" t="inlineStr">
        <is>
          <t>SUSHI</t>
        </is>
      </c>
      <c r="J108" s="87" t="inlineStr">
        <is>
          <t>Both</t>
        </is>
      </c>
      <c r="K108" s="87" t="inlineStr">
        <is>
          <t>Any</t>
        </is>
      </c>
      <c r="L108" s="87" t="n"/>
      <c r="M108" s="87" t="inlineStr">
        <is>
          <t>Dining Out</t>
        </is>
      </c>
      <c r="N108" s="87" t="n"/>
    </row>
    <row r="109">
      <c r="H109" s="101" t="n">
        <v>92</v>
      </c>
      <c r="I109" s="87" t="inlineStr">
        <is>
          <t>HOME DEPOT</t>
        </is>
      </c>
      <c r="J109" s="87" t="inlineStr">
        <is>
          <t>Both</t>
        </is>
      </c>
      <c r="K109" s="87" t="inlineStr">
        <is>
          <t>Any</t>
        </is>
      </c>
      <c r="L109" s="87" t="n"/>
      <c r="M109" s="87" t="inlineStr">
        <is>
          <t>Home Improvement</t>
        </is>
      </c>
      <c r="N109" s="87" t="n"/>
    </row>
    <row r="110">
      <c r="H110" s="101" t="n">
        <v>92</v>
      </c>
      <c r="I110" s="87" t="inlineStr">
        <is>
          <t>LOWE'S</t>
        </is>
      </c>
      <c r="J110" s="87" t="inlineStr">
        <is>
          <t>Both</t>
        </is>
      </c>
      <c r="K110" s="87" t="inlineStr">
        <is>
          <t>Any</t>
        </is>
      </c>
      <c r="L110" s="87" t="n"/>
      <c r="M110" s="87" t="inlineStr">
        <is>
          <t>Home Improvement</t>
        </is>
      </c>
      <c r="N110" s="87" t="n"/>
    </row>
    <row r="111">
      <c r="H111" s="101" t="n">
        <v>92</v>
      </c>
      <c r="I111" s="87" t="inlineStr">
        <is>
          <t>LOWES</t>
        </is>
      </c>
      <c r="J111" s="87" t="inlineStr">
        <is>
          <t>Both</t>
        </is>
      </c>
      <c r="K111" s="87" t="inlineStr">
        <is>
          <t>Any</t>
        </is>
      </c>
      <c r="L111" s="87" t="n"/>
      <c r="M111" s="87" t="inlineStr">
        <is>
          <t>Home Improvement</t>
        </is>
      </c>
      <c r="N111" s="87" t="n"/>
    </row>
    <row r="112">
      <c r="H112" s="101" t="n">
        <v>95</v>
      </c>
      <c r="I112" s="87" t="inlineStr">
        <is>
          <t>AMAZON</t>
        </is>
      </c>
      <c r="J112" s="87" t="inlineStr">
        <is>
          <t>Both</t>
        </is>
      </c>
      <c r="K112" s="87" t="inlineStr">
        <is>
          <t>Any</t>
        </is>
      </c>
      <c r="L112" s="87" t="n"/>
      <c r="M112" s="87" t="inlineStr">
        <is>
          <t>Shopping</t>
        </is>
      </c>
      <c r="N112" s="87" t="n"/>
    </row>
    <row r="113">
      <c r="H113" s="101" t="n">
        <v>95</v>
      </c>
      <c r="I113" s="87" t="inlineStr">
        <is>
          <t>AMZN</t>
        </is>
      </c>
      <c r="J113" s="87" t="inlineStr">
        <is>
          <t>Both</t>
        </is>
      </c>
      <c r="K113" s="87" t="inlineStr">
        <is>
          <t>Any</t>
        </is>
      </c>
      <c r="L113" s="87" t="n"/>
      <c r="M113" s="87" t="inlineStr">
        <is>
          <t>Shopping</t>
        </is>
      </c>
      <c r="N113" s="87" t="n"/>
    </row>
    <row r="114">
      <c r="H114" s="101" t="n">
        <v>95</v>
      </c>
      <c r="I114" s="87" t="inlineStr">
        <is>
          <t>TARGET</t>
        </is>
      </c>
      <c r="J114" s="87" t="inlineStr">
        <is>
          <t>Both</t>
        </is>
      </c>
      <c r="K114" s="87" t="inlineStr">
        <is>
          <t>Any</t>
        </is>
      </c>
      <c r="L114" s="87" t="n"/>
      <c r="M114" s="87" t="inlineStr">
        <is>
          <t>Shopping</t>
        </is>
      </c>
      <c r="N114" s="87" t="n"/>
    </row>
    <row r="115">
      <c r="H115" s="101" t="n">
        <v>95</v>
      </c>
      <c r="I115" s="87" t="inlineStr">
        <is>
          <t>WALMART</t>
        </is>
      </c>
      <c r="J115" s="87" t="inlineStr">
        <is>
          <t>Both</t>
        </is>
      </c>
      <c r="K115" s="87" t="inlineStr">
        <is>
          <t>Any</t>
        </is>
      </c>
      <c r="L115" s="87" t="n"/>
      <c r="M115" s="87" t="inlineStr">
        <is>
          <t>Shopping</t>
        </is>
      </c>
      <c r="N115" s="87" t="n"/>
    </row>
    <row r="116">
      <c r="H116" s="101" t="n">
        <v>95</v>
      </c>
      <c r="I116" s="87" t="inlineStr">
        <is>
          <t>BEST BUY</t>
        </is>
      </c>
      <c r="J116" s="87" t="inlineStr">
        <is>
          <t>Both</t>
        </is>
      </c>
      <c r="K116" s="87" t="inlineStr">
        <is>
          <t>Any</t>
        </is>
      </c>
      <c r="L116" s="87" t="n"/>
      <c r="M116" s="87" t="inlineStr">
        <is>
          <t>Shopping</t>
        </is>
      </c>
      <c r="N116" s="87" t="n"/>
    </row>
    <row r="117">
      <c r="H117" s="101" t="n">
        <v>95</v>
      </c>
      <c r="I117" s="87" t="inlineStr">
        <is>
          <t>MACY</t>
        </is>
      </c>
      <c r="J117" s="87" t="inlineStr">
        <is>
          <t>Both</t>
        </is>
      </c>
      <c r="K117" s="87" t="inlineStr">
        <is>
          <t>Any</t>
        </is>
      </c>
      <c r="L117" s="87" t="n"/>
      <c r="M117" s="87" t="inlineStr">
        <is>
          <t>Shopping</t>
        </is>
      </c>
      <c r="N117" s="87" t="n"/>
    </row>
    <row r="118">
      <c r="H118" s="101" t="n">
        <v>95</v>
      </c>
      <c r="I118" s="87" t="inlineStr">
        <is>
          <t>IKEA</t>
        </is>
      </c>
      <c r="J118" s="87" t="inlineStr">
        <is>
          <t>Both</t>
        </is>
      </c>
      <c r="K118" s="87" t="inlineStr">
        <is>
          <t>Any</t>
        </is>
      </c>
      <c r="L118" s="87" t="n"/>
      <c r="M118" s="87" t="inlineStr">
        <is>
          <t>Shopping</t>
        </is>
      </c>
      <c r="N118" s="87" t="n"/>
    </row>
    <row r="119">
      <c r="H119" s="101" t="n">
        <v>95</v>
      </c>
      <c r="I119" s="87" t="inlineStr">
        <is>
          <t>ETSY</t>
        </is>
      </c>
      <c r="J119" s="87" t="inlineStr">
        <is>
          <t>Both</t>
        </is>
      </c>
      <c r="K119" s="87" t="inlineStr">
        <is>
          <t>Any</t>
        </is>
      </c>
      <c r="L119" s="87" t="n"/>
      <c r="M119" s="87" t="inlineStr">
        <is>
          <t>Shopping</t>
        </is>
      </c>
      <c r="N119" s="87" t="n"/>
    </row>
    <row r="120">
      <c r="H120" s="101" t="n">
        <v>95</v>
      </c>
      <c r="I120" s="87" t="inlineStr">
        <is>
          <t>EBAY</t>
        </is>
      </c>
      <c r="J120" s="87" t="inlineStr">
        <is>
          <t>Both</t>
        </is>
      </c>
      <c r="K120" s="87" t="inlineStr">
        <is>
          <t>Any</t>
        </is>
      </c>
      <c r="L120" s="87" t="n"/>
      <c r="M120" s="87" t="inlineStr">
        <is>
          <t>Shopping</t>
        </is>
      </c>
      <c r="N120" s="87" t="n"/>
    </row>
    <row r="121">
      <c r="H121" s="101" t="n">
        <v>95</v>
      </c>
      <c r="I121" s="87" t="inlineStr">
        <is>
          <t>OLD NAVY</t>
        </is>
      </c>
      <c r="J121" s="87" t="inlineStr">
        <is>
          <t>Both</t>
        </is>
      </c>
      <c r="K121" s="87" t="inlineStr">
        <is>
          <t>Any</t>
        </is>
      </c>
      <c r="L121" s="87" t="n"/>
      <c r="M121" s="87" t="inlineStr">
        <is>
          <t>Shopping</t>
        </is>
      </c>
      <c r="N121" s="87" t="n"/>
    </row>
    <row r="122">
      <c r="H122" s="101" t="n">
        <v>95</v>
      </c>
      <c r="I122" s="87" t="inlineStr">
        <is>
          <t>AMC THEATRES</t>
        </is>
      </c>
      <c r="J122" s="87" t="inlineStr">
        <is>
          <t>Both</t>
        </is>
      </c>
      <c r="K122" s="87" t="inlineStr">
        <is>
          <t>Any</t>
        </is>
      </c>
      <c r="L122" s="87" t="n"/>
      <c r="M122" s="87" t="inlineStr">
        <is>
          <t>Entertainment</t>
        </is>
      </c>
      <c r="N122" s="87" t="n"/>
    </row>
    <row r="123">
      <c r="H123" s="101" t="n">
        <v>95</v>
      </c>
      <c r="I123" s="87" t="inlineStr">
        <is>
          <t>TICKETMASTER</t>
        </is>
      </c>
      <c r="J123" s="87" t="inlineStr">
        <is>
          <t>Both</t>
        </is>
      </c>
      <c r="K123" s="87" t="inlineStr">
        <is>
          <t>Any</t>
        </is>
      </c>
      <c r="L123" s="87" t="n"/>
      <c r="M123" s="87" t="inlineStr">
        <is>
          <t>Entertainment</t>
        </is>
      </c>
      <c r="N123" s="87" t="n"/>
    </row>
    <row r="124">
      <c r="H124" s="101" t="n">
        <v>95</v>
      </c>
      <c r="I124" s="87" t="inlineStr">
        <is>
          <t>REGAL</t>
        </is>
      </c>
      <c r="J124" s="87" t="inlineStr">
        <is>
          <t>Both</t>
        </is>
      </c>
      <c r="K124" s="87" t="inlineStr">
        <is>
          <t>Any</t>
        </is>
      </c>
      <c r="L124" s="87" t="n"/>
      <c r="M124" s="87" t="inlineStr">
        <is>
          <t>Entertainment</t>
        </is>
      </c>
      <c r="N124" s="87" t="n"/>
    </row>
    <row r="125">
      <c r="H125" s="101" t="n">
        <v>95</v>
      </c>
      <c r="I125" s="87" t="inlineStr">
        <is>
          <t>STEAM</t>
        </is>
      </c>
      <c r="J125" s="87" t="inlineStr">
        <is>
          <t>Both</t>
        </is>
      </c>
      <c r="K125" s="87" t="inlineStr">
        <is>
          <t>Any</t>
        </is>
      </c>
      <c r="L125" s="87" t="n"/>
      <c r="M125" s="87" t="inlineStr">
        <is>
          <t>Entertainment</t>
        </is>
      </c>
      <c r="N125" s="87" t="n"/>
    </row>
    <row r="126">
      <c r="H126" s="101" t="n">
        <v>95</v>
      </c>
      <c r="I126" s="87" t="inlineStr">
        <is>
          <t>PLAYSTATION</t>
        </is>
      </c>
      <c r="J126" s="87" t="inlineStr">
        <is>
          <t>Both</t>
        </is>
      </c>
      <c r="K126" s="87" t="inlineStr">
        <is>
          <t>Any</t>
        </is>
      </c>
      <c r="L126" s="87" t="n"/>
      <c r="M126" s="87" t="inlineStr">
        <is>
          <t>Entertainment</t>
        </is>
      </c>
      <c r="N126" s="87" t="n"/>
    </row>
    <row r="127">
      <c r="H127" s="101" t="n">
        <v>95</v>
      </c>
      <c r="I127" s="87" t="inlineStr">
        <is>
          <t>NINTENDO</t>
        </is>
      </c>
      <c r="J127" s="87" t="inlineStr">
        <is>
          <t>Both</t>
        </is>
      </c>
      <c r="K127" s="87" t="inlineStr">
        <is>
          <t>Any</t>
        </is>
      </c>
      <c r="L127" s="87" t="n"/>
      <c r="M127" s="87" t="inlineStr">
        <is>
          <t>Entertainment</t>
        </is>
      </c>
      <c r="N127" s="87" t="n"/>
    </row>
    <row r="128">
      <c r="H128" s="101" t="n">
        <v>95</v>
      </c>
      <c r="I128" s="87" t="inlineStr">
        <is>
          <t>BOWLING</t>
        </is>
      </c>
      <c r="J128" s="87" t="inlineStr">
        <is>
          <t>Both</t>
        </is>
      </c>
      <c r="K128" s="87" t="inlineStr">
        <is>
          <t>Any</t>
        </is>
      </c>
      <c r="L128" s="87" t="n"/>
      <c r="M128" s="87" t="inlineStr">
        <is>
          <t>Entertainment</t>
        </is>
      </c>
      <c r="N128" s="87" t="n"/>
    </row>
    <row r="129">
      <c r="H129" s="101" t="n">
        <v>95</v>
      </c>
      <c r="I129" s="87" t="inlineStr">
        <is>
          <t>AIRLINE</t>
        </is>
      </c>
      <c r="J129" s="87" t="inlineStr">
        <is>
          <t>Both</t>
        </is>
      </c>
      <c r="K129" s="87" t="inlineStr">
        <is>
          <t>Any</t>
        </is>
      </c>
      <c r="L129" s="87" t="n"/>
      <c r="M129" s="87" t="inlineStr">
        <is>
          <t>Travel</t>
        </is>
      </c>
      <c r="N129" s="87" t="n"/>
    </row>
    <row r="130">
      <c r="H130" s="101" t="n">
        <v>95</v>
      </c>
      <c r="I130" s="87" t="inlineStr">
        <is>
          <t>AIR LINES</t>
        </is>
      </c>
      <c r="J130" s="87" t="inlineStr">
        <is>
          <t>Both</t>
        </is>
      </c>
      <c r="K130" s="87" t="inlineStr">
        <is>
          <t>Any</t>
        </is>
      </c>
      <c r="L130" s="87" t="n"/>
      <c r="M130" s="87" t="inlineStr">
        <is>
          <t>Travel</t>
        </is>
      </c>
      <c r="N130" s="87" t="n"/>
    </row>
    <row r="131">
      <c r="H131" s="101" t="n">
        <v>95</v>
      </c>
      <c r="I131" s="87" t="inlineStr">
        <is>
          <t>AIRWAYS</t>
        </is>
      </c>
      <c r="J131" s="87" t="inlineStr">
        <is>
          <t>Both</t>
        </is>
      </c>
      <c r="K131" s="87" t="inlineStr">
        <is>
          <t>Any</t>
        </is>
      </c>
      <c r="L131" s="87" t="n"/>
      <c r="M131" s="87" t="inlineStr">
        <is>
          <t>Travel</t>
        </is>
      </c>
      <c r="N131" s="87" t="n"/>
    </row>
    <row r="132">
      <c r="H132" s="101" t="n">
        <v>95</v>
      </c>
      <c r="I132" s="87" t="inlineStr">
        <is>
          <t>JETBLUE</t>
        </is>
      </c>
      <c r="J132" s="87" t="inlineStr">
        <is>
          <t>Both</t>
        </is>
      </c>
      <c r="K132" s="87" t="inlineStr">
        <is>
          <t>Any</t>
        </is>
      </c>
      <c r="L132" s="87" t="n"/>
      <c r="M132" s="87" t="inlineStr">
        <is>
          <t>Travel</t>
        </is>
      </c>
      <c r="N132" s="87" t="n"/>
    </row>
    <row r="133">
      <c r="H133" s="101" t="n">
        <v>95</v>
      </c>
      <c r="I133" s="87" t="inlineStr">
        <is>
          <t>SOUTHWEST</t>
        </is>
      </c>
      <c r="J133" s="87" t="inlineStr">
        <is>
          <t>Both</t>
        </is>
      </c>
      <c r="K133" s="87" t="inlineStr">
        <is>
          <t>Any</t>
        </is>
      </c>
      <c r="L133" s="87" t="n"/>
      <c r="M133" s="87" t="inlineStr">
        <is>
          <t>Travel</t>
        </is>
      </c>
      <c r="N133" s="87" t="n"/>
    </row>
    <row r="134">
      <c r="H134" s="101" t="n">
        <v>95</v>
      </c>
      <c r="I134" s="87" t="inlineStr">
        <is>
          <t>MARRIOTT</t>
        </is>
      </c>
      <c r="J134" s="87" t="inlineStr">
        <is>
          <t>Both</t>
        </is>
      </c>
      <c r="K134" s="87" t="inlineStr">
        <is>
          <t>Any</t>
        </is>
      </c>
      <c r="L134" s="87" t="n"/>
      <c r="M134" s="87" t="inlineStr">
        <is>
          <t>Travel</t>
        </is>
      </c>
      <c r="N134" s="87" t="n"/>
    </row>
    <row r="135">
      <c r="H135" s="101" t="n">
        <v>95</v>
      </c>
      <c r="I135" s="87" t="inlineStr">
        <is>
          <t>HILTON</t>
        </is>
      </c>
      <c r="J135" s="87" t="inlineStr">
        <is>
          <t>Both</t>
        </is>
      </c>
      <c r="K135" s="87" t="inlineStr">
        <is>
          <t>Any</t>
        </is>
      </c>
      <c r="L135" s="87" t="n"/>
      <c r="M135" s="87" t="inlineStr">
        <is>
          <t>Travel</t>
        </is>
      </c>
      <c r="N135" s="87" t="n"/>
    </row>
    <row r="136">
      <c r="H136" s="101" t="n">
        <v>95</v>
      </c>
      <c r="I136" s="87" t="inlineStr">
        <is>
          <t>HYATT</t>
        </is>
      </c>
      <c r="J136" s="87" t="inlineStr">
        <is>
          <t>Both</t>
        </is>
      </c>
      <c r="K136" s="87" t="inlineStr">
        <is>
          <t>Any</t>
        </is>
      </c>
      <c r="L136" s="87" t="n"/>
      <c r="M136" s="87" t="inlineStr">
        <is>
          <t>Travel</t>
        </is>
      </c>
      <c r="N136" s="87" t="n"/>
    </row>
    <row r="137">
      <c r="H137" s="101" t="n">
        <v>95</v>
      </c>
      <c r="I137" s="87" t="inlineStr">
        <is>
          <t>AIRBNB</t>
        </is>
      </c>
      <c r="J137" s="87" t="inlineStr">
        <is>
          <t>Both</t>
        </is>
      </c>
      <c r="K137" s="87" t="inlineStr">
        <is>
          <t>Any</t>
        </is>
      </c>
      <c r="L137" s="87" t="n"/>
      <c r="M137" s="87" t="inlineStr">
        <is>
          <t>Travel</t>
        </is>
      </c>
      <c r="N137" s="87" t="n"/>
    </row>
    <row r="138">
      <c r="H138" s="101" t="n">
        <v>95</v>
      </c>
      <c r="I138" s="87" t="inlineStr">
        <is>
          <t>EXPEDIA</t>
        </is>
      </c>
      <c r="J138" s="87" t="inlineStr">
        <is>
          <t>Both</t>
        </is>
      </c>
      <c r="K138" s="87" t="inlineStr">
        <is>
          <t>Any</t>
        </is>
      </c>
      <c r="L138" s="87" t="n"/>
      <c r="M138" s="87" t="inlineStr">
        <is>
          <t>Travel</t>
        </is>
      </c>
      <c r="N138" s="87" t="n"/>
    </row>
    <row r="139">
      <c r="H139" s="101" t="n">
        <v>95</v>
      </c>
      <c r="I139" s="87" t="inlineStr">
        <is>
          <t>BOOKING.COM</t>
        </is>
      </c>
      <c r="J139" s="87" t="inlineStr">
        <is>
          <t>Both</t>
        </is>
      </c>
      <c r="K139" s="87" t="inlineStr">
        <is>
          <t>Any</t>
        </is>
      </c>
      <c r="L139" s="87" t="n"/>
      <c r="M139" s="87" t="inlineStr">
        <is>
          <t>Travel</t>
        </is>
      </c>
      <c r="N139" s="87" t="n"/>
    </row>
    <row r="140">
      <c r="H140" s="101" t="n">
        <v>95</v>
      </c>
      <c r="I140" s="87" t="inlineStr">
        <is>
          <t>CVS</t>
        </is>
      </c>
      <c r="J140" s="87" t="inlineStr">
        <is>
          <t>Both</t>
        </is>
      </c>
      <c r="K140" s="87" t="inlineStr">
        <is>
          <t>Any</t>
        </is>
      </c>
      <c r="L140" s="87" t="n"/>
      <c r="M140" s="87" t="inlineStr">
        <is>
          <t>Healthcare</t>
        </is>
      </c>
      <c r="N140" s="87" t="n"/>
    </row>
    <row r="141">
      <c r="H141" s="101" t="n">
        <v>95</v>
      </c>
      <c r="I141" s="87" t="inlineStr">
        <is>
          <t>WALGREENS</t>
        </is>
      </c>
      <c r="J141" s="87" t="inlineStr">
        <is>
          <t>Both</t>
        </is>
      </c>
      <c r="K141" s="87" t="inlineStr">
        <is>
          <t>Any</t>
        </is>
      </c>
      <c r="L141" s="87" t="n"/>
      <c r="M141" s="87" t="inlineStr">
        <is>
          <t>Healthcare</t>
        </is>
      </c>
      <c r="N141" s="87" t="n"/>
    </row>
    <row r="142">
      <c r="H142" s="101" t="n">
        <v>95</v>
      </c>
      <c r="I142" s="87" t="inlineStr">
        <is>
          <t>PHARMACY</t>
        </is>
      </c>
      <c r="J142" s="87" t="inlineStr">
        <is>
          <t>Both</t>
        </is>
      </c>
      <c r="K142" s="87" t="inlineStr">
        <is>
          <t>Any</t>
        </is>
      </c>
      <c r="L142" s="87" t="n"/>
      <c r="M142" s="87" t="inlineStr">
        <is>
          <t>Healthcare</t>
        </is>
      </c>
      <c r="N142" s="87" t="n"/>
    </row>
    <row r="143">
      <c r="H143" s="101" t="n">
        <v>95</v>
      </c>
      <c r="I143" s="87" t="inlineStr">
        <is>
          <t>DOCTOR</t>
        </is>
      </c>
      <c r="J143" s="87" t="inlineStr">
        <is>
          <t>Both</t>
        </is>
      </c>
      <c r="K143" s="87" t="inlineStr">
        <is>
          <t>Any</t>
        </is>
      </c>
      <c r="L143" s="87" t="n"/>
      <c r="M143" s="87" t="inlineStr">
        <is>
          <t>Healthcare</t>
        </is>
      </c>
      <c r="N143" s="87" t="n"/>
    </row>
    <row r="144">
      <c r="H144" s="101" t="n">
        <v>95</v>
      </c>
      <c r="I144" s="87" t="inlineStr">
        <is>
          <t>MEDICAL</t>
        </is>
      </c>
      <c r="J144" s="87" t="inlineStr">
        <is>
          <t>Both</t>
        </is>
      </c>
      <c r="K144" s="87" t="inlineStr">
        <is>
          <t>Any</t>
        </is>
      </c>
      <c r="L144" s="87" t="n"/>
      <c r="M144" s="87" t="inlineStr">
        <is>
          <t>Healthcare</t>
        </is>
      </c>
      <c r="N144" s="87" t="n"/>
    </row>
    <row r="145">
      <c r="H145" s="101" t="n">
        <v>95</v>
      </c>
      <c r="I145" s="87" t="inlineStr">
        <is>
          <t>DENTAL</t>
        </is>
      </c>
      <c r="J145" s="87" t="inlineStr">
        <is>
          <t>Both</t>
        </is>
      </c>
      <c r="K145" s="87" t="inlineStr">
        <is>
          <t>Any</t>
        </is>
      </c>
      <c r="L145" s="87" t="n"/>
      <c r="M145" s="87" t="inlineStr">
        <is>
          <t>Healthcare</t>
        </is>
      </c>
      <c r="N145" s="87" t="n"/>
    </row>
    <row r="146">
      <c r="H146" s="101" t="n">
        <v>95</v>
      </c>
      <c r="I146" s="87" t="inlineStr">
        <is>
          <t>PLANET FITNESS</t>
        </is>
      </c>
      <c r="J146" s="87" t="inlineStr">
        <is>
          <t>Both</t>
        </is>
      </c>
      <c r="K146" s="87" t="inlineStr">
        <is>
          <t>Any</t>
        </is>
      </c>
      <c r="L146" s="87" t="n"/>
      <c r="M146" s="87" t="inlineStr">
        <is>
          <t>Health &amp; Fitness</t>
        </is>
      </c>
      <c r="N146" s="87" t="n"/>
    </row>
    <row r="147">
      <c r="H147" s="101" t="n">
        <v>95</v>
      </c>
      <c r="I147" s="87" t="inlineStr">
        <is>
          <t>FITNESS</t>
        </is>
      </c>
      <c r="J147" s="87" t="inlineStr">
        <is>
          <t>Both</t>
        </is>
      </c>
      <c r="K147" s="87" t="inlineStr">
        <is>
          <t>Any</t>
        </is>
      </c>
      <c r="L147" s="87" t="n"/>
      <c r="M147" s="87" t="inlineStr">
        <is>
          <t>Health &amp; Fitness</t>
        </is>
      </c>
      <c r="N147" s="87" t="n"/>
    </row>
    <row r="148">
      <c r="H148" s="101" t="n">
        <v>95</v>
      </c>
      <c r="I148" s="87" t="inlineStr">
        <is>
          <t>PELOTON</t>
        </is>
      </c>
      <c r="J148" s="87" t="inlineStr">
        <is>
          <t>Both</t>
        </is>
      </c>
      <c r="K148" s="87" t="inlineStr">
        <is>
          <t>Any</t>
        </is>
      </c>
      <c r="L148" s="87" t="n"/>
      <c r="M148" s="87" t="inlineStr">
        <is>
          <t>Health &amp; Fitness</t>
        </is>
      </c>
      <c r="N148" s="87" t="n"/>
    </row>
    <row r="149">
      <c r="H149" s="101" t="n">
        <v>95</v>
      </c>
      <c r="I149" s="87" t="inlineStr">
        <is>
          <t>YOGA</t>
        </is>
      </c>
      <c r="J149" s="87" t="inlineStr">
        <is>
          <t>Both</t>
        </is>
      </c>
      <c r="K149" s="87" t="inlineStr">
        <is>
          <t>Any</t>
        </is>
      </c>
      <c r="L149" s="87" t="n"/>
      <c r="M149" s="87" t="inlineStr">
        <is>
          <t>Health &amp; Fitness</t>
        </is>
      </c>
      <c r="N149" s="87" t="n"/>
    </row>
    <row r="150">
      <c r="H150" s="101" t="n">
        <v>95</v>
      </c>
      <c r="I150" s="87" t="inlineStr">
        <is>
          <t>GREAT CLIPS</t>
        </is>
      </c>
      <c r="J150" s="87" t="inlineStr">
        <is>
          <t>Both</t>
        </is>
      </c>
      <c r="K150" s="87" t="inlineStr">
        <is>
          <t>Any</t>
        </is>
      </c>
      <c r="L150" s="87" t="n"/>
      <c r="M150" s="87" t="inlineStr">
        <is>
          <t>Personal Care</t>
        </is>
      </c>
      <c r="N150" s="87" t="n"/>
    </row>
    <row r="151">
      <c r="H151" s="101" t="n">
        <v>95</v>
      </c>
      <c r="I151" s="87" t="inlineStr">
        <is>
          <t>SALON</t>
        </is>
      </c>
      <c r="J151" s="87" t="inlineStr">
        <is>
          <t>Both</t>
        </is>
      </c>
      <c r="K151" s="87" t="inlineStr">
        <is>
          <t>Any</t>
        </is>
      </c>
      <c r="L151" s="87" t="n"/>
      <c r="M151" s="87" t="inlineStr">
        <is>
          <t>Personal Care</t>
        </is>
      </c>
      <c r="N151" s="87" t="n"/>
    </row>
    <row r="152">
      <c r="H152" s="101" t="n">
        <v>95</v>
      </c>
      <c r="I152" s="87" t="inlineStr">
        <is>
          <t>BARBER</t>
        </is>
      </c>
      <c r="J152" s="87" t="inlineStr">
        <is>
          <t>Both</t>
        </is>
      </c>
      <c r="K152" s="87" t="inlineStr">
        <is>
          <t>Any</t>
        </is>
      </c>
      <c r="L152" s="87" t="n"/>
      <c r="M152" s="87" t="inlineStr">
        <is>
          <t>Personal Care</t>
        </is>
      </c>
      <c r="N152" s="87" t="n"/>
    </row>
    <row r="153">
      <c r="H153" s="101" t="n">
        <v>95</v>
      </c>
      <c r="I153" s="87" t="inlineStr">
        <is>
          <t>SEPHORA</t>
        </is>
      </c>
      <c r="J153" s="87" t="inlineStr">
        <is>
          <t>Both</t>
        </is>
      </c>
      <c r="K153" s="87" t="inlineStr">
        <is>
          <t>Any</t>
        </is>
      </c>
      <c r="L153" s="87" t="n"/>
      <c r="M153" s="87" t="inlineStr">
        <is>
          <t>Personal Care</t>
        </is>
      </c>
      <c r="N153" s="87" t="n"/>
    </row>
    <row r="154">
      <c r="H154" s="101" t="n">
        <v>95</v>
      </c>
      <c r="I154" s="87" t="inlineStr">
        <is>
          <t>ULTA</t>
        </is>
      </c>
      <c r="J154" s="87" t="inlineStr">
        <is>
          <t>Both</t>
        </is>
      </c>
      <c r="K154" s="87" t="inlineStr">
        <is>
          <t>Any</t>
        </is>
      </c>
      <c r="L154" s="87" t="n"/>
      <c r="M154" s="87" t="inlineStr">
        <is>
          <t>Personal Care</t>
        </is>
      </c>
      <c r="N154" s="87" t="n"/>
    </row>
    <row r="155">
      <c r="H155" s="101" t="n">
        <v>95</v>
      </c>
      <c r="I155" s="87" t="inlineStr">
        <is>
          <t>DONATION</t>
        </is>
      </c>
      <c r="J155" s="87" t="inlineStr">
        <is>
          <t>Both</t>
        </is>
      </c>
      <c r="K155" s="87" t="inlineStr">
        <is>
          <t>Any</t>
        </is>
      </c>
      <c r="L155" s="87" t="n"/>
      <c r="M155" s="87" t="inlineStr">
        <is>
          <t>Gifts &amp; Donations</t>
        </is>
      </c>
      <c r="N155" s="87" t="n"/>
    </row>
    <row r="156">
      <c r="H156" s="101" t="n">
        <v>95</v>
      </c>
      <c r="I156" s="87" t="inlineStr">
        <is>
          <t>CHARITY</t>
        </is>
      </c>
      <c r="J156" s="87" t="inlineStr">
        <is>
          <t>Both</t>
        </is>
      </c>
      <c r="K156" s="87" t="inlineStr">
        <is>
          <t>Any</t>
        </is>
      </c>
      <c r="L156" s="87" t="n"/>
      <c r="M156" s="87" t="inlineStr">
        <is>
          <t>Gifts &amp; Donations</t>
        </is>
      </c>
      <c r="N156" s="87" t="n"/>
    </row>
    <row r="157">
      <c r="H157" s="101" t="n">
        <v>95</v>
      </c>
      <c r="I157" s="87" t="inlineStr">
        <is>
          <t>GOFUNDME</t>
        </is>
      </c>
      <c r="J157" s="87" t="inlineStr">
        <is>
          <t>Both</t>
        </is>
      </c>
      <c r="K157" s="87" t="inlineStr">
        <is>
          <t>Any</t>
        </is>
      </c>
      <c r="L157" s="87" t="n"/>
      <c r="M157" s="87" t="inlineStr">
        <is>
          <t>Gifts &amp; Donations</t>
        </is>
      </c>
      <c r="N157" s="87" t="n"/>
    </row>
    <row r="158">
      <c r="H158" s="101" t="n">
        <v>95</v>
      </c>
      <c r="I158" s="87" t="inlineStr">
        <is>
          <t>RED CROSS</t>
        </is>
      </c>
      <c r="J158" s="87" t="inlineStr">
        <is>
          <t>Both</t>
        </is>
      </c>
      <c r="K158" s="87" t="inlineStr">
        <is>
          <t>Any</t>
        </is>
      </c>
      <c r="L158" s="87" t="n"/>
      <c r="M158" s="87" t="inlineStr">
        <is>
          <t>Gifts &amp; Donations</t>
        </is>
      </c>
      <c r="N158" s="87" t="n"/>
    </row>
    <row r="159">
      <c r="H159" s="101" t="n">
        <v>95</v>
      </c>
      <c r="I159" s="87" t="inlineStr">
        <is>
          <t>PETCO</t>
        </is>
      </c>
      <c r="J159" s="87" t="inlineStr">
        <is>
          <t>Both</t>
        </is>
      </c>
      <c r="K159" s="87" t="inlineStr">
        <is>
          <t>Any</t>
        </is>
      </c>
      <c r="L159" s="87" t="n"/>
      <c r="M159" s="87" t="inlineStr">
        <is>
          <t>Pets</t>
        </is>
      </c>
      <c r="N159" s="87" t="n"/>
    </row>
    <row r="160">
      <c r="H160" s="101" t="n">
        <v>95</v>
      </c>
      <c r="I160" s="87" t="inlineStr">
        <is>
          <t>PETSMART</t>
        </is>
      </c>
      <c r="J160" s="87" t="inlineStr">
        <is>
          <t>Both</t>
        </is>
      </c>
      <c r="K160" s="87" t="inlineStr">
        <is>
          <t>Any</t>
        </is>
      </c>
      <c r="L160" s="87" t="n"/>
      <c r="M160" s="87" t="inlineStr">
        <is>
          <t>Pets</t>
        </is>
      </c>
      <c r="N160" s="87" t="n"/>
    </row>
    <row r="161">
      <c r="H161" s="101" t="n">
        <v>95</v>
      </c>
      <c r="I161" s="87" t="inlineStr">
        <is>
          <t>CHEWY</t>
        </is>
      </c>
      <c r="J161" s="87" t="inlineStr">
        <is>
          <t>Both</t>
        </is>
      </c>
      <c r="K161" s="87" t="inlineStr">
        <is>
          <t>Any</t>
        </is>
      </c>
      <c r="L161" s="87" t="n"/>
      <c r="M161" s="87" t="inlineStr">
        <is>
          <t>Pets</t>
        </is>
      </c>
      <c r="N161" s="87" t="n"/>
    </row>
    <row r="162">
      <c r="H162" s="101" t="n">
        <v>96</v>
      </c>
      <c r="I162" s="87" t="inlineStr">
        <is>
          <t>ATM</t>
        </is>
      </c>
      <c r="J162" s="87" t="inlineStr">
        <is>
          <t>Both</t>
        </is>
      </c>
      <c r="K162" s="87" t="inlineStr">
        <is>
          <t>Money out</t>
        </is>
      </c>
      <c r="L162" s="87" t="n"/>
      <c r="M162" s="87" t="inlineStr">
        <is>
          <t>Cash &amp; ATM</t>
        </is>
      </c>
      <c r="N162" s="87" t="n"/>
    </row>
    <row r="163">
      <c r="H163" s="101" t="n">
        <v>99</v>
      </c>
      <c r="I163" s="87" t="inlineStr">
        <is>
          <t>ANNUAL FEE</t>
        </is>
      </c>
      <c r="J163" s="87" t="inlineStr">
        <is>
          <t>Both</t>
        </is>
      </c>
      <c r="K163" s="87" t="inlineStr">
        <is>
          <t>Money out</t>
        </is>
      </c>
      <c r="L163" s="87" t="n"/>
      <c r="M163" s="87" t="inlineStr">
        <is>
          <t>Fees &amp; Charges</t>
        </is>
      </c>
      <c r="N163" s="87" t="n"/>
    </row>
    <row r="164">
      <c r="H164" s="101" t="n">
        <v>99</v>
      </c>
      <c r="I164" s="87" t="inlineStr">
        <is>
          <t>LATE FEE</t>
        </is>
      </c>
      <c r="J164" s="87" t="inlineStr">
        <is>
          <t>Both</t>
        </is>
      </c>
      <c r="K164" s="87" t="inlineStr">
        <is>
          <t>Money out</t>
        </is>
      </c>
      <c r="L164" s="87" t="n"/>
      <c r="M164" s="87" t="inlineStr">
        <is>
          <t>Fees &amp; Charges</t>
        </is>
      </c>
      <c r="N164" s="87" t="n"/>
    </row>
    <row r="165">
      <c r="H165" s="101" t="n">
        <v>99</v>
      </c>
      <c r="I165" s="87" t="inlineStr">
        <is>
          <t>SERVICE FEE</t>
        </is>
      </c>
      <c r="J165" s="87" t="inlineStr">
        <is>
          <t>Both</t>
        </is>
      </c>
      <c r="K165" s="87" t="inlineStr">
        <is>
          <t>Money out</t>
        </is>
      </c>
      <c r="L165" s="87" t="n"/>
      <c r="M165" s="87" t="inlineStr">
        <is>
          <t>Fees &amp; Charges</t>
        </is>
      </c>
      <c r="N165" s="87" t="n"/>
    </row>
    <row r="166">
      <c r="H166" s="101" t="n">
        <v>99</v>
      </c>
      <c r="I166" s="87" t="inlineStr">
        <is>
          <t>OVERDRAFT</t>
        </is>
      </c>
      <c r="J166" s="87" t="inlineStr">
        <is>
          <t>Both</t>
        </is>
      </c>
      <c r="K166" s="87" t="inlineStr">
        <is>
          <t>Money out</t>
        </is>
      </c>
      <c r="L166" s="87" t="n"/>
      <c r="M166" s="87" t="inlineStr">
        <is>
          <t>Fees &amp; Charges</t>
        </is>
      </c>
      <c r="N166" s="87" t="n"/>
    </row>
    <row r="167">
      <c r="H167" s="101" t="n">
        <v>99</v>
      </c>
      <c r="I167" s="87" t="inlineStr">
        <is>
          <t>FOREIGN TRANSACTION FEE</t>
        </is>
      </c>
      <c r="J167" s="87" t="inlineStr">
        <is>
          <t>Both</t>
        </is>
      </c>
      <c r="K167" s="87" t="inlineStr">
        <is>
          <t>Money out</t>
        </is>
      </c>
      <c r="L167" s="87" t="n"/>
      <c r="M167" s="87" t="inlineStr">
        <is>
          <t>Fees &amp; Charges</t>
        </is>
      </c>
      <c r="N167" s="87" t="n"/>
    </row>
    <row r="168">
      <c r="H168" s="101" t="n"/>
      <c r="I168" s="87" t="n"/>
      <c r="J168" s="87" t="n"/>
      <c r="K168" s="87" t="n"/>
      <c r="L168" s="87" t="n"/>
      <c r="M168" s="87" t="n"/>
      <c r="N168" s="87" t="n"/>
    </row>
    <row r="169">
      <c r="H169" s="101" t="n"/>
      <c r="I169" s="87" t="n"/>
      <c r="J169" s="87" t="n"/>
      <c r="K169" s="87" t="n"/>
      <c r="L169" s="87" t="n"/>
      <c r="M169" s="87" t="n"/>
      <c r="N169" s="87" t="n"/>
    </row>
    <row r="170">
      <c r="H170" s="101" t="n"/>
      <c r="I170" s="87" t="n"/>
      <c r="J170" s="87" t="n"/>
      <c r="K170" s="87" t="n"/>
      <c r="L170" s="87" t="n"/>
      <c r="M170" s="87" t="n"/>
      <c r="N170" s="87" t="n"/>
    </row>
    <row r="171">
      <c r="H171" s="101" t="n"/>
      <c r="I171" s="87" t="n"/>
      <c r="J171" s="87" t="n"/>
      <c r="K171" s="87" t="n"/>
      <c r="L171" s="87" t="n"/>
      <c r="M171" s="87" t="n"/>
      <c r="N171" s="87" t="n"/>
    </row>
    <row r="172">
      <c r="H172" s="101" t="n"/>
      <c r="I172" s="87" t="n"/>
      <c r="J172" s="87" t="n"/>
      <c r="K172" s="87" t="n"/>
      <c r="L172" s="87" t="n"/>
      <c r="M172" s="87" t="n"/>
      <c r="N172" s="87" t="n"/>
    </row>
    <row r="173">
      <c r="H173" s="101" t="n"/>
      <c r="I173" s="87" t="n"/>
      <c r="J173" s="87" t="n"/>
      <c r="K173" s="87" t="n"/>
      <c r="L173" s="87" t="n"/>
      <c r="M173" s="87" t="n"/>
      <c r="N173" s="87" t="n"/>
    </row>
    <row r="174">
      <c r="H174" s="101" t="n"/>
      <c r="I174" s="87" t="n"/>
      <c r="J174" s="87" t="n"/>
      <c r="K174" s="87" t="n"/>
      <c r="L174" s="87" t="n"/>
      <c r="M174" s="87" t="n"/>
      <c r="N174" s="87" t="n"/>
    </row>
    <row r="175">
      <c r="H175" s="101" t="n"/>
      <c r="I175" s="87" t="n"/>
      <c r="J175" s="87" t="n"/>
      <c r="K175" s="87" t="n"/>
      <c r="L175" s="87" t="n"/>
      <c r="M175" s="87" t="n"/>
      <c r="N175" s="87" t="n"/>
    </row>
    <row r="176">
      <c r="H176" s="101" t="n"/>
      <c r="I176" s="87" t="n"/>
      <c r="J176" s="87" t="n"/>
      <c r="K176" s="87" t="n"/>
      <c r="L176" s="87" t="n"/>
      <c r="M176" s="87" t="n"/>
      <c r="N176" s="87" t="n"/>
    </row>
    <row r="177">
      <c r="H177" s="101" t="n"/>
      <c r="I177" s="87" t="n"/>
      <c r="J177" s="87" t="n"/>
      <c r="K177" s="87" t="n"/>
      <c r="L177" s="87" t="n"/>
      <c r="M177" s="87" t="n"/>
      <c r="N177" s="87" t="n"/>
    </row>
    <row r="178">
      <c r="H178" s="101" t="n"/>
      <c r="I178" s="87" t="n"/>
      <c r="J178" s="87" t="n"/>
      <c r="K178" s="87" t="n"/>
      <c r="L178" s="87" t="n"/>
      <c r="M178" s="87" t="n"/>
      <c r="N178" s="87" t="n"/>
    </row>
    <row r="179">
      <c r="H179" s="101" t="n"/>
      <c r="I179" s="87" t="n"/>
      <c r="J179" s="87" t="n"/>
      <c r="K179" s="87" t="n"/>
      <c r="L179" s="87" t="n"/>
      <c r="M179" s="87" t="n"/>
      <c r="N179" s="87" t="n"/>
    </row>
    <row r="180">
      <c r="H180" s="101" t="n"/>
      <c r="I180" s="87" t="n"/>
      <c r="J180" s="87" t="n"/>
      <c r="K180" s="87" t="n"/>
      <c r="L180" s="87" t="n"/>
      <c r="M180" s="87" t="n"/>
      <c r="N180" s="87" t="n"/>
    </row>
    <row r="181">
      <c r="H181" s="101" t="n"/>
      <c r="I181" s="87" t="n"/>
      <c r="J181" s="87" t="n"/>
      <c r="K181" s="87" t="n"/>
      <c r="L181" s="87" t="n"/>
      <c r="M181" s="87" t="n"/>
      <c r="N181" s="87" t="n"/>
    </row>
    <row r="182">
      <c r="H182" s="101" t="n"/>
      <c r="I182" s="87" t="n"/>
      <c r="J182" s="87" t="n"/>
      <c r="K182" s="87" t="n"/>
      <c r="L182" s="87" t="n"/>
      <c r="M182" s="87" t="n"/>
      <c r="N182" s="87" t="n"/>
    </row>
    <row r="183">
      <c r="H183" s="101" t="n"/>
      <c r="I183" s="87" t="n"/>
      <c r="J183" s="87" t="n"/>
      <c r="K183" s="87" t="n"/>
      <c r="L183" s="87" t="n"/>
      <c r="M183" s="87" t="n"/>
      <c r="N183" s="87" t="n"/>
    </row>
    <row r="184">
      <c r="H184" s="101" t="n"/>
      <c r="I184" s="87" t="n"/>
      <c r="J184" s="87" t="n"/>
      <c r="K184" s="87" t="n"/>
      <c r="L184" s="87" t="n"/>
      <c r="M184" s="87" t="n"/>
      <c r="N184" s="87" t="n"/>
    </row>
    <row r="185">
      <c r="H185" s="101" t="n"/>
      <c r="I185" s="87" t="n"/>
      <c r="J185" s="87" t="n"/>
      <c r="K185" s="87" t="n"/>
      <c r="L185" s="87" t="n"/>
      <c r="M185" s="87" t="n"/>
      <c r="N185" s="87" t="n"/>
    </row>
    <row r="186">
      <c r="H186" s="101" t="n"/>
      <c r="I186" s="87" t="n"/>
      <c r="J186" s="87" t="n"/>
      <c r="K186" s="87" t="n"/>
      <c r="L186" s="87" t="n"/>
      <c r="M186" s="87" t="n"/>
      <c r="N186" s="87" t="n"/>
    </row>
    <row r="187">
      <c r="H187" s="101" t="n"/>
      <c r="I187" s="87" t="n"/>
      <c r="J187" s="87" t="n"/>
      <c r="K187" s="87" t="n"/>
      <c r="L187" s="87" t="n"/>
      <c r="M187" s="87" t="n"/>
      <c r="N187" s="87" t="n"/>
    </row>
    <row r="188">
      <c r="H188" s="101" t="n"/>
      <c r="I188" s="87" t="n"/>
      <c r="J188" s="87" t="n"/>
      <c r="K188" s="87" t="n"/>
      <c r="L188" s="87" t="n"/>
      <c r="M188" s="87" t="n"/>
      <c r="N188" s="87" t="n"/>
    </row>
    <row r="189">
      <c r="H189" s="101" t="n"/>
      <c r="I189" s="87" t="n"/>
      <c r="J189" s="87" t="n"/>
      <c r="K189" s="87" t="n"/>
      <c r="L189" s="87" t="n"/>
      <c r="M189" s="87" t="n"/>
      <c r="N189" s="87" t="n"/>
    </row>
    <row r="190">
      <c r="H190" s="101" t="n"/>
      <c r="I190" s="87" t="n"/>
      <c r="J190" s="87" t="n"/>
      <c r="K190" s="87" t="n"/>
      <c r="L190" s="87" t="n"/>
      <c r="M190" s="87" t="n"/>
      <c r="N190" s="87" t="n"/>
    </row>
    <row r="191">
      <c r="H191" s="101" t="n"/>
      <c r="I191" s="87" t="n"/>
      <c r="J191" s="87" t="n"/>
      <c r="K191" s="87" t="n"/>
      <c r="L191" s="87" t="n"/>
      <c r="M191" s="87" t="n"/>
      <c r="N191" s="87" t="n"/>
    </row>
    <row r="192">
      <c r="H192" s="101" t="n"/>
      <c r="I192" s="87" t="n"/>
      <c r="J192" s="87" t="n"/>
      <c r="K192" s="87" t="n"/>
      <c r="L192" s="87" t="n"/>
      <c r="M192" s="87" t="n"/>
      <c r="N192" s="87" t="n"/>
    </row>
    <row r="193">
      <c r="H193" s="101" t="n"/>
      <c r="I193" s="87" t="n"/>
      <c r="J193" s="87" t="n"/>
      <c r="K193" s="87" t="n"/>
      <c r="L193" s="87" t="n"/>
      <c r="M193" s="87" t="n"/>
      <c r="N193" s="87" t="n"/>
    </row>
    <row r="194">
      <c r="H194" s="101" t="n"/>
      <c r="I194" s="87" t="n"/>
      <c r="J194" s="87" t="n"/>
      <c r="K194" s="87" t="n"/>
      <c r="L194" s="87" t="n"/>
      <c r="M194" s="87" t="n"/>
      <c r="N194" s="87" t="n"/>
    </row>
    <row r="195">
      <c r="H195" s="101" t="n"/>
      <c r="I195" s="87" t="n"/>
      <c r="J195" s="87" t="n"/>
      <c r="K195" s="87" t="n"/>
      <c r="L195" s="87" t="n"/>
      <c r="M195" s="87" t="n"/>
      <c r="N195" s="87" t="n"/>
    </row>
    <row r="196">
      <c r="H196" s="101" t="n"/>
      <c r="I196" s="87" t="n"/>
      <c r="J196" s="87" t="n"/>
      <c r="K196" s="87" t="n"/>
      <c r="L196" s="87" t="n"/>
      <c r="M196" s="87" t="n"/>
      <c r="N196" s="87" t="n"/>
    </row>
    <row r="197">
      <c r="H197" s="101" t="n"/>
      <c r="I197" s="87" t="n"/>
      <c r="J197" s="87" t="n"/>
      <c r="K197" s="87" t="n"/>
      <c r="L197" s="87" t="n"/>
      <c r="M197" s="87" t="n"/>
      <c r="N197" s="87" t="n"/>
    </row>
    <row r="198">
      <c r="H198" s="101" t="n"/>
      <c r="I198" s="87" t="n"/>
      <c r="J198" s="87" t="n"/>
      <c r="K198" s="87" t="n"/>
      <c r="L198" s="87" t="n"/>
      <c r="M198" s="87" t="n"/>
      <c r="N198" s="87" t="n"/>
    </row>
    <row r="199">
      <c r="H199" s="101" t="n"/>
      <c r="I199" s="87" t="n"/>
      <c r="J199" s="87" t="n"/>
      <c r="K199" s="87" t="n"/>
      <c r="L199" s="87" t="n"/>
      <c r="M199" s="87" t="n"/>
      <c r="N199" s="87" t="n"/>
    </row>
    <row r="200">
      <c r="H200" s="101" t="n"/>
      <c r="I200" s="87" t="n"/>
      <c r="J200" s="87" t="n"/>
      <c r="K200" s="87" t="n"/>
      <c r="L200" s="87" t="n"/>
      <c r="M200" s="87" t="n"/>
      <c r="N200" s="87" t="n"/>
    </row>
    <row r="201">
      <c r="H201" s="101" t="n"/>
      <c r="I201" s="87" t="n"/>
      <c r="J201" s="87" t="n"/>
      <c r="K201" s="87" t="n"/>
      <c r="L201" s="87" t="n"/>
      <c r="M201" s="87" t="n"/>
      <c r="N201" s="87" t="n"/>
    </row>
    <row r="202">
      <c r="H202" s="101" t="n"/>
      <c r="I202" s="87" t="n"/>
      <c r="J202" s="87" t="n"/>
      <c r="K202" s="87" t="n"/>
      <c r="L202" s="87" t="n"/>
      <c r="M202" s="87" t="n"/>
      <c r="N202" s="87" t="n"/>
    </row>
    <row r="203">
      <c r="H203" s="101" t="n"/>
      <c r="I203" s="87" t="n"/>
      <c r="J203" s="87" t="n"/>
      <c r="K203" s="87" t="n"/>
      <c r="L203" s="87" t="n"/>
      <c r="M203" s="87" t="n"/>
      <c r="N203" s="87" t="n"/>
    </row>
    <row r="204">
      <c r="H204" s="101" t="n"/>
      <c r="I204" s="87" t="n"/>
      <c r="J204" s="87" t="n"/>
      <c r="K204" s="87" t="n"/>
      <c r="L204" s="87" t="n"/>
      <c r="M204" s="87" t="n"/>
      <c r="N204" s="87" t="n"/>
    </row>
    <row r="205">
      <c r="H205" s="101" t="n"/>
      <c r="I205" s="87" t="n"/>
      <c r="J205" s="87" t="n"/>
      <c r="K205" s="87" t="n"/>
      <c r="L205" s="87" t="n"/>
      <c r="M205" s="87" t="n"/>
      <c r="N205" s="87" t="n"/>
    </row>
    <row r="206">
      <c r="H206" s="101" t="n"/>
      <c r="I206" s="87" t="n"/>
      <c r="J206" s="87" t="n"/>
      <c r="K206" s="87" t="n"/>
      <c r="L206" s="87" t="n"/>
      <c r="M206" s="87" t="n"/>
      <c r="N206" s="87" t="n"/>
    </row>
    <row r="207">
      <c r="H207" s="101" t="n"/>
      <c r="I207" s="87" t="n"/>
      <c r="J207" s="87" t="n"/>
      <c r="K207" s="87" t="n"/>
      <c r="L207" s="87" t="n"/>
      <c r="M207" s="87" t="n"/>
      <c r="N207" s="87" t="n"/>
    </row>
    <row r="208">
      <c r="H208" s="101" t="n"/>
      <c r="I208" s="87" t="n"/>
      <c r="J208" s="87" t="n"/>
      <c r="K208" s="87" t="n"/>
      <c r="L208" s="87" t="n"/>
      <c r="M208" s="87" t="n"/>
      <c r="N208" s="87" t="n"/>
    </row>
    <row r="209">
      <c r="H209" s="101" t="n"/>
      <c r="I209" s="87" t="n"/>
      <c r="J209" s="87" t="n"/>
      <c r="K209" s="87" t="n"/>
      <c r="L209" s="87" t="n"/>
      <c r="M209" s="87" t="n"/>
      <c r="N209" s="87" t="n"/>
    </row>
    <row r="210">
      <c r="H210" s="101" t="n"/>
      <c r="I210" s="87" t="n"/>
      <c r="J210" s="87" t="n"/>
      <c r="K210" s="87" t="n"/>
      <c r="L210" s="87" t="n"/>
      <c r="M210" s="87" t="n"/>
      <c r="N210" s="87" t="n"/>
    </row>
    <row r="211">
      <c r="H211" s="101" t="n"/>
      <c r="I211" s="87" t="n"/>
      <c r="J211" s="87" t="n"/>
      <c r="K211" s="87" t="n"/>
      <c r="L211" s="87" t="n"/>
      <c r="M211" s="87" t="n"/>
      <c r="N211" s="87" t="n"/>
    </row>
    <row r="212">
      <c r="H212" s="101" t="n"/>
      <c r="I212" s="87" t="n"/>
      <c r="J212" s="87" t="n"/>
      <c r="K212" s="87" t="n"/>
      <c r="L212" s="87" t="n"/>
      <c r="M212" s="87" t="n"/>
      <c r="N212" s="87" t="n"/>
    </row>
    <row r="213">
      <c r="H213" s="101" t="n"/>
      <c r="I213" s="87" t="n"/>
      <c r="J213" s="87" t="n"/>
      <c r="K213" s="87" t="n"/>
      <c r="L213" s="87" t="n"/>
      <c r="M213" s="87" t="n"/>
      <c r="N213" s="87" t="n"/>
    </row>
    <row r="214">
      <c r="H214" s="101" t="n"/>
      <c r="I214" s="87" t="n"/>
      <c r="J214" s="87" t="n"/>
      <c r="K214" s="87" t="n"/>
      <c r="L214" s="87" t="n"/>
      <c r="M214" s="87" t="n"/>
      <c r="N214" s="87" t="n"/>
    </row>
    <row r="215">
      <c r="H215" s="101" t="n"/>
      <c r="I215" s="87" t="n"/>
      <c r="J215" s="87" t="n"/>
      <c r="K215" s="87" t="n"/>
      <c r="L215" s="87" t="n"/>
      <c r="M215" s="87" t="n"/>
      <c r="N215" s="87" t="n"/>
    </row>
    <row r="216">
      <c r="H216" s="101" t="n"/>
      <c r="I216" s="87" t="n"/>
      <c r="J216" s="87" t="n"/>
      <c r="K216" s="87" t="n"/>
      <c r="L216" s="87" t="n"/>
      <c r="M216" s="87" t="n"/>
      <c r="N216" s="87" t="n"/>
    </row>
    <row r="217">
      <c r="H217" s="101" t="n"/>
      <c r="I217" s="87" t="n"/>
      <c r="J217" s="87" t="n"/>
      <c r="K217" s="87" t="n"/>
      <c r="L217" s="87" t="n"/>
      <c r="M217" s="87" t="n"/>
      <c r="N217" s="87" t="n"/>
    </row>
    <row r="218">
      <c r="H218" s="101" t="n"/>
      <c r="I218" s="87" t="n"/>
      <c r="J218" s="87" t="n"/>
      <c r="K218" s="87" t="n"/>
      <c r="L218" s="87" t="n"/>
      <c r="M218" s="87" t="n"/>
      <c r="N218" s="87" t="n"/>
    </row>
    <row r="219">
      <c r="H219" s="101" t="n"/>
      <c r="I219" s="87" t="n"/>
      <c r="J219" s="87" t="n"/>
      <c r="K219" s="87" t="n"/>
      <c r="L219" s="87" t="n"/>
      <c r="M219" s="87" t="n"/>
      <c r="N219" s="87" t="n"/>
    </row>
    <row r="220">
      <c r="H220" s="101" t="n"/>
      <c r="I220" s="87" t="n"/>
      <c r="J220" s="87" t="n"/>
      <c r="K220" s="87" t="n"/>
      <c r="L220" s="87" t="n"/>
      <c r="M220" s="87" t="n"/>
      <c r="N220" s="87" t="n"/>
    </row>
    <row r="221">
      <c r="H221" s="101" t="n"/>
      <c r="I221" s="87" t="n"/>
      <c r="J221" s="87" t="n"/>
      <c r="K221" s="87" t="n"/>
      <c r="L221" s="87" t="n"/>
      <c r="M221" s="87" t="n"/>
      <c r="N221" s="87" t="n"/>
    </row>
    <row r="222">
      <c r="H222" s="101" t="n"/>
      <c r="I222" s="87" t="n"/>
      <c r="J222" s="87" t="n"/>
      <c r="K222" s="87" t="n"/>
      <c r="L222" s="87" t="n"/>
      <c r="M222" s="87" t="n"/>
      <c r="N222" s="87" t="n"/>
    </row>
    <row r="223">
      <c r="H223" s="101" t="n"/>
      <c r="I223" s="87" t="n"/>
      <c r="J223" s="87" t="n"/>
      <c r="K223" s="87" t="n"/>
      <c r="L223" s="87" t="n"/>
      <c r="M223" s="87" t="n"/>
      <c r="N223" s="87" t="n"/>
    </row>
    <row r="224">
      <c r="H224" s="101" t="n"/>
      <c r="I224" s="87" t="n"/>
      <c r="J224" s="87" t="n"/>
      <c r="K224" s="87" t="n"/>
      <c r="L224" s="87" t="n"/>
      <c r="M224" s="87" t="n"/>
      <c r="N224" s="87" t="n"/>
    </row>
    <row r="225">
      <c r="H225" s="101" t="n"/>
      <c r="I225" s="87" t="n"/>
      <c r="J225" s="87" t="n"/>
      <c r="K225" s="87" t="n"/>
      <c r="L225" s="87" t="n"/>
      <c r="M225" s="87" t="n"/>
      <c r="N225" s="87" t="n"/>
    </row>
    <row r="226">
      <c r="H226" s="101" t="n"/>
      <c r="I226" s="87" t="n"/>
      <c r="J226" s="87" t="n"/>
      <c r="K226" s="87" t="n"/>
      <c r="L226" s="87" t="n"/>
      <c r="M226" s="87" t="n"/>
      <c r="N226" s="87" t="n"/>
    </row>
    <row r="227">
      <c r="H227" s="101" t="n"/>
      <c r="I227" s="87" t="n"/>
      <c r="J227" s="87" t="n"/>
      <c r="K227" s="87" t="n"/>
      <c r="L227" s="87" t="n"/>
      <c r="M227" s="87" t="n"/>
      <c r="N227" s="87" t="n"/>
    </row>
    <row r="228">
      <c r="H228" s="101" t="n"/>
      <c r="I228" s="87" t="n"/>
      <c r="J228" s="87" t="n"/>
      <c r="K228" s="87" t="n"/>
      <c r="L228" s="87" t="n"/>
      <c r="M228" s="87" t="n"/>
      <c r="N228" s="87" t="n"/>
    </row>
    <row r="229">
      <c r="H229" s="101" t="n"/>
      <c r="I229" s="87" t="n"/>
      <c r="J229" s="87" t="n"/>
      <c r="K229" s="87" t="n"/>
      <c r="L229" s="87" t="n"/>
      <c r="M229" s="87" t="n"/>
      <c r="N229" s="87" t="n"/>
    </row>
    <row r="230">
      <c r="H230" s="101" t="n"/>
      <c r="I230" s="87" t="n"/>
      <c r="J230" s="87" t="n"/>
      <c r="K230" s="87" t="n"/>
      <c r="L230" s="87" t="n"/>
      <c r="M230" s="87" t="n"/>
      <c r="N230" s="87" t="n"/>
    </row>
    <row r="231">
      <c r="H231" s="101" t="n"/>
      <c r="I231" s="87" t="n"/>
      <c r="J231" s="87" t="n"/>
      <c r="K231" s="87" t="n"/>
      <c r="L231" s="87" t="n"/>
      <c r="M231" s="87" t="n"/>
      <c r="N231" s="87" t="n"/>
    </row>
    <row r="232">
      <c r="H232" s="101" t="n"/>
      <c r="I232" s="87" t="n"/>
      <c r="J232" s="87" t="n"/>
      <c r="K232" s="87" t="n"/>
      <c r="L232" s="87" t="n"/>
      <c r="M232" s="87" t="n"/>
      <c r="N232" s="87" t="n"/>
    </row>
    <row r="233">
      <c r="H233" s="101" t="n"/>
      <c r="I233" s="87" t="n"/>
      <c r="J233" s="87" t="n"/>
      <c r="K233" s="87" t="n"/>
      <c r="L233" s="87" t="n"/>
      <c r="M233" s="87" t="n"/>
      <c r="N233" s="87" t="n"/>
    </row>
    <row r="234">
      <c r="H234" s="101" t="n"/>
      <c r="I234" s="87" t="n"/>
      <c r="J234" s="87" t="n"/>
      <c r="K234" s="87" t="n"/>
      <c r="L234" s="87" t="n"/>
      <c r="M234" s="87" t="n"/>
      <c r="N234" s="87" t="n"/>
    </row>
    <row r="235">
      <c r="H235" s="101" t="n"/>
      <c r="I235" s="87" t="n"/>
      <c r="J235" s="87" t="n"/>
      <c r="K235" s="87" t="n"/>
      <c r="L235" s="87" t="n"/>
      <c r="M235" s="87" t="n"/>
      <c r="N235" s="87" t="n"/>
    </row>
    <row r="236">
      <c r="H236" s="101" t="n"/>
      <c r="I236" s="87" t="n"/>
      <c r="J236" s="87" t="n"/>
      <c r="K236" s="87" t="n"/>
      <c r="L236" s="87" t="n"/>
      <c r="M236" s="87" t="n"/>
      <c r="N236" s="87" t="n"/>
    </row>
    <row r="237">
      <c r="H237" s="101" t="n"/>
      <c r="I237" s="87" t="n"/>
      <c r="J237" s="87" t="n"/>
      <c r="K237" s="87" t="n"/>
      <c r="L237" s="87" t="n"/>
      <c r="M237" s="87" t="n"/>
      <c r="N237" s="87" t="n"/>
    </row>
    <row r="238">
      <c r="H238" s="101" t="n"/>
      <c r="I238" s="87" t="n"/>
      <c r="J238" s="87" t="n"/>
      <c r="K238" s="87" t="n"/>
      <c r="L238" s="87" t="n"/>
      <c r="M238" s="87" t="n"/>
      <c r="N238" s="87" t="n"/>
    </row>
    <row r="239">
      <c r="H239" s="101" t="n"/>
      <c r="I239" s="87" t="n"/>
      <c r="J239" s="87" t="n"/>
      <c r="K239" s="87" t="n"/>
      <c r="L239" s="87" t="n"/>
      <c r="M239" s="87" t="n"/>
      <c r="N239" s="87" t="n"/>
    </row>
    <row r="240">
      <c r="H240" s="101" t="n"/>
      <c r="I240" s="87" t="n"/>
      <c r="J240" s="87" t="n"/>
      <c r="K240" s="87" t="n"/>
      <c r="L240" s="87" t="n"/>
      <c r="M240" s="87" t="n"/>
      <c r="N240" s="87" t="n"/>
    </row>
    <row r="241">
      <c r="H241" s="101" t="n"/>
      <c r="I241" s="87" t="n"/>
      <c r="J241" s="87" t="n"/>
      <c r="K241" s="87" t="n"/>
      <c r="L241" s="87" t="n"/>
      <c r="M241" s="87" t="n"/>
      <c r="N241" s="87" t="n"/>
    </row>
    <row r="242">
      <c r="H242" s="101" t="n"/>
      <c r="I242" s="87" t="n"/>
      <c r="J242" s="87" t="n"/>
      <c r="K242" s="87" t="n"/>
      <c r="L242" s="87" t="n"/>
      <c r="M242" s="87" t="n"/>
      <c r="N242" s="87" t="n"/>
    </row>
    <row r="243">
      <c r="H243" s="101" t="n"/>
      <c r="I243" s="87" t="n"/>
      <c r="J243" s="87" t="n"/>
      <c r="K243" s="87" t="n"/>
      <c r="L243" s="87" t="n"/>
      <c r="M243" s="87" t="n"/>
      <c r="N243" s="87" t="n"/>
    </row>
    <row r="244">
      <c r="H244" s="101" t="n"/>
      <c r="I244" s="87" t="n"/>
      <c r="J244" s="87" t="n"/>
      <c r="K244" s="87" t="n"/>
      <c r="L244" s="87" t="n"/>
      <c r="M244" s="87" t="n"/>
      <c r="N244" s="87" t="n"/>
    </row>
    <row r="245">
      <c r="H245" s="101" t="n"/>
      <c r="I245" s="87" t="n"/>
      <c r="J245" s="87" t="n"/>
      <c r="K245" s="87" t="n"/>
      <c r="L245" s="87" t="n"/>
      <c r="M245" s="87" t="n"/>
      <c r="N245" s="87" t="n"/>
    </row>
    <row r="246">
      <c r="H246" s="101" t="n"/>
      <c r="I246" s="87" t="n"/>
      <c r="J246" s="87" t="n"/>
      <c r="K246" s="87" t="n"/>
      <c r="L246" s="87" t="n"/>
      <c r="M246" s="87" t="n"/>
      <c r="N246" s="87" t="n"/>
    </row>
    <row r="247">
      <c r="H247" s="101" t="n"/>
      <c r="I247" s="87" t="n"/>
      <c r="J247" s="87" t="n"/>
      <c r="K247" s="87" t="n"/>
      <c r="L247" s="87" t="n"/>
      <c r="M247" s="87" t="n"/>
      <c r="N247" s="87" t="n"/>
    </row>
    <row r="248">
      <c r="H248" s="101" t="n"/>
      <c r="I248" s="87" t="n"/>
      <c r="J248" s="87" t="n"/>
      <c r="K248" s="87" t="n"/>
      <c r="L248" s="87" t="n"/>
      <c r="M248" s="87" t="n"/>
      <c r="N248" s="87" t="n"/>
    </row>
    <row r="249">
      <c r="H249" s="101" t="n"/>
      <c r="I249" s="87" t="n"/>
      <c r="J249" s="87" t="n"/>
      <c r="K249" s="87" t="n"/>
      <c r="L249" s="87" t="n"/>
      <c r="M249" s="87" t="n"/>
      <c r="N249" s="87" t="n"/>
    </row>
    <row r="250">
      <c r="H250" s="101" t="n"/>
      <c r="I250" s="87" t="n"/>
      <c r="J250" s="87" t="n"/>
      <c r="K250" s="87" t="n"/>
      <c r="L250" s="87" t="n"/>
      <c r="M250" s="87" t="n"/>
      <c r="N250" s="87" t="n"/>
    </row>
    <row r="251">
      <c r="H251" s="101" t="n"/>
      <c r="I251" s="87" t="n"/>
      <c r="J251" s="87" t="n"/>
      <c r="K251" s="87" t="n"/>
      <c r="L251" s="87" t="n"/>
      <c r="M251" s="87" t="n"/>
      <c r="N251" s="87" t="n"/>
    </row>
    <row r="252">
      <c r="H252" s="101" t="n"/>
      <c r="I252" s="87" t="n"/>
      <c r="J252" s="87" t="n"/>
      <c r="K252" s="87" t="n"/>
      <c r="L252" s="87" t="n"/>
      <c r="M252" s="87" t="n"/>
      <c r="N252" s="87" t="n"/>
    </row>
    <row r="253">
      <c r="H253" s="101" t="n"/>
      <c r="I253" s="87" t="n"/>
      <c r="J253" s="87" t="n"/>
      <c r="K253" s="87" t="n"/>
      <c r="L253" s="87" t="n"/>
      <c r="M253" s="87" t="n"/>
      <c r="N253" s="87" t="n"/>
    </row>
    <row r="254">
      <c r="H254" s="101" t="n"/>
      <c r="I254" s="87" t="n"/>
      <c r="J254" s="87" t="n"/>
      <c r="K254" s="87" t="n"/>
      <c r="L254" s="87" t="n"/>
      <c r="M254" s="87" t="n"/>
      <c r="N254" s="87" t="n"/>
    </row>
    <row r="255">
      <c r="H255" s="101" t="n"/>
      <c r="I255" s="87" t="n"/>
      <c r="J255" s="87" t="n"/>
      <c r="K255" s="87" t="n"/>
      <c r="L255" s="87" t="n"/>
      <c r="M255" s="87" t="n"/>
      <c r="N255" s="87" t="n"/>
    </row>
  </sheetData>
  <dataValidations count="6">
    <dataValidation sqref="B6:B65" showDropDown="0" showInputMessage="0" showErrorMessage="1" allowBlank="1" errorTitle="Not in the list" error="Pick a value from the dropdown." type="list" errorStyle="stop">
      <formula1>=lst_Groups</formula1>
    </dataValidation>
    <dataValidation sqref="C6:C65" showDropDown="0" showInputMessage="0" showErrorMessage="1" allowBlank="1" errorTitle="Not in the list" error="Pick a value from the dropdown." type="list" errorStyle="stop">
      <formula1>=lst_Buckets</formula1>
    </dataValidation>
    <dataValidation sqref="J6:J255" showDropDown="0" showInputMessage="0" showErrorMessage="1" allowBlank="1" errorTitle="Not in the list" error="Pick a value from the dropdown." type="list" errorStyle="stop">
      <formula1>=lst_LookIn</formula1>
    </dataValidation>
    <dataValidation sqref="K6:K255" showDropDown="0" showInputMessage="0" showErrorMessage="1" allowBlank="1" errorTitle="Not in the list" error="Pick a value from the dropdown." type="list" errorStyle="stop">
      <formula1>=lst_Direction</formula1>
    </dataValidation>
    <dataValidation sqref="L6:L255" showDropDown="0" showInputMessage="0" showErrorMessage="1" allowBlank="1" errorTitle="Not in the list" error="This value isn't in the list. Keep it anyway?" type="list" errorStyle="warning">
      <formula1>=lst_Accounts</formula1>
    </dataValidation>
    <dataValidation sqref="M6:M255" showDropDown="0" showInputMessage="1" showErrorMessage="1" allowBlank="1" errorTitle="Not in the list" error="Pick a value from the dropdown." promptTitle="Pick from the list" prompt="Category to give matching transactions." type="list" errorStyle="stop">
      <formula1>=lst_Categories</formula1>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BtnDrw"/>
  <tableParts count="2">
    <tablePart xmlns:r="http://schemas.openxmlformats.org/officeDocument/2006/relationships" r:id="rId1"/>
    <tablePart xmlns:r="http://schemas.openxmlformats.org/officeDocument/2006/relationships" r:id="rId2"/>
  </tableParts>
</worksheet>
</file>

<file path=xl/worksheets/sheet9.xml><?xml version="1.0" encoding="utf-8"?>
<worksheet xmlns="http://schemas.openxmlformats.org/spreadsheetml/2006/main">
  <sheetPr codeName="shBudget">
    <tabColor rgb="003B6EA8"/>
    <outlinePr summaryBelow="1" summaryRight="1"/>
    <pageSetUpPr fitToPage="1"/>
  </sheetPr>
  <dimension ref="A1:P68"/>
  <sheetViews>
    <sheetView showGridLines="0" tabSelected="0" zoomScale="100" workbookViewId="0">
      <pane xSplit="1" ySplit="8" topLeftCell="B9" activePane="bottomRight" state="frozen"/>
      <selection pane="topRight"/>
      <selection pane="bottomLeft"/>
      <selection pane="bottomRight" activeCell="A1" sqref="A1"/>
    </sheetView>
  </sheetViews>
  <sheetFormatPr baseColWidth="8" defaultRowHeight="15"/>
  <cols>
    <col width="26" customWidth="1" min="1" max="1"/>
    <col width="11" customWidth="1" min="2" max="2"/>
    <col width="10" customWidth="1" min="3" max="3"/>
    <col width="14" customWidth="1" min="4" max="4"/>
    <col width="13" customWidth="1" min="5" max="5"/>
    <col width="14" customWidth="1" min="6" max="6"/>
    <col width="11" customWidth="1" min="7" max="7"/>
    <col width="13" customWidth="1" min="8" max="8"/>
    <col width="13" customWidth="1" min="9" max="9"/>
    <col width="15" customWidth="1" min="10" max="10"/>
    <col width="12" customWidth="1" min="11" max="11"/>
    <col width="3" customWidth="1" min="12" max="12"/>
    <col width="12" customWidth="1" min="13" max="13"/>
    <col width="13" customWidth="1" min="14" max="14"/>
    <col width="12" customWidth="1" min="15" max="15"/>
    <col width="10"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Budget vs. Actual</t>
        </is>
      </c>
    </row>
    <row r="2" ht="20" customHeight="1">
      <c r="A2" s="61" t="inlineStr">
        <is>
          <t>Set monthly budgets on the Categories tab. The month follows the picker on the Dashboard.</t>
        </is>
      </c>
      <c r="B2" s="2" t="n"/>
      <c r="C2" s="2" t="n"/>
      <c r="D2" s="2" t="n"/>
      <c r="E2" s="2" t="n"/>
      <c r="F2" s="2" t="n"/>
      <c r="G2" s="2" t="n"/>
      <c r="H2" s="2" t="n"/>
      <c r="I2" s="2" t="n"/>
      <c r="J2" s="2" t="n"/>
      <c r="K2" s="2" t="n"/>
    </row>
    <row r="4" ht="24" customHeight="1">
      <c r="A4" s="20" t="inlineStr">
        <is>
          <t>Month</t>
        </is>
      </c>
      <c r="B4" s="103">
        <f>TEXT(RptMonth,"mmmm yyyy")</f>
        <v/>
      </c>
      <c r="C4" s="17" t="inlineStr">
        <is>
          <t>Change it on the Dashboard (Report month).</t>
        </is>
      </c>
      <c r="M4" s="4" t="inlineStr">
        <is>
          <t>50 / 30 / 20 CHECK (THIS MONTH)</t>
        </is>
      </c>
      <c r="N4" s="2" t="n"/>
      <c r="O4" s="2" t="n"/>
      <c r="P4" s="2" t="n"/>
    </row>
    <row r="5" ht="22" customHeight="1">
      <c r="A5" s="35" t="inlineStr">
        <is>
          <t>Totals</t>
        </is>
      </c>
      <c r="B5" s="35" t="inlineStr"/>
      <c r="C5" s="35" t="inlineStr"/>
      <c r="D5" s="38" t="inlineStr">
        <is>
          <t>Monthly Budget</t>
        </is>
      </c>
      <c r="E5" s="38" t="inlineStr">
        <is>
          <t>Actual</t>
        </is>
      </c>
      <c r="F5" s="38" t="inlineStr">
        <is>
          <t>Left / (Over)</t>
        </is>
      </c>
      <c r="G5" s="38" t="inlineStr">
        <is>
          <t>% Used</t>
        </is>
      </c>
      <c r="H5" s="38" t="inlineStr">
        <is>
          <t>YTD Budget</t>
        </is>
      </c>
      <c r="I5" s="38" t="inlineStr">
        <is>
          <t>YTD Actual</t>
        </is>
      </c>
      <c r="J5" s="38" t="inlineStr">
        <is>
          <t>YTD Left / (Over)</t>
        </is>
      </c>
      <c r="K5" s="38" t="inlineStr">
        <is>
          <t>12-Mo Avg</t>
        </is>
      </c>
      <c r="M5" s="35" t="inlineStr">
        <is>
          <t>Bucket</t>
        </is>
      </c>
      <c r="N5" s="38" t="inlineStr">
        <is>
          <t>Actual</t>
        </is>
      </c>
      <c r="O5" s="38" t="inlineStr">
        <is>
          <t>% of Income</t>
        </is>
      </c>
      <c r="P5" s="38" t="inlineStr">
        <is>
          <t>Target</t>
        </is>
      </c>
    </row>
    <row r="6">
      <c r="A6" s="20" t="inlineStr">
        <is>
          <t>Income</t>
        </is>
      </c>
      <c r="D6" s="59">
        <f>SUMIFS(D$9:D$68,$B$9:$B$68,"Income")</f>
        <v/>
      </c>
      <c r="E6" s="59">
        <f>SUMIFS(E$9:E$68,$B$9:$B$68,"Income")</f>
        <v/>
      </c>
      <c r="F6" s="59">
        <f>IF(A6="Income",E6-D6,D6-E6)</f>
        <v/>
      </c>
      <c r="G6" s="104">
        <f>IF(D6=0,"",E6/D6)</f>
        <v/>
      </c>
      <c r="H6" s="59">
        <f>SUMIFS(H$9:H$68,$B$9:$B$68,"Income")</f>
        <v/>
      </c>
      <c r="I6" s="59">
        <f>SUMIFS(I$9:I$68,$B$9:$B$68,"Income")</f>
        <v/>
      </c>
      <c r="J6" s="59">
        <f>IF(A6="Income",I6-H6,H6-I6)</f>
        <v/>
      </c>
      <c r="K6" s="59">
        <f>SUMIFS(K$9:K$68,$B$9:$B$68,"Income")</f>
        <v/>
      </c>
      <c r="M6" s="20" t="inlineStr">
        <is>
          <t>Needs</t>
        </is>
      </c>
      <c r="N6" s="58">
        <f>SUMIFS($E$9:$E$68,$C$9:$C$68,"Needs",$B$9:$B$68,"Expense")</f>
        <v/>
      </c>
      <c r="O6" s="105">
        <f>IF($E$6=0,0,N6/$E$6)</f>
        <v/>
      </c>
      <c r="P6" s="106" t="n">
        <v>0.5</v>
      </c>
    </row>
    <row r="7">
      <c r="A7" s="20" t="inlineStr">
        <is>
          <t>Spending</t>
        </is>
      </c>
      <c r="D7" s="59">
        <f>SUMIFS(D$9:D$68,$B$9:$B$68,"Expense")</f>
        <v/>
      </c>
      <c r="E7" s="59">
        <f>SUMIFS(E$9:E$68,$B$9:$B$68,"Expense")</f>
        <v/>
      </c>
      <c r="F7" s="59">
        <f>IF(A7="Income",E7-D7,D7-E7)</f>
        <v/>
      </c>
      <c r="G7" s="104">
        <f>IF(D7=0,"",E7/D7)</f>
        <v/>
      </c>
      <c r="H7" s="59">
        <f>SUMIFS(H$9:H$68,$B$9:$B$68,"Expense")</f>
        <v/>
      </c>
      <c r="I7" s="59">
        <f>SUMIFS(I$9:I$68,$B$9:$B$68,"Expense")</f>
        <v/>
      </c>
      <c r="J7" s="59">
        <f>IF(A7="Income",I7-H7,H7-I7)</f>
        <v/>
      </c>
      <c r="K7" s="59">
        <f>SUMIFS(K$9:K$68,$B$9:$B$68,"Expense")</f>
        <v/>
      </c>
      <c r="M7" s="20" t="inlineStr">
        <is>
          <t>Wants</t>
        </is>
      </c>
      <c r="N7" s="58">
        <f>SUMIFS($E$9:$E$68,$C$9:$C$68,"Wants",$B$9:$B$68,"Expense")</f>
        <v/>
      </c>
      <c r="O7" s="105">
        <f>IF($E$6=0,0,N7/$E$6)</f>
        <v/>
      </c>
      <c r="P7" s="106" t="n">
        <v>0.3</v>
      </c>
    </row>
    <row r="8" ht="32" customHeight="1">
      <c r="A8" s="35" t="inlineStr">
        <is>
          <t>Category</t>
        </is>
      </c>
      <c r="B8" s="35" t="inlineStr">
        <is>
          <t>Group</t>
        </is>
      </c>
      <c r="C8" s="35" t="inlineStr">
        <is>
          <t>Bucket</t>
        </is>
      </c>
      <c r="D8" s="38" t="inlineStr">
        <is>
          <t>Monthly Budget</t>
        </is>
      </c>
      <c r="E8" s="38" t="inlineStr">
        <is>
          <t>Actual</t>
        </is>
      </c>
      <c r="F8" s="38" t="inlineStr">
        <is>
          <t>Left / (Over)</t>
        </is>
      </c>
      <c r="G8" s="38" t="inlineStr">
        <is>
          <t>% Used</t>
        </is>
      </c>
      <c r="H8" s="38" t="inlineStr">
        <is>
          <t>YTD Budget</t>
        </is>
      </c>
      <c r="I8" s="38" t="inlineStr">
        <is>
          <t>YTD Actual</t>
        </is>
      </c>
      <c r="J8" s="38" t="inlineStr">
        <is>
          <t>YTD Left / (Over)</t>
        </is>
      </c>
      <c r="K8" s="38" t="inlineStr">
        <is>
          <t>12-Mo Avg</t>
        </is>
      </c>
      <c r="M8" s="20" t="inlineStr">
        <is>
          <t>Savings</t>
        </is>
      </c>
      <c r="N8" s="58">
        <f>E6-E7</f>
        <v/>
      </c>
      <c r="O8" s="105">
        <f>IF($E$6=0,0,N8/$E$6)</f>
        <v/>
      </c>
      <c r="P8" s="106" t="n">
        <v>0.2</v>
      </c>
    </row>
    <row r="9">
      <c r="A9" s="53">
        <f>IF(Categories!A6="","",Categories!A6)</f>
        <v/>
      </c>
      <c r="B9" s="53">
        <f>IF(A9="","",IF(Categories!B6="","Expense",Categories!B6))</f>
        <v/>
      </c>
      <c r="C9" s="53">
        <f>IF(A9="","",IF(Categories!C6="","",Categories!C6))</f>
        <v/>
      </c>
      <c r="D9" s="51">
        <f>IF(A9="","",N(Categories!D6))</f>
        <v/>
      </c>
      <c r="E9" s="51">
        <f>IF(A9="","",IF(B9="Income",1,-1)*(SUMIFS(Transactions!$E:$E,Transactions!$D:$D,A9,Transactions!$G:$G,RptMonth)+IF(A9="Uncategorized",SUMIFS(Transactions!$E:$E,Transactions!$D:$D,"",Transactions!$G:$G,RptMonth),0)))</f>
        <v/>
      </c>
      <c r="F9" s="51">
        <f>IF(OR(A9="",B9="Transfer"),"",IF(B9="Income",E9-D9,D9-E9))</f>
        <v/>
      </c>
      <c r="G9" s="54">
        <f>IF(OR(A9="",B9="Transfer",N(D9)=0),"",E9/D9)</f>
        <v/>
      </c>
      <c r="H9" s="51">
        <f>IF(OR(A9="",B9="Transfer"),"",D9*MONTH(RptMonth))</f>
        <v/>
      </c>
      <c r="I9" s="51">
        <f>IF(A9="","",IF(B9="Income",1,-1)*(SUMIFS(Transactions!$E:$E,Transactions!$D:$D,A9,Transactions!$G:$G,"&gt;="&amp;YTDStart,Transactions!$G:$G,"&lt;="&amp;RptMonth)+IF(A9="Uncategorized",SUMIFS(Transactions!$E:$E,Transactions!$D:$D,"",Transactions!$G:$G,"&gt;="&amp;YTDStart,Transactions!$G:$G,"&lt;="&amp;RptMonth),0)))</f>
        <v/>
      </c>
      <c r="J9" s="51">
        <f>IF(OR(A9="",B9="Transfer"),"",IF(B9="Income",I9-H9,H9-I9))</f>
        <v/>
      </c>
      <c r="K9" s="51">
        <f>IF(A9="","",IF(B9="Income",1,-1)*(SUMIFS(Transactions!$E:$E,Transactions!$D:$D,A9,Transactions!$G:$G,"&gt;="&amp;EDATE(RptMonth,-12),Transactions!$G:$G,"&lt;"&amp;RptMonth)+IF(A9="Uncategorized",SUMIFS(Transactions!$E:$E,Transactions!$D:$D,"",Transactions!$G:$G,"&gt;="&amp;EDATE(RptMonth,-12),Transactions!$G:$G,"&lt;"&amp;RptMonth),0))/MAX(1,COUNTIF(Dashboard!$C$26:$C$37,"&gt;0")))</f>
        <v/>
      </c>
    </row>
    <row r="10">
      <c r="A10" s="53">
        <f>IF(Categories!A7="","",Categories!A7)</f>
        <v/>
      </c>
      <c r="B10" s="53">
        <f>IF(A10="","",IF(Categories!B7="","Expense",Categories!B7))</f>
        <v/>
      </c>
      <c r="C10" s="53">
        <f>IF(A10="","",IF(Categories!C7="","",Categories!C7))</f>
        <v/>
      </c>
      <c r="D10" s="51">
        <f>IF(A10="","",N(Categories!D7))</f>
        <v/>
      </c>
      <c r="E10" s="51">
        <f>IF(A10="","",IF(B10="Income",1,-1)*(SUMIFS(Transactions!$E:$E,Transactions!$D:$D,A10,Transactions!$G:$G,RptMonth)+IF(A10="Uncategorized",SUMIFS(Transactions!$E:$E,Transactions!$D:$D,"",Transactions!$G:$G,RptMonth),0)))</f>
        <v/>
      </c>
      <c r="F10" s="51">
        <f>IF(OR(A10="",B10="Transfer"),"",IF(B10="Income",E10-D10,D10-E10))</f>
        <v/>
      </c>
      <c r="G10" s="54">
        <f>IF(OR(A10="",B10="Transfer",N(D10)=0),"",E10/D10)</f>
        <v/>
      </c>
      <c r="H10" s="51">
        <f>IF(OR(A10="",B10="Transfer"),"",D10*MONTH(RptMonth))</f>
        <v/>
      </c>
      <c r="I10" s="51">
        <f>IF(A10="","",IF(B10="Income",1,-1)*(SUMIFS(Transactions!$E:$E,Transactions!$D:$D,A10,Transactions!$G:$G,"&gt;="&amp;YTDStart,Transactions!$G:$G,"&lt;="&amp;RptMonth)+IF(A10="Uncategorized",SUMIFS(Transactions!$E:$E,Transactions!$D:$D,"",Transactions!$G:$G,"&gt;="&amp;YTDStart,Transactions!$G:$G,"&lt;="&amp;RptMonth),0)))</f>
        <v/>
      </c>
      <c r="J10" s="51">
        <f>IF(OR(A10="",B10="Transfer"),"",IF(B10="Income",I10-H10,H10-I10))</f>
        <v/>
      </c>
      <c r="K10" s="51">
        <f>IF(A10="","",IF(B10="Income",1,-1)*(SUMIFS(Transactions!$E:$E,Transactions!$D:$D,A10,Transactions!$G:$G,"&gt;="&amp;EDATE(RptMonth,-12),Transactions!$G:$G,"&lt;"&amp;RptMonth)+IF(A10="Uncategorized",SUMIFS(Transactions!$E:$E,Transactions!$D:$D,"",Transactions!$G:$G,"&gt;="&amp;EDATE(RptMonth,-12),Transactions!$G:$G,"&lt;"&amp;RptMonth),0))/MAX(1,COUNTIF(Dashboard!$C$26:$C$37,"&gt;0")))</f>
        <v/>
      </c>
      <c r="M10" s="17" t="inlineStr">
        <is>
          <t>Needs = essentials, Wants = everything else you spend, Savings = what's left of income.</t>
        </is>
      </c>
    </row>
    <row r="11">
      <c r="A11" s="53">
        <f>IF(Categories!A8="","",Categories!A8)</f>
        <v/>
      </c>
      <c r="B11" s="53">
        <f>IF(A11="","",IF(Categories!B8="","Expense",Categories!B8))</f>
        <v/>
      </c>
      <c r="C11" s="53">
        <f>IF(A11="","",IF(Categories!C8="","",Categories!C8))</f>
        <v/>
      </c>
      <c r="D11" s="51">
        <f>IF(A11="","",N(Categories!D8))</f>
        <v/>
      </c>
      <c r="E11" s="51">
        <f>IF(A11="","",IF(B11="Income",1,-1)*(SUMIFS(Transactions!$E:$E,Transactions!$D:$D,A11,Transactions!$G:$G,RptMonth)+IF(A11="Uncategorized",SUMIFS(Transactions!$E:$E,Transactions!$D:$D,"",Transactions!$G:$G,RptMonth),0)))</f>
        <v/>
      </c>
      <c r="F11" s="51">
        <f>IF(OR(A11="",B11="Transfer"),"",IF(B11="Income",E11-D11,D11-E11))</f>
        <v/>
      </c>
      <c r="G11" s="54">
        <f>IF(OR(A11="",B11="Transfer",N(D11)=0),"",E11/D11)</f>
        <v/>
      </c>
      <c r="H11" s="51">
        <f>IF(OR(A11="",B11="Transfer"),"",D11*MONTH(RptMonth))</f>
        <v/>
      </c>
      <c r="I11" s="51">
        <f>IF(A11="","",IF(B11="Income",1,-1)*(SUMIFS(Transactions!$E:$E,Transactions!$D:$D,A11,Transactions!$G:$G,"&gt;="&amp;YTDStart,Transactions!$G:$G,"&lt;="&amp;RptMonth)+IF(A11="Uncategorized",SUMIFS(Transactions!$E:$E,Transactions!$D:$D,"",Transactions!$G:$G,"&gt;="&amp;YTDStart,Transactions!$G:$G,"&lt;="&amp;RptMonth),0)))</f>
        <v/>
      </c>
      <c r="J11" s="51">
        <f>IF(OR(A11="",B11="Transfer"),"",IF(B11="Income",I11-H11,H11-I11))</f>
        <v/>
      </c>
      <c r="K11" s="51">
        <f>IF(A11="","",IF(B11="Income",1,-1)*(SUMIFS(Transactions!$E:$E,Transactions!$D:$D,A11,Transactions!$G:$G,"&gt;="&amp;EDATE(RptMonth,-12),Transactions!$G:$G,"&lt;"&amp;RptMonth)+IF(A11="Uncategorized",SUMIFS(Transactions!$E:$E,Transactions!$D:$D,"",Transactions!$G:$G,"&gt;="&amp;EDATE(RptMonth,-12),Transactions!$G:$G,"&lt;"&amp;RptMonth),0))/MAX(1,COUNTIF(Dashboard!$C$26:$C$37,"&gt;0")))</f>
        <v/>
      </c>
    </row>
    <row r="12">
      <c r="A12" s="53">
        <f>IF(Categories!A9="","",Categories!A9)</f>
        <v/>
      </c>
      <c r="B12" s="53">
        <f>IF(A12="","",IF(Categories!B9="","Expense",Categories!B9))</f>
        <v/>
      </c>
      <c r="C12" s="53">
        <f>IF(A12="","",IF(Categories!C9="","",Categories!C9))</f>
        <v/>
      </c>
      <c r="D12" s="51">
        <f>IF(A12="","",N(Categories!D9))</f>
        <v/>
      </c>
      <c r="E12" s="51">
        <f>IF(A12="","",IF(B12="Income",1,-1)*(SUMIFS(Transactions!$E:$E,Transactions!$D:$D,A12,Transactions!$G:$G,RptMonth)+IF(A12="Uncategorized",SUMIFS(Transactions!$E:$E,Transactions!$D:$D,"",Transactions!$G:$G,RptMonth),0)))</f>
        <v/>
      </c>
      <c r="F12" s="51">
        <f>IF(OR(A12="",B12="Transfer"),"",IF(B12="Income",E12-D12,D12-E12))</f>
        <v/>
      </c>
      <c r="G12" s="54">
        <f>IF(OR(A12="",B12="Transfer",N(D12)=0),"",E12/D12)</f>
        <v/>
      </c>
      <c r="H12" s="51">
        <f>IF(OR(A12="",B12="Transfer"),"",D12*MONTH(RptMonth))</f>
        <v/>
      </c>
      <c r="I12" s="51">
        <f>IF(A12="","",IF(B12="Income",1,-1)*(SUMIFS(Transactions!$E:$E,Transactions!$D:$D,A12,Transactions!$G:$G,"&gt;="&amp;YTDStart,Transactions!$G:$G,"&lt;="&amp;RptMonth)+IF(A12="Uncategorized",SUMIFS(Transactions!$E:$E,Transactions!$D:$D,"",Transactions!$G:$G,"&gt;="&amp;YTDStart,Transactions!$G:$G,"&lt;="&amp;RptMonth),0)))</f>
        <v/>
      </c>
      <c r="J12" s="51">
        <f>IF(OR(A12="",B12="Transfer"),"",IF(B12="Income",I12-H12,H12-I12))</f>
        <v/>
      </c>
      <c r="K12" s="51">
        <f>IF(A12="","",IF(B12="Income",1,-1)*(SUMIFS(Transactions!$E:$E,Transactions!$D:$D,A12,Transactions!$G:$G,"&gt;="&amp;EDATE(RptMonth,-12),Transactions!$G:$G,"&lt;"&amp;RptMonth)+IF(A12="Uncategorized",SUMIFS(Transactions!$E:$E,Transactions!$D:$D,"",Transactions!$G:$G,"&gt;="&amp;EDATE(RptMonth,-12),Transactions!$G:$G,"&lt;"&amp;RptMonth),0))/MAX(1,COUNTIF(Dashboard!$C$26:$C$37,"&gt;0")))</f>
        <v/>
      </c>
    </row>
    <row r="13">
      <c r="A13" s="53">
        <f>IF(Categories!A10="","",Categories!A10)</f>
        <v/>
      </c>
      <c r="B13" s="53">
        <f>IF(A13="","",IF(Categories!B10="","Expense",Categories!B10))</f>
        <v/>
      </c>
      <c r="C13" s="53">
        <f>IF(A13="","",IF(Categories!C10="","",Categories!C10))</f>
        <v/>
      </c>
      <c r="D13" s="51">
        <f>IF(A13="","",N(Categories!D10))</f>
        <v/>
      </c>
      <c r="E13" s="51">
        <f>IF(A13="","",IF(B13="Income",1,-1)*(SUMIFS(Transactions!$E:$E,Transactions!$D:$D,A13,Transactions!$G:$G,RptMonth)+IF(A13="Uncategorized",SUMIFS(Transactions!$E:$E,Transactions!$D:$D,"",Transactions!$G:$G,RptMonth),0)))</f>
        <v/>
      </c>
      <c r="F13" s="51">
        <f>IF(OR(A13="",B13="Transfer"),"",IF(B13="Income",E13-D13,D13-E13))</f>
        <v/>
      </c>
      <c r="G13" s="54">
        <f>IF(OR(A13="",B13="Transfer",N(D13)=0),"",E13/D13)</f>
        <v/>
      </c>
      <c r="H13" s="51">
        <f>IF(OR(A13="",B13="Transfer"),"",D13*MONTH(RptMonth))</f>
        <v/>
      </c>
      <c r="I13" s="51">
        <f>IF(A13="","",IF(B13="Income",1,-1)*(SUMIFS(Transactions!$E:$E,Transactions!$D:$D,A13,Transactions!$G:$G,"&gt;="&amp;YTDStart,Transactions!$G:$G,"&lt;="&amp;RptMonth)+IF(A13="Uncategorized",SUMIFS(Transactions!$E:$E,Transactions!$D:$D,"",Transactions!$G:$G,"&gt;="&amp;YTDStart,Transactions!$G:$G,"&lt;="&amp;RptMonth),0)))</f>
        <v/>
      </c>
      <c r="J13" s="51">
        <f>IF(OR(A13="",B13="Transfer"),"",IF(B13="Income",I13-H13,H13-I13))</f>
        <v/>
      </c>
      <c r="K13" s="51">
        <f>IF(A13="","",IF(B13="Income",1,-1)*(SUMIFS(Transactions!$E:$E,Transactions!$D:$D,A13,Transactions!$G:$G,"&gt;="&amp;EDATE(RptMonth,-12),Transactions!$G:$G,"&lt;"&amp;RptMonth)+IF(A13="Uncategorized",SUMIFS(Transactions!$E:$E,Transactions!$D:$D,"",Transactions!$G:$G,"&gt;="&amp;EDATE(RptMonth,-12),Transactions!$G:$G,"&lt;"&amp;RptMonth),0))/MAX(1,COUNTIF(Dashboard!$C$26:$C$37,"&gt;0")))</f>
        <v/>
      </c>
    </row>
    <row r="14">
      <c r="A14" s="53">
        <f>IF(Categories!A11="","",Categories!A11)</f>
        <v/>
      </c>
      <c r="B14" s="53">
        <f>IF(A14="","",IF(Categories!B11="","Expense",Categories!B11))</f>
        <v/>
      </c>
      <c r="C14" s="53">
        <f>IF(A14="","",IF(Categories!C11="","",Categories!C11))</f>
        <v/>
      </c>
      <c r="D14" s="51">
        <f>IF(A14="","",N(Categories!D11))</f>
        <v/>
      </c>
      <c r="E14" s="51">
        <f>IF(A14="","",IF(B14="Income",1,-1)*(SUMIFS(Transactions!$E:$E,Transactions!$D:$D,A14,Transactions!$G:$G,RptMonth)+IF(A14="Uncategorized",SUMIFS(Transactions!$E:$E,Transactions!$D:$D,"",Transactions!$G:$G,RptMonth),0)))</f>
        <v/>
      </c>
      <c r="F14" s="51">
        <f>IF(OR(A14="",B14="Transfer"),"",IF(B14="Income",E14-D14,D14-E14))</f>
        <v/>
      </c>
      <c r="G14" s="54">
        <f>IF(OR(A14="",B14="Transfer",N(D14)=0),"",E14/D14)</f>
        <v/>
      </c>
      <c r="H14" s="51">
        <f>IF(OR(A14="",B14="Transfer"),"",D14*MONTH(RptMonth))</f>
        <v/>
      </c>
      <c r="I14" s="51">
        <f>IF(A14="","",IF(B14="Income",1,-1)*(SUMIFS(Transactions!$E:$E,Transactions!$D:$D,A14,Transactions!$G:$G,"&gt;="&amp;YTDStart,Transactions!$G:$G,"&lt;="&amp;RptMonth)+IF(A14="Uncategorized",SUMIFS(Transactions!$E:$E,Transactions!$D:$D,"",Transactions!$G:$G,"&gt;="&amp;YTDStart,Transactions!$G:$G,"&lt;="&amp;RptMonth),0)))</f>
        <v/>
      </c>
      <c r="J14" s="51">
        <f>IF(OR(A14="",B14="Transfer"),"",IF(B14="Income",I14-H14,H14-I14))</f>
        <v/>
      </c>
      <c r="K14" s="51">
        <f>IF(A14="","",IF(B14="Income",1,-1)*(SUMIFS(Transactions!$E:$E,Transactions!$D:$D,A14,Transactions!$G:$G,"&gt;="&amp;EDATE(RptMonth,-12),Transactions!$G:$G,"&lt;"&amp;RptMonth)+IF(A14="Uncategorized",SUMIFS(Transactions!$E:$E,Transactions!$D:$D,"",Transactions!$G:$G,"&gt;="&amp;EDATE(RptMonth,-12),Transactions!$G:$G,"&lt;"&amp;RptMonth),0))/MAX(1,COUNTIF(Dashboard!$C$26:$C$37,"&gt;0")))</f>
        <v/>
      </c>
    </row>
    <row r="15">
      <c r="A15" s="53">
        <f>IF(Categories!A12="","",Categories!A12)</f>
        <v/>
      </c>
      <c r="B15" s="53">
        <f>IF(A15="","",IF(Categories!B12="","Expense",Categories!B12))</f>
        <v/>
      </c>
      <c r="C15" s="53">
        <f>IF(A15="","",IF(Categories!C12="","",Categories!C12))</f>
        <v/>
      </c>
      <c r="D15" s="51">
        <f>IF(A15="","",N(Categories!D12))</f>
        <v/>
      </c>
      <c r="E15" s="51">
        <f>IF(A15="","",IF(B15="Income",1,-1)*(SUMIFS(Transactions!$E:$E,Transactions!$D:$D,A15,Transactions!$G:$G,RptMonth)+IF(A15="Uncategorized",SUMIFS(Transactions!$E:$E,Transactions!$D:$D,"",Transactions!$G:$G,RptMonth),0)))</f>
        <v/>
      </c>
      <c r="F15" s="51">
        <f>IF(OR(A15="",B15="Transfer"),"",IF(B15="Income",E15-D15,D15-E15))</f>
        <v/>
      </c>
      <c r="G15" s="54">
        <f>IF(OR(A15="",B15="Transfer",N(D15)=0),"",E15/D15)</f>
        <v/>
      </c>
      <c r="H15" s="51">
        <f>IF(OR(A15="",B15="Transfer"),"",D15*MONTH(RptMonth))</f>
        <v/>
      </c>
      <c r="I15" s="51">
        <f>IF(A15="","",IF(B15="Income",1,-1)*(SUMIFS(Transactions!$E:$E,Transactions!$D:$D,A15,Transactions!$G:$G,"&gt;="&amp;YTDStart,Transactions!$G:$G,"&lt;="&amp;RptMonth)+IF(A15="Uncategorized",SUMIFS(Transactions!$E:$E,Transactions!$D:$D,"",Transactions!$G:$G,"&gt;="&amp;YTDStart,Transactions!$G:$G,"&lt;="&amp;RptMonth),0)))</f>
        <v/>
      </c>
      <c r="J15" s="51">
        <f>IF(OR(A15="",B15="Transfer"),"",IF(B15="Income",I15-H15,H15-I15))</f>
        <v/>
      </c>
      <c r="K15" s="51">
        <f>IF(A15="","",IF(B15="Income",1,-1)*(SUMIFS(Transactions!$E:$E,Transactions!$D:$D,A15,Transactions!$G:$G,"&gt;="&amp;EDATE(RptMonth,-12),Transactions!$G:$G,"&lt;"&amp;RptMonth)+IF(A15="Uncategorized",SUMIFS(Transactions!$E:$E,Transactions!$D:$D,"",Transactions!$G:$G,"&gt;="&amp;EDATE(RptMonth,-12),Transactions!$G:$G,"&lt;"&amp;RptMonth),0))/MAX(1,COUNTIF(Dashboard!$C$26:$C$37,"&gt;0")))</f>
        <v/>
      </c>
    </row>
    <row r="16">
      <c r="A16" s="53">
        <f>IF(Categories!A13="","",Categories!A13)</f>
        <v/>
      </c>
      <c r="B16" s="53">
        <f>IF(A16="","",IF(Categories!B13="","Expense",Categories!B13))</f>
        <v/>
      </c>
      <c r="C16" s="53">
        <f>IF(A16="","",IF(Categories!C13="","",Categories!C13))</f>
        <v/>
      </c>
      <c r="D16" s="51">
        <f>IF(A16="","",N(Categories!D13))</f>
        <v/>
      </c>
      <c r="E16" s="51">
        <f>IF(A16="","",IF(B16="Income",1,-1)*(SUMIFS(Transactions!$E:$E,Transactions!$D:$D,A16,Transactions!$G:$G,RptMonth)+IF(A16="Uncategorized",SUMIFS(Transactions!$E:$E,Transactions!$D:$D,"",Transactions!$G:$G,RptMonth),0)))</f>
        <v/>
      </c>
      <c r="F16" s="51">
        <f>IF(OR(A16="",B16="Transfer"),"",IF(B16="Income",E16-D16,D16-E16))</f>
        <v/>
      </c>
      <c r="G16" s="54">
        <f>IF(OR(A16="",B16="Transfer",N(D16)=0),"",E16/D16)</f>
        <v/>
      </c>
      <c r="H16" s="51">
        <f>IF(OR(A16="",B16="Transfer"),"",D16*MONTH(RptMonth))</f>
        <v/>
      </c>
      <c r="I16" s="51">
        <f>IF(A16="","",IF(B16="Income",1,-1)*(SUMIFS(Transactions!$E:$E,Transactions!$D:$D,A16,Transactions!$G:$G,"&gt;="&amp;YTDStart,Transactions!$G:$G,"&lt;="&amp;RptMonth)+IF(A16="Uncategorized",SUMIFS(Transactions!$E:$E,Transactions!$D:$D,"",Transactions!$G:$G,"&gt;="&amp;YTDStart,Transactions!$G:$G,"&lt;="&amp;RptMonth),0)))</f>
        <v/>
      </c>
      <c r="J16" s="51">
        <f>IF(OR(A16="",B16="Transfer"),"",IF(B16="Income",I16-H16,H16-I16))</f>
        <v/>
      </c>
      <c r="K16" s="51">
        <f>IF(A16="","",IF(B16="Income",1,-1)*(SUMIFS(Transactions!$E:$E,Transactions!$D:$D,A16,Transactions!$G:$G,"&gt;="&amp;EDATE(RptMonth,-12),Transactions!$G:$G,"&lt;"&amp;RptMonth)+IF(A16="Uncategorized",SUMIFS(Transactions!$E:$E,Transactions!$D:$D,"",Transactions!$G:$G,"&gt;="&amp;EDATE(RptMonth,-12),Transactions!$G:$G,"&lt;"&amp;RptMonth),0))/MAX(1,COUNTIF(Dashboard!$C$26:$C$37,"&gt;0")))</f>
        <v/>
      </c>
    </row>
    <row r="17">
      <c r="A17" s="53">
        <f>IF(Categories!A14="","",Categories!A14)</f>
        <v/>
      </c>
      <c r="B17" s="53">
        <f>IF(A17="","",IF(Categories!B14="","Expense",Categories!B14))</f>
        <v/>
      </c>
      <c r="C17" s="53">
        <f>IF(A17="","",IF(Categories!C14="","",Categories!C14))</f>
        <v/>
      </c>
      <c r="D17" s="51">
        <f>IF(A17="","",N(Categories!D14))</f>
        <v/>
      </c>
      <c r="E17" s="51">
        <f>IF(A17="","",IF(B17="Income",1,-1)*(SUMIFS(Transactions!$E:$E,Transactions!$D:$D,A17,Transactions!$G:$G,RptMonth)+IF(A17="Uncategorized",SUMIFS(Transactions!$E:$E,Transactions!$D:$D,"",Transactions!$G:$G,RptMonth),0)))</f>
        <v/>
      </c>
      <c r="F17" s="51">
        <f>IF(OR(A17="",B17="Transfer"),"",IF(B17="Income",E17-D17,D17-E17))</f>
        <v/>
      </c>
      <c r="G17" s="54">
        <f>IF(OR(A17="",B17="Transfer",N(D17)=0),"",E17/D17)</f>
        <v/>
      </c>
      <c r="H17" s="51">
        <f>IF(OR(A17="",B17="Transfer"),"",D17*MONTH(RptMonth))</f>
        <v/>
      </c>
      <c r="I17" s="51">
        <f>IF(A17="","",IF(B17="Income",1,-1)*(SUMIFS(Transactions!$E:$E,Transactions!$D:$D,A17,Transactions!$G:$G,"&gt;="&amp;YTDStart,Transactions!$G:$G,"&lt;="&amp;RptMonth)+IF(A17="Uncategorized",SUMIFS(Transactions!$E:$E,Transactions!$D:$D,"",Transactions!$G:$G,"&gt;="&amp;YTDStart,Transactions!$G:$G,"&lt;="&amp;RptMonth),0)))</f>
        <v/>
      </c>
      <c r="J17" s="51">
        <f>IF(OR(A17="",B17="Transfer"),"",IF(B17="Income",I17-H17,H17-I17))</f>
        <v/>
      </c>
      <c r="K17" s="51">
        <f>IF(A17="","",IF(B17="Income",1,-1)*(SUMIFS(Transactions!$E:$E,Transactions!$D:$D,A17,Transactions!$G:$G,"&gt;="&amp;EDATE(RptMonth,-12),Transactions!$G:$G,"&lt;"&amp;RptMonth)+IF(A17="Uncategorized",SUMIFS(Transactions!$E:$E,Transactions!$D:$D,"",Transactions!$G:$G,"&gt;="&amp;EDATE(RptMonth,-12),Transactions!$G:$G,"&lt;"&amp;RptMonth),0))/MAX(1,COUNTIF(Dashboard!$C$26:$C$37,"&gt;0")))</f>
        <v/>
      </c>
    </row>
    <row r="18">
      <c r="A18" s="53">
        <f>IF(Categories!A15="","",Categories!A15)</f>
        <v/>
      </c>
      <c r="B18" s="53">
        <f>IF(A18="","",IF(Categories!B15="","Expense",Categories!B15))</f>
        <v/>
      </c>
      <c r="C18" s="53">
        <f>IF(A18="","",IF(Categories!C15="","",Categories!C15))</f>
        <v/>
      </c>
      <c r="D18" s="51">
        <f>IF(A18="","",N(Categories!D15))</f>
        <v/>
      </c>
      <c r="E18" s="51">
        <f>IF(A18="","",IF(B18="Income",1,-1)*(SUMIFS(Transactions!$E:$E,Transactions!$D:$D,A18,Transactions!$G:$G,RptMonth)+IF(A18="Uncategorized",SUMIFS(Transactions!$E:$E,Transactions!$D:$D,"",Transactions!$G:$G,RptMonth),0)))</f>
        <v/>
      </c>
      <c r="F18" s="51">
        <f>IF(OR(A18="",B18="Transfer"),"",IF(B18="Income",E18-D18,D18-E18))</f>
        <v/>
      </c>
      <c r="G18" s="54">
        <f>IF(OR(A18="",B18="Transfer",N(D18)=0),"",E18/D18)</f>
        <v/>
      </c>
      <c r="H18" s="51">
        <f>IF(OR(A18="",B18="Transfer"),"",D18*MONTH(RptMonth))</f>
        <v/>
      </c>
      <c r="I18" s="51">
        <f>IF(A18="","",IF(B18="Income",1,-1)*(SUMIFS(Transactions!$E:$E,Transactions!$D:$D,A18,Transactions!$G:$G,"&gt;="&amp;YTDStart,Transactions!$G:$G,"&lt;="&amp;RptMonth)+IF(A18="Uncategorized",SUMIFS(Transactions!$E:$E,Transactions!$D:$D,"",Transactions!$G:$G,"&gt;="&amp;YTDStart,Transactions!$G:$G,"&lt;="&amp;RptMonth),0)))</f>
        <v/>
      </c>
      <c r="J18" s="51">
        <f>IF(OR(A18="",B18="Transfer"),"",IF(B18="Income",I18-H18,H18-I18))</f>
        <v/>
      </c>
      <c r="K18" s="51">
        <f>IF(A18="","",IF(B18="Income",1,-1)*(SUMIFS(Transactions!$E:$E,Transactions!$D:$D,A18,Transactions!$G:$G,"&gt;="&amp;EDATE(RptMonth,-12),Transactions!$G:$G,"&lt;"&amp;RptMonth)+IF(A18="Uncategorized",SUMIFS(Transactions!$E:$E,Transactions!$D:$D,"",Transactions!$G:$G,"&gt;="&amp;EDATE(RptMonth,-12),Transactions!$G:$G,"&lt;"&amp;RptMonth),0))/MAX(1,COUNTIF(Dashboard!$C$26:$C$37,"&gt;0")))</f>
        <v/>
      </c>
    </row>
    <row r="19">
      <c r="A19" s="53">
        <f>IF(Categories!A16="","",Categories!A16)</f>
        <v/>
      </c>
      <c r="B19" s="53">
        <f>IF(A19="","",IF(Categories!B16="","Expense",Categories!B16))</f>
        <v/>
      </c>
      <c r="C19" s="53">
        <f>IF(A19="","",IF(Categories!C16="","",Categories!C16))</f>
        <v/>
      </c>
      <c r="D19" s="51">
        <f>IF(A19="","",N(Categories!D16))</f>
        <v/>
      </c>
      <c r="E19" s="51">
        <f>IF(A19="","",IF(B19="Income",1,-1)*(SUMIFS(Transactions!$E:$E,Transactions!$D:$D,A19,Transactions!$G:$G,RptMonth)+IF(A19="Uncategorized",SUMIFS(Transactions!$E:$E,Transactions!$D:$D,"",Transactions!$G:$G,RptMonth),0)))</f>
        <v/>
      </c>
      <c r="F19" s="51">
        <f>IF(OR(A19="",B19="Transfer"),"",IF(B19="Income",E19-D19,D19-E19))</f>
        <v/>
      </c>
      <c r="G19" s="54">
        <f>IF(OR(A19="",B19="Transfer",N(D19)=0),"",E19/D19)</f>
        <v/>
      </c>
      <c r="H19" s="51">
        <f>IF(OR(A19="",B19="Transfer"),"",D19*MONTH(RptMonth))</f>
        <v/>
      </c>
      <c r="I19" s="51">
        <f>IF(A19="","",IF(B19="Income",1,-1)*(SUMIFS(Transactions!$E:$E,Transactions!$D:$D,A19,Transactions!$G:$G,"&gt;="&amp;YTDStart,Transactions!$G:$G,"&lt;="&amp;RptMonth)+IF(A19="Uncategorized",SUMIFS(Transactions!$E:$E,Transactions!$D:$D,"",Transactions!$G:$G,"&gt;="&amp;YTDStart,Transactions!$G:$G,"&lt;="&amp;RptMonth),0)))</f>
        <v/>
      </c>
      <c r="J19" s="51">
        <f>IF(OR(A19="",B19="Transfer"),"",IF(B19="Income",I19-H19,H19-I19))</f>
        <v/>
      </c>
      <c r="K19" s="51">
        <f>IF(A19="","",IF(B19="Income",1,-1)*(SUMIFS(Transactions!$E:$E,Transactions!$D:$D,A19,Transactions!$G:$G,"&gt;="&amp;EDATE(RptMonth,-12),Transactions!$G:$G,"&lt;"&amp;RptMonth)+IF(A19="Uncategorized",SUMIFS(Transactions!$E:$E,Transactions!$D:$D,"",Transactions!$G:$G,"&gt;="&amp;EDATE(RptMonth,-12),Transactions!$G:$G,"&lt;"&amp;RptMonth),0))/MAX(1,COUNTIF(Dashboard!$C$26:$C$37,"&gt;0")))</f>
        <v/>
      </c>
    </row>
    <row r="20">
      <c r="A20" s="53">
        <f>IF(Categories!A17="","",Categories!A17)</f>
        <v/>
      </c>
      <c r="B20" s="53">
        <f>IF(A20="","",IF(Categories!B17="","Expense",Categories!B17))</f>
        <v/>
      </c>
      <c r="C20" s="53">
        <f>IF(A20="","",IF(Categories!C17="","",Categories!C17))</f>
        <v/>
      </c>
      <c r="D20" s="51">
        <f>IF(A20="","",N(Categories!D17))</f>
        <v/>
      </c>
      <c r="E20" s="51">
        <f>IF(A20="","",IF(B20="Income",1,-1)*(SUMIFS(Transactions!$E:$E,Transactions!$D:$D,A20,Transactions!$G:$G,RptMonth)+IF(A20="Uncategorized",SUMIFS(Transactions!$E:$E,Transactions!$D:$D,"",Transactions!$G:$G,RptMonth),0)))</f>
        <v/>
      </c>
      <c r="F20" s="51">
        <f>IF(OR(A20="",B20="Transfer"),"",IF(B20="Income",E20-D20,D20-E20))</f>
        <v/>
      </c>
      <c r="G20" s="54">
        <f>IF(OR(A20="",B20="Transfer",N(D20)=0),"",E20/D20)</f>
        <v/>
      </c>
      <c r="H20" s="51">
        <f>IF(OR(A20="",B20="Transfer"),"",D20*MONTH(RptMonth))</f>
        <v/>
      </c>
      <c r="I20" s="51">
        <f>IF(A20="","",IF(B20="Income",1,-1)*(SUMIFS(Transactions!$E:$E,Transactions!$D:$D,A20,Transactions!$G:$G,"&gt;="&amp;YTDStart,Transactions!$G:$G,"&lt;="&amp;RptMonth)+IF(A20="Uncategorized",SUMIFS(Transactions!$E:$E,Transactions!$D:$D,"",Transactions!$G:$G,"&gt;="&amp;YTDStart,Transactions!$G:$G,"&lt;="&amp;RptMonth),0)))</f>
        <v/>
      </c>
      <c r="J20" s="51">
        <f>IF(OR(A20="",B20="Transfer"),"",IF(B20="Income",I20-H20,H20-I20))</f>
        <v/>
      </c>
      <c r="K20" s="51">
        <f>IF(A20="","",IF(B20="Income",1,-1)*(SUMIFS(Transactions!$E:$E,Transactions!$D:$D,A20,Transactions!$G:$G,"&gt;="&amp;EDATE(RptMonth,-12),Transactions!$G:$G,"&lt;"&amp;RptMonth)+IF(A20="Uncategorized",SUMIFS(Transactions!$E:$E,Transactions!$D:$D,"",Transactions!$G:$G,"&gt;="&amp;EDATE(RptMonth,-12),Transactions!$G:$G,"&lt;"&amp;RptMonth),0))/MAX(1,COUNTIF(Dashboard!$C$26:$C$37,"&gt;0")))</f>
        <v/>
      </c>
    </row>
    <row r="21">
      <c r="A21" s="53">
        <f>IF(Categories!A18="","",Categories!A18)</f>
        <v/>
      </c>
      <c r="B21" s="53">
        <f>IF(A21="","",IF(Categories!B18="","Expense",Categories!B18))</f>
        <v/>
      </c>
      <c r="C21" s="53">
        <f>IF(A21="","",IF(Categories!C18="","",Categories!C18))</f>
        <v/>
      </c>
      <c r="D21" s="51">
        <f>IF(A21="","",N(Categories!D18))</f>
        <v/>
      </c>
      <c r="E21" s="51">
        <f>IF(A21="","",IF(B21="Income",1,-1)*(SUMIFS(Transactions!$E:$E,Transactions!$D:$D,A21,Transactions!$G:$G,RptMonth)+IF(A21="Uncategorized",SUMIFS(Transactions!$E:$E,Transactions!$D:$D,"",Transactions!$G:$G,RptMonth),0)))</f>
        <v/>
      </c>
      <c r="F21" s="51">
        <f>IF(OR(A21="",B21="Transfer"),"",IF(B21="Income",E21-D21,D21-E21))</f>
        <v/>
      </c>
      <c r="G21" s="54">
        <f>IF(OR(A21="",B21="Transfer",N(D21)=0),"",E21/D21)</f>
        <v/>
      </c>
      <c r="H21" s="51">
        <f>IF(OR(A21="",B21="Transfer"),"",D21*MONTH(RptMonth))</f>
        <v/>
      </c>
      <c r="I21" s="51">
        <f>IF(A21="","",IF(B21="Income",1,-1)*(SUMIFS(Transactions!$E:$E,Transactions!$D:$D,A21,Transactions!$G:$G,"&gt;="&amp;YTDStart,Transactions!$G:$G,"&lt;="&amp;RptMonth)+IF(A21="Uncategorized",SUMIFS(Transactions!$E:$E,Transactions!$D:$D,"",Transactions!$G:$G,"&gt;="&amp;YTDStart,Transactions!$G:$G,"&lt;="&amp;RptMonth),0)))</f>
        <v/>
      </c>
      <c r="J21" s="51">
        <f>IF(OR(A21="",B21="Transfer"),"",IF(B21="Income",I21-H21,H21-I21))</f>
        <v/>
      </c>
      <c r="K21" s="51">
        <f>IF(A21="","",IF(B21="Income",1,-1)*(SUMIFS(Transactions!$E:$E,Transactions!$D:$D,A21,Transactions!$G:$G,"&gt;="&amp;EDATE(RptMonth,-12),Transactions!$G:$G,"&lt;"&amp;RptMonth)+IF(A21="Uncategorized",SUMIFS(Transactions!$E:$E,Transactions!$D:$D,"",Transactions!$G:$G,"&gt;="&amp;EDATE(RptMonth,-12),Transactions!$G:$G,"&lt;"&amp;RptMonth),0))/MAX(1,COUNTIF(Dashboard!$C$26:$C$37,"&gt;0")))</f>
        <v/>
      </c>
    </row>
    <row r="22">
      <c r="A22" s="53">
        <f>IF(Categories!A19="","",Categories!A19)</f>
        <v/>
      </c>
      <c r="B22" s="53">
        <f>IF(A22="","",IF(Categories!B19="","Expense",Categories!B19))</f>
        <v/>
      </c>
      <c r="C22" s="53">
        <f>IF(A22="","",IF(Categories!C19="","",Categories!C19))</f>
        <v/>
      </c>
      <c r="D22" s="51">
        <f>IF(A22="","",N(Categories!D19))</f>
        <v/>
      </c>
      <c r="E22" s="51">
        <f>IF(A22="","",IF(B22="Income",1,-1)*(SUMIFS(Transactions!$E:$E,Transactions!$D:$D,A22,Transactions!$G:$G,RptMonth)+IF(A22="Uncategorized",SUMIFS(Transactions!$E:$E,Transactions!$D:$D,"",Transactions!$G:$G,RptMonth),0)))</f>
        <v/>
      </c>
      <c r="F22" s="51">
        <f>IF(OR(A22="",B22="Transfer"),"",IF(B22="Income",E22-D22,D22-E22))</f>
        <v/>
      </c>
      <c r="G22" s="54">
        <f>IF(OR(A22="",B22="Transfer",N(D22)=0),"",E22/D22)</f>
        <v/>
      </c>
      <c r="H22" s="51">
        <f>IF(OR(A22="",B22="Transfer"),"",D22*MONTH(RptMonth))</f>
        <v/>
      </c>
      <c r="I22" s="51">
        <f>IF(A22="","",IF(B22="Income",1,-1)*(SUMIFS(Transactions!$E:$E,Transactions!$D:$D,A22,Transactions!$G:$G,"&gt;="&amp;YTDStart,Transactions!$G:$G,"&lt;="&amp;RptMonth)+IF(A22="Uncategorized",SUMIFS(Transactions!$E:$E,Transactions!$D:$D,"",Transactions!$G:$G,"&gt;="&amp;YTDStart,Transactions!$G:$G,"&lt;="&amp;RptMonth),0)))</f>
        <v/>
      </c>
      <c r="J22" s="51">
        <f>IF(OR(A22="",B22="Transfer"),"",IF(B22="Income",I22-H22,H22-I22))</f>
        <v/>
      </c>
      <c r="K22" s="51">
        <f>IF(A22="","",IF(B22="Income",1,-1)*(SUMIFS(Transactions!$E:$E,Transactions!$D:$D,A22,Transactions!$G:$G,"&gt;="&amp;EDATE(RptMonth,-12),Transactions!$G:$G,"&lt;"&amp;RptMonth)+IF(A22="Uncategorized",SUMIFS(Transactions!$E:$E,Transactions!$D:$D,"",Transactions!$G:$G,"&gt;="&amp;EDATE(RptMonth,-12),Transactions!$G:$G,"&lt;"&amp;RptMonth),0))/MAX(1,COUNTIF(Dashboard!$C$26:$C$37,"&gt;0")))</f>
        <v/>
      </c>
    </row>
    <row r="23">
      <c r="A23" s="53">
        <f>IF(Categories!A20="","",Categories!A20)</f>
        <v/>
      </c>
      <c r="B23" s="53">
        <f>IF(A23="","",IF(Categories!B20="","Expense",Categories!B20))</f>
        <v/>
      </c>
      <c r="C23" s="53">
        <f>IF(A23="","",IF(Categories!C20="","",Categories!C20))</f>
        <v/>
      </c>
      <c r="D23" s="51">
        <f>IF(A23="","",N(Categories!D20))</f>
        <v/>
      </c>
      <c r="E23" s="51">
        <f>IF(A23="","",IF(B23="Income",1,-1)*(SUMIFS(Transactions!$E:$E,Transactions!$D:$D,A23,Transactions!$G:$G,RptMonth)+IF(A23="Uncategorized",SUMIFS(Transactions!$E:$E,Transactions!$D:$D,"",Transactions!$G:$G,RptMonth),0)))</f>
        <v/>
      </c>
      <c r="F23" s="51">
        <f>IF(OR(A23="",B23="Transfer"),"",IF(B23="Income",E23-D23,D23-E23))</f>
        <v/>
      </c>
      <c r="G23" s="54">
        <f>IF(OR(A23="",B23="Transfer",N(D23)=0),"",E23/D23)</f>
        <v/>
      </c>
      <c r="H23" s="51">
        <f>IF(OR(A23="",B23="Transfer"),"",D23*MONTH(RptMonth))</f>
        <v/>
      </c>
      <c r="I23" s="51">
        <f>IF(A23="","",IF(B23="Income",1,-1)*(SUMIFS(Transactions!$E:$E,Transactions!$D:$D,A23,Transactions!$G:$G,"&gt;="&amp;YTDStart,Transactions!$G:$G,"&lt;="&amp;RptMonth)+IF(A23="Uncategorized",SUMIFS(Transactions!$E:$E,Transactions!$D:$D,"",Transactions!$G:$G,"&gt;="&amp;YTDStart,Transactions!$G:$G,"&lt;="&amp;RptMonth),0)))</f>
        <v/>
      </c>
      <c r="J23" s="51">
        <f>IF(OR(A23="",B23="Transfer"),"",IF(B23="Income",I23-H23,H23-I23))</f>
        <v/>
      </c>
      <c r="K23" s="51">
        <f>IF(A23="","",IF(B23="Income",1,-1)*(SUMIFS(Transactions!$E:$E,Transactions!$D:$D,A23,Transactions!$G:$G,"&gt;="&amp;EDATE(RptMonth,-12),Transactions!$G:$G,"&lt;"&amp;RptMonth)+IF(A23="Uncategorized",SUMIFS(Transactions!$E:$E,Transactions!$D:$D,"",Transactions!$G:$G,"&gt;="&amp;EDATE(RptMonth,-12),Transactions!$G:$G,"&lt;"&amp;RptMonth),0))/MAX(1,COUNTIF(Dashboard!$C$26:$C$37,"&gt;0")))</f>
        <v/>
      </c>
    </row>
    <row r="24">
      <c r="A24" s="53">
        <f>IF(Categories!A21="","",Categories!A21)</f>
        <v/>
      </c>
      <c r="B24" s="53">
        <f>IF(A24="","",IF(Categories!B21="","Expense",Categories!B21))</f>
        <v/>
      </c>
      <c r="C24" s="53">
        <f>IF(A24="","",IF(Categories!C21="","",Categories!C21))</f>
        <v/>
      </c>
      <c r="D24" s="51">
        <f>IF(A24="","",N(Categories!D21))</f>
        <v/>
      </c>
      <c r="E24" s="51">
        <f>IF(A24="","",IF(B24="Income",1,-1)*(SUMIFS(Transactions!$E:$E,Transactions!$D:$D,A24,Transactions!$G:$G,RptMonth)+IF(A24="Uncategorized",SUMIFS(Transactions!$E:$E,Transactions!$D:$D,"",Transactions!$G:$G,RptMonth),0)))</f>
        <v/>
      </c>
      <c r="F24" s="51">
        <f>IF(OR(A24="",B24="Transfer"),"",IF(B24="Income",E24-D24,D24-E24))</f>
        <v/>
      </c>
      <c r="G24" s="54">
        <f>IF(OR(A24="",B24="Transfer",N(D24)=0),"",E24/D24)</f>
        <v/>
      </c>
      <c r="H24" s="51">
        <f>IF(OR(A24="",B24="Transfer"),"",D24*MONTH(RptMonth))</f>
        <v/>
      </c>
      <c r="I24" s="51">
        <f>IF(A24="","",IF(B24="Income",1,-1)*(SUMIFS(Transactions!$E:$E,Transactions!$D:$D,A24,Transactions!$G:$G,"&gt;="&amp;YTDStart,Transactions!$G:$G,"&lt;="&amp;RptMonth)+IF(A24="Uncategorized",SUMIFS(Transactions!$E:$E,Transactions!$D:$D,"",Transactions!$G:$G,"&gt;="&amp;YTDStart,Transactions!$G:$G,"&lt;="&amp;RptMonth),0)))</f>
        <v/>
      </c>
      <c r="J24" s="51">
        <f>IF(OR(A24="",B24="Transfer"),"",IF(B24="Income",I24-H24,H24-I24))</f>
        <v/>
      </c>
      <c r="K24" s="51">
        <f>IF(A24="","",IF(B24="Income",1,-1)*(SUMIFS(Transactions!$E:$E,Transactions!$D:$D,A24,Transactions!$G:$G,"&gt;="&amp;EDATE(RptMonth,-12),Transactions!$G:$G,"&lt;"&amp;RptMonth)+IF(A24="Uncategorized",SUMIFS(Transactions!$E:$E,Transactions!$D:$D,"",Transactions!$G:$G,"&gt;="&amp;EDATE(RptMonth,-12),Transactions!$G:$G,"&lt;"&amp;RptMonth),0))/MAX(1,COUNTIF(Dashboard!$C$26:$C$37,"&gt;0")))</f>
        <v/>
      </c>
    </row>
    <row r="25">
      <c r="A25" s="53">
        <f>IF(Categories!A22="","",Categories!A22)</f>
        <v/>
      </c>
      <c r="B25" s="53">
        <f>IF(A25="","",IF(Categories!B22="","Expense",Categories!B22))</f>
        <v/>
      </c>
      <c r="C25" s="53">
        <f>IF(A25="","",IF(Categories!C22="","",Categories!C22))</f>
        <v/>
      </c>
      <c r="D25" s="51">
        <f>IF(A25="","",N(Categories!D22))</f>
        <v/>
      </c>
      <c r="E25" s="51">
        <f>IF(A25="","",IF(B25="Income",1,-1)*(SUMIFS(Transactions!$E:$E,Transactions!$D:$D,A25,Transactions!$G:$G,RptMonth)+IF(A25="Uncategorized",SUMIFS(Transactions!$E:$E,Transactions!$D:$D,"",Transactions!$G:$G,RptMonth),0)))</f>
        <v/>
      </c>
      <c r="F25" s="51">
        <f>IF(OR(A25="",B25="Transfer"),"",IF(B25="Income",E25-D25,D25-E25))</f>
        <v/>
      </c>
      <c r="G25" s="54">
        <f>IF(OR(A25="",B25="Transfer",N(D25)=0),"",E25/D25)</f>
        <v/>
      </c>
      <c r="H25" s="51">
        <f>IF(OR(A25="",B25="Transfer"),"",D25*MONTH(RptMonth))</f>
        <v/>
      </c>
      <c r="I25" s="51">
        <f>IF(A25="","",IF(B25="Income",1,-1)*(SUMIFS(Transactions!$E:$E,Transactions!$D:$D,A25,Transactions!$G:$G,"&gt;="&amp;YTDStart,Transactions!$G:$G,"&lt;="&amp;RptMonth)+IF(A25="Uncategorized",SUMIFS(Transactions!$E:$E,Transactions!$D:$D,"",Transactions!$G:$G,"&gt;="&amp;YTDStart,Transactions!$G:$G,"&lt;="&amp;RptMonth),0)))</f>
        <v/>
      </c>
      <c r="J25" s="51">
        <f>IF(OR(A25="",B25="Transfer"),"",IF(B25="Income",I25-H25,H25-I25))</f>
        <v/>
      </c>
      <c r="K25" s="51">
        <f>IF(A25="","",IF(B25="Income",1,-1)*(SUMIFS(Transactions!$E:$E,Transactions!$D:$D,A25,Transactions!$G:$G,"&gt;="&amp;EDATE(RptMonth,-12),Transactions!$G:$G,"&lt;"&amp;RptMonth)+IF(A25="Uncategorized",SUMIFS(Transactions!$E:$E,Transactions!$D:$D,"",Transactions!$G:$G,"&gt;="&amp;EDATE(RptMonth,-12),Transactions!$G:$G,"&lt;"&amp;RptMonth),0))/MAX(1,COUNTIF(Dashboard!$C$26:$C$37,"&gt;0")))</f>
        <v/>
      </c>
    </row>
    <row r="26">
      <c r="A26" s="53">
        <f>IF(Categories!A23="","",Categories!A23)</f>
        <v/>
      </c>
      <c r="B26" s="53">
        <f>IF(A26="","",IF(Categories!B23="","Expense",Categories!B23))</f>
        <v/>
      </c>
      <c r="C26" s="53">
        <f>IF(A26="","",IF(Categories!C23="","",Categories!C23))</f>
        <v/>
      </c>
      <c r="D26" s="51">
        <f>IF(A26="","",N(Categories!D23))</f>
        <v/>
      </c>
      <c r="E26" s="51">
        <f>IF(A26="","",IF(B26="Income",1,-1)*(SUMIFS(Transactions!$E:$E,Transactions!$D:$D,A26,Transactions!$G:$G,RptMonth)+IF(A26="Uncategorized",SUMIFS(Transactions!$E:$E,Transactions!$D:$D,"",Transactions!$G:$G,RptMonth),0)))</f>
        <v/>
      </c>
      <c r="F26" s="51">
        <f>IF(OR(A26="",B26="Transfer"),"",IF(B26="Income",E26-D26,D26-E26))</f>
        <v/>
      </c>
      <c r="G26" s="54">
        <f>IF(OR(A26="",B26="Transfer",N(D26)=0),"",E26/D26)</f>
        <v/>
      </c>
      <c r="H26" s="51">
        <f>IF(OR(A26="",B26="Transfer"),"",D26*MONTH(RptMonth))</f>
        <v/>
      </c>
      <c r="I26" s="51">
        <f>IF(A26="","",IF(B26="Income",1,-1)*(SUMIFS(Transactions!$E:$E,Transactions!$D:$D,A26,Transactions!$G:$G,"&gt;="&amp;YTDStart,Transactions!$G:$G,"&lt;="&amp;RptMonth)+IF(A26="Uncategorized",SUMIFS(Transactions!$E:$E,Transactions!$D:$D,"",Transactions!$G:$G,"&gt;="&amp;YTDStart,Transactions!$G:$G,"&lt;="&amp;RptMonth),0)))</f>
        <v/>
      </c>
      <c r="J26" s="51">
        <f>IF(OR(A26="",B26="Transfer"),"",IF(B26="Income",I26-H26,H26-I26))</f>
        <v/>
      </c>
      <c r="K26" s="51">
        <f>IF(A26="","",IF(B26="Income",1,-1)*(SUMIFS(Transactions!$E:$E,Transactions!$D:$D,A26,Transactions!$G:$G,"&gt;="&amp;EDATE(RptMonth,-12),Transactions!$G:$G,"&lt;"&amp;RptMonth)+IF(A26="Uncategorized",SUMIFS(Transactions!$E:$E,Transactions!$D:$D,"",Transactions!$G:$G,"&gt;="&amp;EDATE(RptMonth,-12),Transactions!$G:$G,"&lt;"&amp;RptMonth),0))/MAX(1,COUNTIF(Dashboard!$C$26:$C$37,"&gt;0")))</f>
        <v/>
      </c>
    </row>
    <row r="27">
      <c r="A27" s="53">
        <f>IF(Categories!A24="","",Categories!A24)</f>
        <v/>
      </c>
      <c r="B27" s="53">
        <f>IF(A27="","",IF(Categories!B24="","Expense",Categories!B24))</f>
        <v/>
      </c>
      <c r="C27" s="53">
        <f>IF(A27="","",IF(Categories!C24="","",Categories!C24))</f>
        <v/>
      </c>
      <c r="D27" s="51">
        <f>IF(A27="","",N(Categories!D24))</f>
        <v/>
      </c>
      <c r="E27" s="51">
        <f>IF(A27="","",IF(B27="Income",1,-1)*(SUMIFS(Transactions!$E:$E,Transactions!$D:$D,A27,Transactions!$G:$G,RptMonth)+IF(A27="Uncategorized",SUMIFS(Transactions!$E:$E,Transactions!$D:$D,"",Transactions!$G:$G,RptMonth),0)))</f>
        <v/>
      </c>
      <c r="F27" s="51">
        <f>IF(OR(A27="",B27="Transfer"),"",IF(B27="Income",E27-D27,D27-E27))</f>
        <v/>
      </c>
      <c r="G27" s="54">
        <f>IF(OR(A27="",B27="Transfer",N(D27)=0),"",E27/D27)</f>
        <v/>
      </c>
      <c r="H27" s="51">
        <f>IF(OR(A27="",B27="Transfer"),"",D27*MONTH(RptMonth))</f>
        <v/>
      </c>
      <c r="I27" s="51">
        <f>IF(A27="","",IF(B27="Income",1,-1)*(SUMIFS(Transactions!$E:$E,Transactions!$D:$D,A27,Transactions!$G:$G,"&gt;="&amp;YTDStart,Transactions!$G:$G,"&lt;="&amp;RptMonth)+IF(A27="Uncategorized",SUMIFS(Transactions!$E:$E,Transactions!$D:$D,"",Transactions!$G:$G,"&gt;="&amp;YTDStart,Transactions!$G:$G,"&lt;="&amp;RptMonth),0)))</f>
        <v/>
      </c>
      <c r="J27" s="51">
        <f>IF(OR(A27="",B27="Transfer"),"",IF(B27="Income",I27-H27,H27-I27))</f>
        <v/>
      </c>
      <c r="K27" s="51">
        <f>IF(A27="","",IF(B27="Income",1,-1)*(SUMIFS(Transactions!$E:$E,Transactions!$D:$D,A27,Transactions!$G:$G,"&gt;="&amp;EDATE(RptMonth,-12),Transactions!$G:$G,"&lt;"&amp;RptMonth)+IF(A27="Uncategorized",SUMIFS(Transactions!$E:$E,Transactions!$D:$D,"",Transactions!$G:$G,"&gt;="&amp;EDATE(RptMonth,-12),Transactions!$G:$G,"&lt;"&amp;RptMonth),0))/MAX(1,COUNTIF(Dashboard!$C$26:$C$37,"&gt;0")))</f>
        <v/>
      </c>
    </row>
    <row r="28">
      <c r="A28" s="53">
        <f>IF(Categories!A25="","",Categories!A25)</f>
        <v/>
      </c>
      <c r="B28" s="53">
        <f>IF(A28="","",IF(Categories!B25="","Expense",Categories!B25))</f>
        <v/>
      </c>
      <c r="C28" s="53">
        <f>IF(A28="","",IF(Categories!C25="","",Categories!C25))</f>
        <v/>
      </c>
      <c r="D28" s="51">
        <f>IF(A28="","",N(Categories!D25))</f>
        <v/>
      </c>
      <c r="E28" s="51">
        <f>IF(A28="","",IF(B28="Income",1,-1)*(SUMIFS(Transactions!$E:$E,Transactions!$D:$D,A28,Transactions!$G:$G,RptMonth)+IF(A28="Uncategorized",SUMIFS(Transactions!$E:$E,Transactions!$D:$D,"",Transactions!$G:$G,RptMonth),0)))</f>
        <v/>
      </c>
      <c r="F28" s="51">
        <f>IF(OR(A28="",B28="Transfer"),"",IF(B28="Income",E28-D28,D28-E28))</f>
        <v/>
      </c>
      <c r="G28" s="54">
        <f>IF(OR(A28="",B28="Transfer",N(D28)=0),"",E28/D28)</f>
        <v/>
      </c>
      <c r="H28" s="51">
        <f>IF(OR(A28="",B28="Transfer"),"",D28*MONTH(RptMonth))</f>
        <v/>
      </c>
      <c r="I28" s="51">
        <f>IF(A28="","",IF(B28="Income",1,-1)*(SUMIFS(Transactions!$E:$E,Transactions!$D:$D,A28,Transactions!$G:$G,"&gt;="&amp;YTDStart,Transactions!$G:$G,"&lt;="&amp;RptMonth)+IF(A28="Uncategorized",SUMIFS(Transactions!$E:$E,Transactions!$D:$D,"",Transactions!$G:$G,"&gt;="&amp;YTDStart,Transactions!$G:$G,"&lt;="&amp;RptMonth),0)))</f>
        <v/>
      </c>
      <c r="J28" s="51">
        <f>IF(OR(A28="",B28="Transfer"),"",IF(B28="Income",I28-H28,H28-I28))</f>
        <v/>
      </c>
      <c r="K28" s="51">
        <f>IF(A28="","",IF(B28="Income",1,-1)*(SUMIFS(Transactions!$E:$E,Transactions!$D:$D,A28,Transactions!$G:$G,"&gt;="&amp;EDATE(RptMonth,-12),Transactions!$G:$G,"&lt;"&amp;RptMonth)+IF(A28="Uncategorized",SUMIFS(Transactions!$E:$E,Transactions!$D:$D,"",Transactions!$G:$G,"&gt;="&amp;EDATE(RptMonth,-12),Transactions!$G:$G,"&lt;"&amp;RptMonth),0))/MAX(1,COUNTIF(Dashboard!$C$26:$C$37,"&gt;0")))</f>
        <v/>
      </c>
    </row>
    <row r="29">
      <c r="A29" s="53">
        <f>IF(Categories!A26="","",Categories!A26)</f>
        <v/>
      </c>
      <c r="B29" s="53">
        <f>IF(A29="","",IF(Categories!B26="","Expense",Categories!B26))</f>
        <v/>
      </c>
      <c r="C29" s="53">
        <f>IF(A29="","",IF(Categories!C26="","",Categories!C26))</f>
        <v/>
      </c>
      <c r="D29" s="51">
        <f>IF(A29="","",N(Categories!D26))</f>
        <v/>
      </c>
      <c r="E29" s="51">
        <f>IF(A29="","",IF(B29="Income",1,-1)*(SUMIFS(Transactions!$E:$E,Transactions!$D:$D,A29,Transactions!$G:$G,RptMonth)+IF(A29="Uncategorized",SUMIFS(Transactions!$E:$E,Transactions!$D:$D,"",Transactions!$G:$G,RptMonth),0)))</f>
        <v/>
      </c>
      <c r="F29" s="51">
        <f>IF(OR(A29="",B29="Transfer"),"",IF(B29="Income",E29-D29,D29-E29))</f>
        <v/>
      </c>
      <c r="G29" s="54">
        <f>IF(OR(A29="",B29="Transfer",N(D29)=0),"",E29/D29)</f>
        <v/>
      </c>
      <c r="H29" s="51">
        <f>IF(OR(A29="",B29="Transfer"),"",D29*MONTH(RptMonth))</f>
        <v/>
      </c>
      <c r="I29" s="51">
        <f>IF(A29="","",IF(B29="Income",1,-1)*(SUMIFS(Transactions!$E:$E,Transactions!$D:$D,A29,Transactions!$G:$G,"&gt;="&amp;YTDStart,Transactions!$G:$G,"&lt;="&amp;RptMonth)+IF(A29="Uncategorized",SUMIFS(Transactions!$E:$E,Transactions!$D:$D,"",Transactions!$G:$G,"&gt;="&amp;YTDStart,Transactions!$G:$G,"&lt;="&amp;RptMonth),0)))</f>
        <v/>
      </c>
      <c r="J29" s="51">
        <f>IF(OR(A29="",B29="Transfer"),"",IF(B29="Income",I29-H29,H29-I29))</f>
        <v/>
      </c>
      <c r="K29" s="51">
        <f>IF(A29="","",IF(B29="Income",1,-1)*(SUMIFS(Transactions!$E:$E,Transactions!$D:$D,A29,Transactions!$G:$G,"&gt;="&amp;EDATE(RptMonth,-12),Transactions!$G:$G,"&lt;"&amp;RptMonth)+IF(A29="Uncategorized",SUMIFS(Transactions!$E:$E,Transactions!$D:$D,"",Transactions!$G:$G,"&gt;="&amp;EDATE(RptMonth,-12),Transactions!$G:$G,"&lt;"&amp;RptMonth),0))/MAX(1,COUNTIF(Dashboard!$C$26:$C$37,"&gt;0")))</f>
        <v/>
      </c>
    </row>
    <row r="30">
      <c r="A30" s="53">
        <f>IF(Categories!A27="","",Categories!A27)</f>
        <v/>
      </c>
      <c r="B30" s="53">
        <f>IF(A30="","",IF(Categories!B27="","Expense",Categories!B27))</f>
        <v/>
      </c>
      <c r="C30" s="53">
        <f>IF(A30="","",IF(Categories!C27="","",Categories!C27))</f>
        <v/>
      </c>
      <c r="D30" s="51">
        <f>IF(A30="","",N(Categories!D27))</f>
        <v/>
      </c>
      <c r="E30" s="51">
        <f>IF(A30="","",IF(B30="Income",1,-1)*(SUMIFS(Transactions!$E:$E,Transactions!$D:$D,A30,Transactions!$G:$G,RptMonth)+IF(A30="Uncategorized",SUMIFS(Transactions!$E:$E,Transactions!$D:$D,"",Transactions!$G:$G,RptMonth),0)))</f>
        <v/>
      </c>
      <c r="F30" s="51">
        <f>IF(OR(A30="",B30="Transfer"),"",IF(B30="Income",E30-D30,D30-E30))</f>
        <v/>
      </c>
      <c r="G30" s="54">
        <f>IF(OR(A30="",B30="Transfer",N(D30)=0),"",E30/D30)</f>
        <v/>
      </c>
      <c r="H30" s="51">
        <f>IF(OR(A30="",B30="Transfer"),"",D30*MONTH(RptMonth))</f>
        <v/>
      </c>
      <c r="I30" s="51">
        <f>IF(A30="","",IF(B30="Income",1,-1)*(SUMIFS(Transactions!$E:$E,Transactions!$D:$D,A30,Transactions!$G:$G,"&gt;="&amp;YTDStart,Transactions!$G:$G,"&lt;="&amp;RptMonth)+IF(A30="Uncategorized",SUMIFS(Transactions!$E:$E,Transactions!$D:$D,"",Transactions!$G:$G,"&gt;="&amp;YTDStart,Transactions!$G:$G,"&lt;="&amp;RptMonth),0)))</f>
        <v/>
      </c>
      <c r="J30" s="51">
        <f>IF(OR(A30="",B30="Transfer"),"",IF(B30="Income",I30-H30,H30-I30))</f>
        <v/>
      </c>
      <c r="K30" s="51">
        <f>IF(A30="","",IF(B30="Income",1,-1)*(SUMIFS(Transactions!$E:$E,Transactions!$D:$D,A30,Transactions!$G:$G,"&gt;="&amp;EDATE(RptMonth,-12),Transactions!$G:$G,"&lt;"&amp;RptMonth)+IF(A30="Uncategorized",SUMIFS(Transactions!$E:$E,Transactions!$D:$D,"",Transactions!$G:$G,"&gt;="&amp;EDATE(RptMonth,-12),Transactions!$G:$G,"&lt;"&amp;RptMonth),0))/MAX(1,COUNTIF(Dashboard!$C$26:$C$37,"&gt;0")))</f>
        <v/>
      </c>
    </row>
    <row r="31">
      <c r="A31" s="53">
        <f>IF(Categories!A28="","",Categories!A28)</f>
        <v/>
      </c>
      <c r="B31" s="53">
        <f>IF(A31="","",IF(Categories!B28="","Expense",Categories!B28))</f>
        <v/>
      </c>
      <c r="C31" s="53">
        <f>IF(A31="","",IF(Categories!C28="","",Categories!C28))</f>
        <v/>
      </c>
      <c r="D31" s="51">
        <f>IF(A31="","",N(Categories!D28))</f>
        <v/>
      </c>
      <c r="E31" s="51">
        <f>IF(A31="","",IF(B31="Income",1,-1)*(SUMIFS(Transactions!$E:$E,Transactions!$D:$D,A31,Transactions!$G:$G,RptMonth)+IF(A31="Uncategorized",SUMIFS(Transactions!$E:$E,Transactions!$D:$D,"",Transactions!$G:$G,RptMonth),0)))</f>
        <v/>
      </c>
      <c r="F31" s="51">
        <f>IF(OR(A31="",B31="Transfer"),"",IF(B31="Income",E31-D31,D31-E31))</f>
        <v/>
      </c>
      <c r="G31" s="54">
        <f>IF(OR(A31="",B31="Transfer",N(D31)=0),"",E31/D31)</f>
        <v/>
      </c>
      <c r="H31" s="51">
        <f>IF(OR(A31="",B31="Transfer"),"",D31*MONTH(RptMonth))</f>
        <v/>
      </c>
      <c r="I31" s="51">
        <f>IF(A31="","",IF(B31="Income",1,-1)*(SUMIFS(Transactions!$E:$E,Transactions!$D:$D,A31,Transactions!$G:$G,"&gt;="&amp;YTDStart,Transactions!$G:$G,"&lt;="&amp;RptMonth)+IF(A31="Uncategorized",SUMIFS(Transactions!$E:$E,Transactions!$D:$D,"",Transactions!$G:$G,"&gt;="&amp;YTDStart,Transactions!$G:$G,"&lt;="&amp;RptMonth),0)))</f>
        <v/>
      </c>
      <c r="J31" s="51">
        <f>IF(OR(A31="",B31="Transfer"),"",IF(B31="Income",I31-H31,H31-I31))</f>
        <v/>
      </c>
      <c r="K31" s="51">
        <f>IF(A31="","",IF(B31="Income",1,-1)*(SUMIFS(Transactions!$E:$E,Transactions!$D:$D,A31,Transactions!$G:$G,"&gt;="&amp;EDATE(RptMonth,-12),Transactions!$G:$G,"&lt;"&amp;RptMonth)+IF(A31="Uncategorized",SUMIFS(Transactions!$E:$E,Transactions!$D:$D,"",Transactions!$G:$G,"&gt;="&amp;EDATE(RptMonth,-12),Transactions!$G:$G,"&lt;"&amp;RptMonth),0))/MAX(1,COUNTIF(Dashboard!$C$26:$C$37,"&gt;0")))</f>
        <v/>
      </c>
    </row>
    <row r="32">
      <c r="A32" s="53">
        <f>IF(Categories!A29="","",Categories!A29)</f>
        <v/>
      </c>
      <c r="B32" s="53">
        <f>IF(A32="","",IF(Categories!B29="","Expense",Categories!B29))</f>
        <v/>
      </c>
      <c r="C32" s="53">
        <f>IF(A32="","",IF(Categories!C29="","",Categories!C29))</f>
        <v/>
      </c>
      <c r="D32" s="51">
        <f>IF(A32="","",N(Categories!D29))</f>
        <v/>
      </c>
      <c r="E32" s="51">
        <f>IF(A32="","",IF(B32="Income",1,-1)*(SUMIFS(Transactions!$E:$E,Transactions!$D:$D,A32,Transactions!$G:$G,RptMonth)+IF(A32="Uncategorized",SUMIFS(Transactions!$E:$E,Transactions!$D:$D,"",Transactions!$G:$G,RptMonth),0)))</f>
        <v/>
      </c>
      <c r="F32" s="51">
        <f>IF(OR(A32="",B32="Transfer"),"",IF(B32="Income",E32-D32,D32-E32))</f>
        <v/>
      </c>
      <c r="G32" s="54">
        <f>IF(OR(A32="",B32="Transfer",N(D32)=0),"",E32/D32)</f>
        <v/>
      </c>
      <c r="H32" s="51">
        <f>IF(OR(A32="",B32="Transfer"),"",D32*MONTH(RptMonth))</f>
        <v/>
      </c>
      <c r="I32" s="51">
        <f>IF(A32="","",IF(B32="Income",1,-1)*(SUMIFS(Transactions!$E:$E,Transactions!$D:$D,A32,Transactions!$G:$G,"&gt;="&amp;YTDStart,Transactions!$G:$G,"&lt;="&amp;RptMonth)+IF(A32="Uncategorized",SUMIFS(Transactions!$E:$E,Transactions!$D:$D,"",Transactions!$G:$G,"&gt;="&amp;YTDStart,Transactions!$G:$G,"&lt;="&amp;RptMonth),0)))</f>
        <v/>
      </c>
      <c r="J32" s="51">
        <f>IF(OR(A32="",B32="Transfer"),"",IF(B32="Income",I32-H32,H32-I32))</f>
        <v/>
      </c>
      <c r="K32" s="51">
        <f>IF(A32="","",IF(B32="Income",1,-1)*(SUMIFS(Transactions!$E:$E,Transactions!$D:$D,A32,Transactions!$G:$G,"&gt;="&amp;EDATE(RptMonth,-12),Transactions!$G:$G,"&lt;"&amp;RptMonth)+IF(A32="Uncategorized",SUMIFS(Transactions!$E:$E,Transactions!$D:$D,"",Transactions!$G:$G,"&gt;="&amp;EDATE(RptMonth,-12),Transactions!$G:$G,"&lt;"&amp;RptMonth),0))/MAX(1,COUNTIF(Dashboard!$C$26:$C$37,"&gt;0")))</f>
        <v/>
      </c>
    </row>
    <row r="33">
      <c r="A33" s="53">
        <f>IF(Categories!A30="","",Categories!A30)</f>
        <v/>
      </c>
      <c r="B33" s="53">
        <f>IF(A33="","",IF(Categories!B30="","Expense",Categories!B30))</f>
        <v/>
      </c>
      <c r="C33" s="53">
        <f>IF(A33="","",IF(Categories!C30="","",Categories!C30))</f>
        <v/>
      </c>
      <c r="D33" s="51">
        <f>IF(A33="","",N(Categories!D30))</f>
        <v/>
      </c>
      <c r="E33" s="51">
        <f>IF(A33="","",IF(B33="Income",1,-1)*(SUMIFS(Transactions!$E:$E,Transactions!$D:$D,A33,Transactions!$G:$G,RptMonth)+IF(A33="Uncategorized",SUMIFS(Transactions!$E:$E,Transactions!$D:$D,"",Transactions!$G:$G,RptMonth),0)))</f>
        <v/>
      </c>
      <c r="F33" s="51">
        <f>IF(OR(A33="",B33="Transfer"),"",IF(B33="Income",E33-D33,D33-E33))</f>
        <v/>
      </c>
      <c r="G33" s="54">
        <f>IF(OR(A33="",B33="Transfer",N(D33)=0),"",E33/D33)</f>
        <v/>
      </c>
      <c r="H33" s="51">
        <f>IF(OR(A33="",B33="Transfer"),"",D33*MONTH(RptMonth))</f>
        <v/>
      </c>
      <c r="I33" s="51">
        <f>IF(A33="","",IF(B33="Income",1,-1)*(SUMIFS(Transactions!$E:$E,Transactions!$D:$D,A33,Transactions!$G:$G,"&gt;="&amp;YTDStart,Transactions!$G:$G,"&lt;="&amp;RptMonth)+IF(A33="Uncategorized",SUMIFS(Transactions!$E:$E,Transactions!$D:$D,"",Transactions!$G:$G,"&gt;="&amp;YTDStart,Transactions!$G:$G,"&lt;="&amp;RptMonth),0)))</f>
        <v/>
      </c>
      <c r="J33" s="51">
        <f>IF(OR(A33="",B33="Transfer"),"",IF(B33="Income",I33-H33,H33-I33))</f>
        <v/>
      </c>
      <c r="K33" s="51">
        <f>IF(A33="","",IF(B33="Income",1,-1)*(SUMIFS(Transactions!$E:$E,Transactions!$D:$D,A33,Transactions!$G:$G,"&gt;="&amp;EDATE(RptMonth,-12),Transactions!$G:$G,"&lt;"&amp;RptMonth)+IF(A33="Uncategorized",SUMIFS(Transactions!$E:$E,Transactions!$D:$D,"",Transactions!$G:$G,"&gt;="&amp;EDATE(RptMonth,-12),Transactions!$G:$G,"&lt;"&amp;RptMonth),0))/MAX(1,COUNTIF(Dashboard!$C$26:$C$37,"&gt;0")))</f>
        <v/>
      </c>
    </row>
    <row r="34">
      <c r="A34" s="53">
        <f>IF(Categories!A31="","",Categories!A31)</f>
        <v/>
      </c>
      <c r="B34" s="53">
        <f>IF(A34="","",IF(Categories!B31="","Expense",Categories!B31))</f>
        <v/>
      </c>
      <c r="C34" s="53">
        <f>IF(A34="","",IF(Categories!C31="","",Categories!C31))</f>
        <v/>
      </c>
      <c r="D34" s="51">
        <f>IF(A34="","",N(Categories!D31))</f>
        <v/>
      </c>
      <c r="E34" s="51">
        <f>IF(A34="","",IF(B34="Income",1,-1)*(SUMIFS(Transactions!$E:$E,Transactions!$D:$D,A34,Transactions!$G:$G,RptMonth)+IF(A34="Uncategorized",SUMIFS(Transactions!$E:$E,Transactions!$D:$D,"",Transactions!$G:$G,RptMonth),0)))</f>
        <v/>
      </c>
      <c r="F34" s="51">
        <f>IF(OR(A34="",B34="Transfer"),"",IF(B34="Income",E34-D34,D34-E34))</f>
        <v/>
      </c>
      <c r="G34" s="54">
        <f>IF(OR(A34="",B34="Transfer",N(D34)=0),"",E34/D34)</f>
        <v/>
      </c>
      <c r="H34" s="51">
        <f>IF(OR(A34="",B34="Transfer"),"",D34*MONTH(RptMonth))</f>
        <v/>
      </c>
      <c r="I34" s="51">
        <f>IF(A34="","",IF(B34="Income",1,-1)*(SUMIFS(Transactions!$E:$E,Transactions!$D:$D,A34,Transactions!$G:$G,"&gt;="&amp;YTDStart,Transactions!$G:$G,"&lt;="&amp;RptMonth)+IF(A34="Uncategorized",SUMIFS(Transactions!$E:$E,Transactions!$D:$D,"",Transactions!$G:$G,"&gt;="&amp;YTDStart,Transactions!$G:$G,"&lt;="&amp;RptMonth),0)))</f>
        <v/>
      </c>
      <c r="J34" s="51">
        <f>IF(OR(A34="",B34="Transfer"),"",IF(B34="Income",I34-H34,H34-I34))</f>
        <v/>
      </c>
      <c r="K34" s="51">
        <f>IF(A34="","",IF(B34="Income",1,-1)*(SUMIFS(Transactions!$E:$E,Transactions!$D:$D,A34,Transactions!$G:$G,"&gt;="&amp;EDATE(RptMonth,-12),Transactions!$G:$G,"&lt;"&amp;RptMonth)+IF(A34="Uncategorized",SUMIFS(Transactions!$E:$E,Transactions!$D:$D,"",Transactions!$G:$G,"&gt;="&amp;EDATE(RptMonth,-12),Transactions!$G:$G,"&lt;"&amp;RptMonth),0))/MAX(1,COUNTIF(Dashboard!$C$26:$C$37,"&gt;0")))</f>
        <v/>
      </c>
    </row>
    <row r="35">
      <c r="A35" s="53">
        <f>IF(Categories!A32="","",Categories!A32)</f>
        <v/>
      </c>
      <c r="B35" s="53">
        <f>IF(A35="","",IF(Categories!B32="","Expense",Categories!B32))</f>
        <v/>
      </c>
      <c r="C35" s="53">
        <f>IF(A35="","",IF(Categories!C32="","",Categories!C32))</f>
        <v/>
      </c>
      <c r="D35" s="51">
        <f>IF(A35="","",N(Categories!D32))</f>
        <v/>
      </c>
      <c r="E35" s="51">
        <f>IF(A35="","",IF(B35="Income",1,-1)*(SUMIFS(Transactions!$E:$E,Transactions!$D:$D,A35,Transactions!$G:$G,RptMonth)+IF(A35="Uncategorized",SUMIFS(Transactions!$E:$E,Transactions!$D:$D,"",Transactions!$G:$G,RptMonth),0)))</f>
        <v/>
      </c>
      <c r="F35" s="51">
        <f>IF(OR(A35="",B35="Transfer"),"",IF(B35="Income",E35-D35,D35-E35))</f>
        <v/>
      </c>
      <c r="G35" s="54">
        <f>IF(OR(A35="",B35="Transfer",N(D35)=0),"",E35/D35)</f>
        <v/>
      </c>
      <c r="H35" s="51">
        <f>IF(OR(A35="",B35="Transfer"),"",D35*MONTH(RptMonth))</f>
        <v/>
      </c>
      <c r="I35" s="51">
        <f>IF(A35="","",IF(B35="Income",1,-1)*(SUMIFS(Transactions!$E:$E,Transactions!$D:$D,A35,Transactions!$G:$G,"&gt;="&amp;YTDStart,Transactions!$G:$G,"&lt;="&amp;RptMonth)+IF(A35="Uncategorized",SUMIFS(Transactions!$E:$E,Transactions!$D:$D,"",Transactions!$G:$G,"&gt;="&amp;YTDStart,Transactions!$G:$G,"&lt;="&amp;RptMonth),0)))</f>
        <v/>
      </c>
      <c r="J35" s="51">
        <f>IF(OR(A35="",B35="Transfer"),"",IF(B35="Income",I35-H35,H35-I35))</f>
        <v/>
      </c>
      <c r="K35" s="51">
        <f>IF(A35="","",IF(B35="Income",1,-1)*(SUMIFS(Transactions!$E:$E,Transactions!$D:$D,A35,Transactions!$G:$G,"&gt;="&amp;EDATE(RptMonth,-12),Transactions!$G:$G,"&lt;"&amp;RptMonth)+IF(A35="Uncategorized",SUMIFS(Transactions!$E:$E,Transactions!$D:$D,"",Transactions!$G:$G,"&gt;="&amp;EDATE(RptMonth,-12),Transactions!$G:$G,"&lt;"&amp;RptMonth),0))/MAX(1,COUNTIF(Dashboard!$C$26:$C$37,"&gt;0")))</f>
        <v/>
      </c>
    </row>
    <row r="36">
      <c r="A36" s="53">
        <f>IF(Categories!A33="","",Categories!A33)</f>
        <v/>
      </c>
      <c r="B36" s="53">
        <f>IF(A36="","",IF(Categories!B33="","Expense",Categories!B33))</f>
        <v/>
      </c>
      <c r="C36" s="53">
        <f>IF(A36="","",IF(Categories!C33="","",Categories!C33))</f>
        <v/>
      </c>
      <c r="D36" s="51">
        <f>IF(A36="","",N(Categories!D33))</f>
        <v/>
      </c>
      <c r="E36" s="51">
        <f>IF(A36="","",IF(B36="Income",1,-1)*(SUMIFS(Transactions!$E:$E,Transactions!$D:$D,A36,Transactions!$G:$G,RptMonth)+IF(A36="Uncategorized",SUMIFS(Transactions!$E:$E,Transactions!$D:$D,"",Transactions!$G:$G,RptMonth),0)))</f>
        <v/>
      </c>
      <c r="F36" s="51">
        <f>IF(OR(A36="",B36="Transfer"),"",IF(B36="Income",E36-D36,D36-E36))</f>
        <v/>
      </c>
      <c r="G36" s="54">
        <f>IF(OR(A36="",B36="Transfer",N(D36)=0),"",E36/D36)</f>
        <v/>
      </c>
      <c r="H36" s="51">
        <f>IF(OR(A36="",B36="Transfer"),"",D36*MONTH(RptMonth))</f>
        <v/>
      </c>
      <c r="I36" s="51">
        <f>IF(A36="","",IF(B36="Income",1,-1)*(SUMIFS(Transactions!$E:$E,Transactions!$D:$D,A36,Transactions!$G:$G,"&gt;="&amp;YTDStart,Transactions!$G:$G,"&lt;="&amp;RptMonth)+IF(A36="Uncategorized",SUMIFS(Transactions!$E:$E,Transactions!$D:$D,"",Transactions!$G:$G,"&gt;="&amp;YTDStart,Transactions!$G:$G,"&lt;="&amp;RptMonth),0)))</f>
        <v/>
      </c>
      <c r="J36" s="51">
        <f>IF(OR(A36="",B36="Transfer"),"",IF(B36="Income",I36-H36,H36-I36))</f>
        <v/>
      </c>
      <c r="K36" s="51">
        <f>IF(A36="","",IF(B36="Income",1,-1)*(SUMIFS(Transactions!$E:$E,Transactions!$D:$D,A36,Transactions!$G:$G,"&gt;="&amp;EDATE(RptMonth,-12),Transactions!$G:$G,"&lt;"&amp;RptMonth)+IF(A36="Uncategorized",SUMIFS(Transactions!$E:$E,Transactions!$D:$D,"",Transactions!$G:$G,"&gt;="&amp;EDATE(RptMonth,-12),Transactions!$G:$G,"&lt;"&amp;RptMonth),0))/MAX(1,COUNTIF(Dashboard!$C$26:$C$37,"&gt;0")))</f>
        <v/>
      </c>
    </row>
    <row r="37">
      <c r="A37" s="53">
        <f>IF(Categories!A34="","",Categories!A34)</f>
        <v/>
      </c>
      <c r="B37" s="53">
        <f>IF(A37="","",IF(Categories!B34="","Expense",Categories!B34))</f>
        <v/>
      </c>
      <c r="C37" s="53">
        <f>IF(A37="","",IF(Categories!C34="","",Categories!C34))</f>
        <v/>
      </c>
      <c r="D37" s="51">
        <f>IF(A37="","",N(Categories!D34))</f>
        <v/>
      </c>
      <c r="E37" s="51">
        <f>IF(A37="","",IF(B37="Income",1,-1)*(SUMIFS(Transactions!$E:$E,Transactions!$D:$D,A37,Transactions!$G:$G,RptMonth)+IF(A37="Uncategorized",SUMIFS(Transactions!$E:$E,Transactions!$D:$D,"",Transactions!$G:$G,RptMonth),0)))</f>
        <v/>
      </c>
      <c r="F37" s="51">
        <f>IF(OR(A37="",B37="Transfer"),"",IF(B37="Income",E37-D37,D37-E37))</f>
        <v/>
      </c>
      <c r="G37" s="54">
        <f>IF(OR(A37="",B37="Transfer",N(D37)=0),"",E37/D37)</f>
        <v/>
      </c>
      <c r="H37" s="51">
        <f>IF(OR(A37="",B37="Transfer"),"",D37*MONTH(RptMonth))</f>
        <v/>
      </c>
      <c r="I37" s="51">
        <f>IF(A37="","",IF(B37="Income",1,-1)*(SUMIFS(Transactions!$E:$E,Transactions!$D:$D,A37,Transactions!$G:$G,"&gt;="&amp;YTDStart,Transactions!$G:$G,"&lt;="&amp;RptMonth)+IF(A37="Uncategorized",SUMIFS(Transactions!$E:$E,Transactions!$D:$D,"",Transactions!$G:$G,"&gt;="&amp;YTDStart,Transactions!$G:$G,"&lt;="&amp;RptMonth),0)))</f>
        <v/>
      </c>
      <c r="J37" s="51">
        <f>IF(OR(A37="",B37="Transfer"),"",IF(B37="Income",I37-H37,H37-I37))</f>
        <v/>
      </c>
      <c r="K37" s="51">
        <f>IF(A37="","",IF(B37="Income",1,-1)*(SUMIFS(Transactions!$E:$E,Transactions!$D:$D,A37,Transactions!$G:$G,"&gt;="&amp;EDATE(RptMonth,-12),Transactions!$G:$G,"&lt;"&amp;RptMonth)+IF(A37="Uncategorized",SUMIFS(Transactions!$E:$E,Transactions!$D:$D,"",Transactions!$G:$G,"&gt;="&amp;EDATE(RptMonth,-12),Transactions!$G:$G,"&lt;"&amp;RptMonth),0))/MAX(1,COUNTIF(Dashboard!$C$26:$C$37,"&gt;0")))</f>
        <v/>
      </c>
    </row>
    <row r="38">
      <c r="A38" s="53">
        <f>IF(Categories!A35="","",Categories!A35)</f>
        <v/>
      </c>
      <c r="B38" s="53">
        <f>IF(A38="","",IF(Categories!B35="","Expense",Categories!B35))</f>
        <v/>
      </c>
      <c r="C38" s="53">
        <f>IF(A38="","",IF(Categories!C35="","",Categories!C35))</f>
        <v/>
      </c>
      <c r="D38" s="51">
        <f>IF(A38="","",N(Categories!D35))</f>
        <v/>
      </c>
      <c r="E38" s="51">
        <f>IF(A38="","",IF(B38="Income",1,-1)*(SUMIFS(Transactions!$E:$E,Transactions!$D:$D,A38,Transactions!$G:$G,RptMonth)+IF(A38="Uncategorized",SUMIFS(Transactions!$E:$E,Transactions!$D:$D,"",Transactions!$G:$G,RptMonth),0)))</f>
        <v/>
      </c>
      <c r="F38" s="51">
        <f>IF(OR(A38="",B38="Transfer"),"",IF(B38="Income",E38-D38,D38-E38))</f>
        <v/>
      </c>
      <c r="G38" s="54">
        <f>IF(OR(A38="",B38="Transfer",N(D38)=0),"",E38/D38)</f>
        <v/>
      </c>
      <c r="H38" s="51">
        <f>IF(OR(A38="",B38="Transfer"),"",D38*MONTH(RptMonth))</f>
        <v/>
      </c>
      <c r="I38" s="51">
        <f>IF(A38="","",IF(B38="Income",1,-1)*(SUMIFS(Transactions!$E:$E,Transactions!$D:$D,A38,Transactions!$G:$G,"&gt;="&amp;YTDStart,Transactions!$G:$G,"&lt;="&amp;RptMonth)+IF(A38="Uncategorized",SUMIFS(Transactions!$E:$E,Transactions!$D:$D,"",Transactions!$G:$G,"&gt;="&amp;YTDStart,Transactions!$G:$G,"&lt;="&amp;RptMonth),0)))</f>
        <v/>
      </c>
      <c r="J38" s="51">
        <f>IF(OR(A38="",B38="Transfer"),"",IF(B38="Income",I38-H38,H38-I38))</f>
        <v/>
      </c>
      <c r="K38" s="51">
        <f>IF(A38="","",IF(B38="Income",1,-1)*(SUMIFS(Transactions!$E:$E,Transactions!$D:$D,A38,Transactions!$G:$G,"&gt;="&amp;EDATE(RptMonth,-12),Transactions!$G:$G,"&lt;"&amp;RptMonth)+IF(A38="Uncategorized",SUMIFS(Transactions!$E:$E,Transactions!$D:$D,"",Transactions!$G:$G,"&gt;="&amp;EDATE(RptMonth,-12),Transactions!$G:$G,"&lt;"&amp;RptMonth),0))/MAX(1,COUNTIF(Dashboard!$C$26:$C$37,"&gt;0")))</f>
        <v/>
      </c>
    </row>
    <row r="39">
      <c r="A39" s="53">
        <f>IF(Categories!A36="","",Categories!A36)</f>
        <v/>
      </c>
      <c r="B39" s="53">
        <f>IF(A39="","",IF(Categories!B36="","Expense",Categories!B36))</f>
        <v/>
      </c>
      <c r="C39" s="53">
        <f>IF(A39="","",IF(Categories!C36="","",Categories!C36))</f>
        <v/>
      </c>
      <c r="D39" s="51">
        <f>IF(A39="","",N(Categories!D36))</f>
        <v/>
      </c>
      <c r="E39" s="51">
        <f>IF(A39="","",IF(B39="Income",1,-1)*(SUMIFS(Transactions!$E:$E,Transactions!$D:$D,A39,Transactions!$G:$G,RptMonth)+IF(A39="Uncategorized",SUMIFS(Transactions!$E:$E,Transactions!$D:$D,"",Transactions!$G:$G,RptMonth),0)))</f>
        <v/>
      </c>
      <c r="F39" s="51">
        <f>IF(OR(A39="",B39="Transfer"),"",IF(B39="Income",E39-D39,D39-E39))</f>
        <v/>
      </c>
      <c r="G39" s="54">
        <f>IF(OR(A39="",B39="Transfer",N(D39)=0),"",E39/D39)</f>
        <v/>
      </c>
      <c r="H39" s="51">
        <f>IF(OR(A39="",B39="Transfer"),"",D39*MONTH(RptMonth))</f>
        <v/>
      </c>
      <c r="I39" s="51">
        <f>IF(A39="","",IF(B39="Income",1,-1)*(SUMIFS(Transactions!$E:$E,Transactions!$D:$D,A39,Transactions!$G:$G,"&gt;="&amp;YTDStart,Transactions!$G:$G,"&lt;="&amp;RptMonth)+IF(A39="Uncategorized",SUMIFS(Transactions!$E:$E,Transactions!$D:$D,"",Transactions!$G:$G,"&gt;="&amp;YTDStart,Transactions!$G:$G,"&lt;="&amp;RptMonth),0)))</f>
        <v/>
      </c>
      <c r="J39" s="51">
        <f>IF(OR(A39="",B39="Transfer"),"",IF(B39="Income",I39-H39,H39-I39))</f>
        <v/>
      </c>
      <c r="K39" s="51">
        <f>IF(A39="","",IF(B39="Income",1,-1)*(SUMIFS(Transactions!$E:$E,Transactions!$D:$D,A39,Transactions!$G:$G,"&gt;="&amp;EDATE(RptMonth,-12),Transactions!$G:$G,"&lt;"&amp;RptMonth)+IF(A39="Uncategorized",SUMIFS(Transactions!$E:$E,Transactions!$D:$D,"",Transactions!$G:$G,"&gt;="&amp;EDATE(RptMonth,-12),Transactions!$G:$G,"&lt;"&amp;RptMonth),0))/MAX(1,COUNTIF(Dashboard!$C$26:$C$37,"&gt;0")))</f>
        <v/>
      </c>
    </row>
    <row r="40">
      <c r="A40" s="53">
        <f>IF(Categories!A37="","",Categories!A37)</f>
        <v/>
      </c>
      <c r="B40" s="53">
        <f>IF(A40="","",IF(Categories!B37="","Expense",Categories!B37))</f>
        <v/>
      </c>
      <c r="C40" s="53">
        <f>IF(A40="","",IF(Categories!C37="","",Categories!C37))</f>
        <v/>
      </c>
      <c r="D40" s="51">
        <f>IF(A40="","",N(Categories!D37))</f>
        <v/>
      </c>
      <c r="E40" s="51">
        <f>IF(A40="","",IF(B40="Income",1,-1)*(SUMIFS(Transactions!$E:$E,Transactions!$D:$D,A40,Transactions!$G:$G,RptMonth)+IF(A40="Uncategorized",SUMIFS(Transactions!$E:$E,Transactions!$D:$D,"",Transactions!$G:$G,RptMonth),0)))</f>
        <v/>
      </c>
      <c r="F40" s="51">
        <f>IF(OR(A40="",B40="Transfer"),"",IF(B40="Income",E40-D40,D40-E40))</f>
        <v/>
      </c>
      <c r="G40" s="54">
        <f>IF(OR(A40="",B40="Transfer",N(D40)=0),"",E40/D40)</f>
        <v/>
      </c>
      <c r="H40" s="51">
        <f>IF(OR(A40="",B40="Transfer"),"",D40*MONTH(RptMonth))</f>
        <v/>
      </c>
      <c r="I40" s="51">
        <f>IF(A40="","",IF(B40="Income",1,-1)*(SUMIFS(Transactions!$E:$E,Transactions!$D:$D,A40,Transactions!$G:$G,"&gt;="&amp;YTDStart,Transactions!$G:$G,"&lt;="&amp;RptMonth)+IF(A40="Uncategorized",SUMIFS(Transactions!$E:$E,Transactions!$D:$D,"",Transactions!$G:$G,"&gt;="&amp;YTDStart,Transactions!$G:$G,"&lt;="&amp;RptMonth),0)))</f>
        <v/>
      </c>
      <c r="J40" s="51">
        <f>IF(OR(A40="",B40="Transfer"),"",IF(B40="Income",I40-H40,H40-I40))</f>
        <v/>
      </c>
      <c r="K40" s="51">
        <f>IF(A40="","",IF(B40="Income",1,-1)*(SUMIFS(Transactions!$E:$E,Transactions!$D:$D,A40,Transactions!$G:$G,"&gt;="&amp;EDATE(RptMonth,-12),Transactions!$G:$G,"&lt;"&amp;RptMonth)+IF(A40="Uncategorized",SUMIFS(Transactions!$E:$E,Transactions!$D:$D,"",Transactions!$G:$G,"&gt;="&amp;EDATE(RptMonth,-12),Transactions!$G:$G,"&lt;"&amp;RptMonth),0))/MAX(1,COUNTIF(Dashboard!$C$26:$C$37,"&gt;0")))</f>
        <v/>
      </c>
    </row>
    <row r="41">
      <c r="A41" s="53">
        <f>IF(Categories!A38="","",Categories!A38)</f>
        <v/>
      </c>
      <c r="B41" s="53">
        <f>IF(A41="","",IF(Categories!B38="","Expense",Categories!B38))</f>
        <v/>
      </c>
      <c r="C41" s="53">
        <f>IF(A41="","",IF(Categories!C38="","",Categories!C38))</f>
        <v/>
      </c>
      <c r="D41" s="51">
        <f>IF(A41="","",N(Categories!D38))</f>
        <v/>
      </c>
      <c r="E41" s="51">
        <f>IF(A41="","",IF(B41="Income",1,-1)*(SUMIFS(Transactions!$E:$E,Transactions!$D:$D,A41,Transactions!$G:$G,RptMonth)+IF(A41="Uncategorized",SUMIFS(Transactions!$E:$E,Transactions!$D:$D,"",Transactions!$G:$G,RptMonth),0)))</f>
        <v/>
      </c>
      <c r="F41" s="51">
        <f>IF(OR(A41="",B41="Transfer"),"",IF(B41="Income",E41-D41,D41-E41))</f>
        <v/>
      </c>
      <c r="G41" s="54">
        <f>IF(OR(A41="",B41="Transfer",N(D41)=0),"",E41/D41)</f>
        <v/>
      </c>
      <c r="H41" s="51">
        <f>IF(OR(A41="",B41="Transfer"),"",D41*MONTH(RptMonth))</f>
        <v/>
      </c>
      <c r="I41" s="51">
        <f>IF(A41="","",IF(B41="Income",1,-1)*(SUMIFS(Transactions!$E:$E,Transactions!$D:$D,A41,Transactions!$G:$G,"&gt;="&amp;YTDStart,Transactions!$G:$G,"&lt;="&amp;RptMonth)+IF(A41="Uncategorized",SUMIFS(Transactions!$E:$E,Transactions!$D:$D,"",Transactions!$G:$G,"&gt;="&amp;YTDStart,Transactions!$G:$G,"&lt;="&amp;RptMonth),0)))</f>
        <v/>
      </c>
      <c r="J41" s="51">
        <f>IF(OR(A41="",B41="Transfer"),"",IF(B41="Income",I41-H41,H41-I41))</f>
        <v/>
      </c>
      <c r="K41" s="51">
        <f>IF(A41="","",IF(B41="Income",1,-1)*(SUMIFS(Transactions!$E:$E,Transactions!$D:$D,A41,Transactions!$G:$G,"&gt;="&amp;EDATE(RptMonth,-12),Transactions!$G:$G,"&lt;"&amp;RptMonth)+IF(A41="Uncategorized",SUMIFS(Transactions!$E:$E,Transactions!$D:$D,"",Transactions!$G:$G,"&gt;="&amp;EDATE(RptMonth,-12),Transactions!$G:$G,"&lt;"&amp;RptMonth),0))/MAX(1,COUNTIF(Dashboard!$C$26:$C$37,"&gt;0")))</f>
        <v/>
      </c>
    </row>
    <row r="42">
      <c r="A42" s="53">
        <f>IF(Categories!A39="","",Categories!A39)</f>
        <v/>
      </c>
      <c r="B42" s="53">
        <f>IF(A42="","",IF(Categories!B39="","Expense",Categories!B39))</f>
        <v/>
      </c>
      <c r="C42" s="53">
        <f>IF(A42="","",IF(Categories!C39="","",Categories!C39))</f>
        <v/>
      </c>
      <c r="D42" s="51">
        <f>IF(A42="","",N(Categories!D39))</f>
        <v/>
      </c>
      <c r="E42" s="51">
        <f>IF(A42="","",IF(B42="Income",1,-1)*(SUMIFS(Transactions!$E:$E,Transactions!$D:$D,A42,Transactions!$G:$G,RptMonth)+IF(A42="Uncategorized",SUMIFS(Transactions!$E:$E,Transactions!$D:$D,"",Transactions!$G:$G,RptMonth),0)))</f>
        <v/>
      </c>
      <c r="F42" s="51">
        <f>IF(OR(A42="",B42="Transfer"),"",IF(B42="Income",E42-D42,D42-E42))</f>
        <v/>
      </c>
      <c r="G42" s="54">
        <f>IF(OR(A42="",B42="Transfer",N(D42)=0),"",E42/D42)</f>
        <v/>
      </c>
      <c r="H42" s="51">
        <f>IF(OR(A42="",B42="Transfer"),"",D42*MONTH(RptMonth))</f>
        <v/>
      </c>
      <c r="I42" s="51">
        <f>IF(A42="","",IF(B42="Income",1,-1)*(SUMIFS(Transactions!$E:$E,Transactions!$D:$D,A42,Transactions!$G:$G,"&gt;="&amp;YTDStart,Transactions!$G:$G,"&lt;="&amp;RptMonth)+IF(A42="Uncategorized",SUMIFS(Transactions!$E:$E,Transactions!$D:$D,"",Transactions!$G:$G,"&gt;="&amp;YTDStart,Transactions!$G:$G,"&lt;="&amp;RptMonth),0)))</f>
        <v/>
      </c>
      <c r="J42" s="51">
        <f>IF(OR(A42="",B42="Transfer"),"",IF(B42="Income",I42-H42,H42-I42))</f>
        <v/>
      </c>
      <c r="K42" s="51">
        <f>IF(A42="","",IF(B42="Income",1,-1)*(SUMIFS(Transactions!$E:$E,Transactions!$D:$D,A42,Transactions!$G:$G,"&gt;="&amp;EDATE(RptMonth,-12),Transactions!$G:$G,"&lt;"&amp;RptMonth)+IF(A42="Uncategorized",SUMIFS(Transactions!$E:$E,Transactions!$D:$D,"",Transactions!$G:$G,"&gt;="&amp;EDATE(RptMonth,-12),Transactions!$G:$G,"&lt;"&amp;RptMonth),0))/MAX(1,COUNTIF(Dashboard!$C$26:$C$37,"&gt;0")))</f>
        <v/>
      </c>
    </row>
    <row r="43">
      <c r="A43" s="53">
        <f>IF(Categories!A40="","",Categories!A40)</f>
        <v/>
      </c>
      <c r="B43" s="53">
        <f>IF(A43="","",IF(Categories!B40="","Expense",Categories!B40))</f>
        <v/>
      </c>
      <c r="C43" s="53">
        <f>IF(A43="","",IF(Categories!C40="","",Categories!C40))</f>
        <v/>
      </c>
      <c r="D43" s="51">
        <f>IF(A43="","",N(Categories!D40))</f>
        <v/>
      </c>
      <c r="E43" s="51">
        <f>IF(A43="","",IF(B43="Income",1,-1)*(SUMIFS(Transactions!$E:$E,Transactions!$D:$D,A43,Transactions!$G:$G,RptMonth)+IF(A43="Uncategorized",SUMIFS(Transactions!$E:$E,Transactions!$D:$D,"",Transactions!$G:$G,RptMonth),0)))</f>
        <v/>
      </c>
      <c r="F43" s="51">
        <f>IF(OR(A43="",B43="Transfer"),"",IF(B43="Income",E43-D43,D43-E43))</f>
        <v/>
      </c>
      <c r="G43" s="54">
        <f>IF(OR(A43="",B43="Transfer",N(D43)=0),"",E43/D43)</f>
        <v/>
      </c>
      <c r="H43" s="51">
        <f>IF(OR(A43="",B43="Transfer"),"",D43*MONTH(RptMonth))</f>
        <v/>
      </c>
      <c r="I43" s="51">
        <f>IF(A43="","",IF(B43="Income",1,-1)*(SUMIFS(Transactions!$E:$E,Transactions!$D:$D,A43,Transactions!$G:$G,"&gt;="&amp;YTDStart,Transactions!$G:$G,"&lt;="&amp;RptMonth)+IF(A43="Uncategorized",SUMIFS(Transactions!$E:$E,Transactions!$D:$D,"",Transactions!$G:$G,"&gt;="&amp;YTDStart,Transactions!$G:$G,"&lt;="&amp;RptMonth),0)))</f>
        <v/>
      </c>
      <c r="J43" s="51">
        <f>IF(OR(A43="",B43="Transfer"),"",IF(B43="Income",I43-H43,H43-I43))</f>
        <v/>
      </c>
      <c r="K43" s="51">
        <f>IF(A43="","",IF(B43="Income",1,-1)*(SUMIFS(Transactions!$E:$E,Transactions!$D:$D,A43,Transactions!$G:$G,"&gt;="&amp;EDATE(RptMonth,-12),Transactions!$G:$G,"&lt;"&amp;RptMonth)+IF(A43="Uncategorized",SUMIFS(Transactions!$E:$E,Transactions!$D:$D,"",Transactions!$G:$G,"&gt;="&amp;EDATE(RptMonth,-12),Transactions!$G:$G,"&lt;"&amp;RptMonth),0))/MAX(1,COUNTIF(Dashboard!$C$26:$C$37,"&gt;0")))</f>
        <v/>
      </c>
    </row>
    <row r="44">
      <c r="A44" s="53">
        <f>IF(Categories!A41="","",Categories!A41)</f>
        <v/>
      </c>
      <c r="B44" s="53">
        <f>IF(A44="","",IF(Categories!B41="","Expense",Categories!B41))</f>
        <v/>
      </c>
      <c r="C44" s="53">
        <f>IF(A44="","",IF(Categories!C41="","",Categories!C41))</f>
        <v/>
      </c>
      <c r="D44" s="51">
        <f>IF(A44="","",N(Categories!D41))</f>
        <v/>
      </c>
      <c r="E44" s="51">
        <f>IF(A44="","",IF(B44="Income",1,-1)*(SUMIFS(Transactions!$E:$E,Transactions!$D:$D,A44,Transactions!$G:$G,RptMonth)+IF(A44="Uncategorized",SUMIFS(Transactions!$E:$E,Transactions!$D:$D,"",Transactions!$G:$G,RptMonth),0)))</f>
        <v/>
      </c>
      <c r="F44" s="51">
        <f>IF(OR(A44="",B44="Transfer"),"",IF(B44="Income",E44-D44,D44-E44))</f>
        <v/>
      </c>
      <c r="G44" s="54">
        <f>IF(OR(A44="",B44="Transfer",N(D44)=0),"",E44/D44)</f>
        <v/>
      </c>
      <c r="H44" s="51">
        <f>IF(OR(A44="",B44="Transfer"),"",D44*MONTH(RptMonth))</f>
        <v/>
      </c>
      <c r="I44" s="51">
        <f>IF(A44="","",IF(B44="Income",1,-1)*(SUMIFS(Transactions!$E:$E,Transactions!$D:$D,A44,Transactions!$G:$G,"&gt;="&amp;YTDStart,Transactions!$G:$G,"&lt;="&amp;RptMonth)+IF(A44="Uncategorized",SUMIFS(Transactions!$E:$E,Transactions!$D:$D,"",Transactions!$G:$G,"&gt;="&amp;YTDStart,Transactions!$G:$G,"&lt;="&amp;RptMonth),0)))</f>
        <v/>
      </c>
      <c r="J44" s="51">
        <f>IF(OR(A44="",B44="Transfer"),"",IF(B44="Income",I44-H44,H44-I44))</f>
        <v/>
      </c>
      <c r="K44" s="51">
        <f>IF(A44="","",IF(B44="Income",1,-1)*(SUMIFS(Transactions!$E:$E,Transactions!$D:$D,A44,Transactions!$G:$G,"&gt;="&amp;EDATE(RptMonth,-12),Transactions!$G:$G,"&lt;"&amp;RptMonth)+IF(A44="Uncategorized",SUMIFS(Transactions!$E:$E,Transactions!$D:$D,"",Transactions!$G:$G,"&gt;="&amp;EDATE(RptMonth,-12),Transactions!$G:$G,"&lt;"&amp;RptMonth),0))/MAX(1,COUNTIF(Dashboard!$C$26:$C$37,"&gt;0")))</f>
        <v/>
      </c>
    </row>
    <row r="45">
      <c r="A45" s="53">
        <f>IF(Categories!A42="","",Categories!A42)</f>
        <v/>
      </c>
      <c r="B45" s="53">
        <f>IF(A45="","",IF(Categories!B42="","Expense",Categories!B42))</f>
        <v/>
      </c>
      <c r="C45" s="53">
        <f>IF(A45="","",IF(Categories!C42="","",Categories!C42))</f>
        <v/>
      </c>
      <c r="D45" s="51">
        <f>IF(A45="","",N(Categories!D42))</f>
        <v/>
      </c>
      <c r="E45" s="51">
        <f>IF(A45="","",IF(B45="Income",1,-1)*(SUMIFS(Transactions!$E:$E,Transactions!$D:$D,A45,Transactions!$G:$G,RptMonth)+IF(A45="Uncategorized",SUMIFS(Transactions!$E:$E,Transactions!$D:$D,"",Transactions!$G:$G,RptMonth),0)))</f>
        <v/>
      </c>
      <c r="F45" s="51">
        <f>IF(OR(A45="",B45="Transfer"),"",IF(B45="Income",E45-D45,D45-E45))</f>
        <v/>
      </c>
      <c r="G45" s="54">
        <f>IF(OR(A45="",B45="Transfer",N(D45)=0),"",E45/D45)</f>
        <v/>
      </c>
      <c r="H45" s="51">
        <f>IF(OR(A45="",B45="Transfer"),"",D45*MONTH(RptMonth))</f>
        <v/>
      </c>
      <c r="I45" s="51">
        <f>IF(A45="","",IF(B45="Income",1,-1)*(SUMIFS(Transactions!$E:$E,Transactions!$D:$D,A45,Transactions!$G:$G,"&gt;="&amp;YTDStart,Transactions!$G:$G,"&lt;="&amp;RptMonth)+IF(A45="Uncategorized",SUMIFS(Transactions!$E:$E,Transactions!$D:$D,"",Transactions!$G:$G,"&gt;="&amp;YTDStart,Transactions!$G:$G,"&lt;="&amp;RptMonth),0)))</f>
        <v/>
      </c>
      <c r="J45" s="51">
        <f>IF(OR(A45="",B45="Transfer"),"",IF(B45="Income",I45-H45,H45-I45))</f>
        <v/>
      </c>
      <c r="K45" s="51">
        <f>IF(A45="","",IF(B45="Income",1,-1)*(SUMIFS(Transactions!$E:$E,Transactions!$D:$D,A45,Transactions!$G:$G,"&gt;="&amp;EDATE(RptMonth,-12),Transactions!$G:$G,"&lt;"&amp;RptMonth)+IF(A45="Uncategorized",SUMIFS(Transactions!$E:$E,Transactions!$D:$D,"",Transactions!$G:$G,"&gt;="&amp;EDATE(RptMonth,-12),Transactions!$G:$G,"&lt;"&amp;RptMonth),0))/MAX(1,COUNTIF(Dashboard!$C$26:$C$37,"&gt;0")))</f>
        <v/>
      </c>
    </row>
    <row r="46">
      <c r="A46" s="53">
        <f>IF(Categories!A43="","",Categories!A43)</f>
        <v/>
      </c>
      <c r="B46" s="53">
        <f>IF(A46="","",IF(Categories!B43="","Expense",Categories!B43))</f>
        <v/>
      </c>
      <c r="C46" s="53">
        <f>IF(A46="","",IF(Categories!C43="","",Categories!C43))</f>
        <v/>
      </c>
      <c r="D46" s="51">
        <f>IF(A46="","",N(Categories!D43))</f>
        <v/>
      </c>
      <c r="E46" s="51">
        <f>IF(A46="","",IF(B46="Income",1,-1)*(SUMIFS(Transactions!$E:$E,Transactions!$D:$D,A46,Transactions!$G:$G,RptMonth)+IF(A46="Uncategorized",SUMIFS(Transactions!$E:$E,Transactions!$D:$D,"",Transactions!$G:$G,RptMonth),0)))</f>
        <v/>
      </c>
      <c r="F46" s="51">
        <f>IF(OR(A46="",B46="Transfer"),"",IF(B46="Income",E46-D46,D46-E46))</f>
        <v/>
      </c>
      <c r="G46" s="54">
        <f>IF(OR(A46="",B46="Transfer",N(D46)=0),"",E46/D46)</f>
        <v/>
      </c>
      <c r="H46" s="51">
        <f>IF(OR(A46="",B46="Transfer"),"",D46*MONTH(RptMonth))</f>
        <v/>
      </c>
      <c r="I46" s="51">
        <f>IF(A46="","",IF(B46="Income",1,-1)*(SUMIFS(Transactions!$E:$E,Transactions!$D:$D,A46,Transactions!$G:$G,"&gt;="&amp;YTDStart,Transactions!$G:$G,"&lt;="&amp;RptMonth)+IF(A46="Uncategorized",SUMIFS(Transactions!$E:$E,Transactions!$D:$D,"",Transactions!$G:$G,"&gt;="&amp;YTDStart,Transactions!$G:$G,"&lt;="&amp;RptMonth),0)))</f>
        <v/>
      </c>
      <c r="J46" s="51">
        <f>IF(OR(A46="",B46="Transfer"),"",IF(B46="Income",I46-H46,H46-I46))</f>
        <v/>
      </c>
      <c r="K46" s="51">
        <f>IF(A46="","",IF(B46="Income",1,-1)*(SUMIFS(Transactions!$E:$E,Transactions!$D:$D,A46,Transactions!$G:$G,"&gt;="&amp;EDATE(RptMonth,-12),Transactions!$G:$G,"&lt;"&amp;RptMonth)+IF(A46="Uncategorized",SUMIFS(Transactions!$E:$E,Transactions!$D:$D,"",Transactions!$G:$G,"&gt;="&amp;EDATE(RptMonth,-12),Transactions!$G:$G,"&lt;"&amp;RptMonth),0))/MAX(1,COUNTIF(Dashboard!$C$26:$C$37,"&gt;0")))</f>
        <v/>
      </c>
    </row>
    <row r="47">
      <c r="A47" s="53">
        <f>IF(Categories!A44="","",Categories!A44)</f>
        <v/>
      </c>
      <c r="B47" s="53">
        <f>IF(A47="","",IF(Categories!B44="","Expense",Categories!B44))</f>
        <v/>
      </c>
      <c r="C47" s="53">
        <f>IF(A47="","",IF(Categories!C44="","",Categories!C44))</f>
        <v/>
      </c>
      <c r="D47" s="51">
        <f>IF(A47="","",N(Categories!D44))</f>
        <v/>
      </c>
      <c r="E47" s="51">
        <f>IF(A47="","",IF(B47="Income",1,-1)*(SUMIFS(Transactions!$E:$E,Transactions!$D:$D,A47,Transactions!$G:$G,RptMonth)+IF(A47="Uncategorized",SUMIFS(Transactions!$E:$E,Transactions!$D:$D,"",Transactions!$G:$G,RptMonth),0)))</f>
        <v/>
      </c>
      <c r="F47" s="51">
        <f>IF(OR(A47="",B47="Transfer"),"",IF(B47="Income",E47-D47,D47-E47))</f>
        <v/>
      </c>
      <c r="G47" s="54">
        <f>IF(OR(A47="",B47="Transfer",N(D47)=0),"",E47/D47)</f>
        <v/>
      </c>
      <c r="H47" s="51">
        <f>IF(OR(A47="",B47="Transfer"),"",D47*MONTH(RptMonth))</f>
        <v/>
      </c>
      <c r="I47" s="51">
        <f>IF(A47="","",IF(B47="Income",1,-1)*(SUMIFS(Transactions!$E:$E,Transactions!$D:$D,A47,Transactions!$G:$G,"&gt;="&amp;YTDStart,Transactions!$G:$G,"&lt;="&amp;RptMonth)+IF(A47="Uncategorized",SUMIFS(Transactions!$E:$E,Transactions!$D:$D,"",Transactions!$G:$G,"&gt;="&amp;YTDStart,Transactions!$G:$G,"&lt;="&amp;RptMonth),0)))</f>
        <v/>
      </c>
      <c r="J47" s="51">
        <f>IF(OR(A47="",B47="Transfer"),"",IF(B47="Income",I47-H47,H47-I47))</f>
        <v/>
      </c>
      <c r="K47" s="51">
        <f>IF(A47="","",IF(B47="Income",1,-1)*(SUMIFS(Transactions!$E:$E,Transactions!$D:$D,A47,Transactions!$G:$G,"&gt;="&amp;EDATE(RptMonth,-12),Transactions!$G:$G,"&lt;"&amp;RptMonth)+IF(A47="Uncategorized",SUMIFS(Transactions!$E:$E,Transactions!$D:$D,"",Transactions!$G:$G,"&gt;="&amp;EDATE(RptMonth,-12),Transactions!$G:$G,"&lt;"&amp;RptMonth),0))/MAX(1,COUNTIF(Dashboard!$C$26:$C$37,"&gt;0")))</f>
        <v/>
      </c>
    </row>
    <row r="48">
      <c r="A48" s="53">
        <f>IF(Categories!A45="","",Categories!A45)</f>
        <v/>
      </c>
      <c r="B48" s="53">
        <f>IF(A48="","",IF(Categories!B45="","Expense",Categories!B45))</f>
        <v/>
      </c>
      <c r="C48" s="53">
        <f>IF(A48="","",IF(Categories!C45="","",Categories!C45))</f>
        <v/>
      </c>
      <c r="D48" s="51">
        <f>IF(A48="","",N(Categories!D45))</f>
        <v/>
      </c>
      <c r="E48" s="51">
        <f>IF(A48="","",IF(B48="Income",1,-1)*(SUMIFS(Transactions!$E:$E,Transactions!$D:$D,A48,Transactions!$G:$G,RptMonth)+IF(A48="Uncategorized",SUMIFS(Transactions!$E:$E,Transactions!$D:$D,"",Transactions!$G:$G,RptMonth),0)))</f>
        <v/>
      </c>
      <c r="F48" s="51">
        <f>IF(OR(A48="",B48="Transfer"),"",IF(B48="Income",E48-D48,D48-E48))</f>
        <v/>
      </c>
      <c r="G48" s="54">
        <f>IF(OR(A48="",B48="Transfer",N(D48)=0),"",E48/D48)</f>
        <v/>
      </c>
      <c r="H48" s="51">
        <f>IF(OR(A48="",B48="Transfer"),"",D48*MONTH(RptMonth))</f>
        <v/>
      </c>
      <c r="I48" s="51">
        <f>IF(A48="","",IF(B48="Income",1,-1)*(SUMIFS(Transactions!$E:$E,Transactions!$D:$D,A48,Transactions!$G:$G,"&gt;="&amp;YTDStart,Transactions!$G:$G,"&lt;="&amp;RptMonth)+IF(A48="Uncategorized",SUMIFS(Transactions!$E:$E,Transactions!$D:$D,"",Transactions!$G:$G,"&gt;="&amp;YTDStart,Transactions!$G:$G,"&lt;="&amp;RptMonth),0)))</f>
        <v/>
      </c>
      <c r="J48" s="51">
        <f>IF(OR(A48="",B48="Transfer"),"",IF(B48="Income",I48-H48,H48-I48))</f>
        <v/>
      </c>
      <c r="K48" s="51">
        <f>IF(A48="","",IF(B48="Income",1,-1)*(SUMIFS(Transactions!$E:$E,Transactions!$D:$D,A48,Transactions!$G:$G,"&gt;="&amp;EDATE(RptMonth,-12),Transactions!$G:$G,"&lt;"&amp;RptMonth)+IF(A48="Uncategorized",SUMIFS(Transactions!$E:$E,Transactions!$D:$D,"",Transactions!$G:$G,"&gt;="&amp;EDATE(RptMonth,-12),Transactions!$G:$G,"&lt;"&amp;RptMonth),0))/MAX(1,COUNTIF(Dashboard!$C$26:$C$37,"&gt;0")))</f>
        <v/>
      </c>
    </row>
    <row r="49">
      <c r="A49" s="53">
        <f>IF(Categories!A46="","",Categories!A46)</f>
        <v/>
      </c>
      <c r="B49" s="53">
        <f>IF(A49="","",IF(Categories!B46="","Expense",Categories!B46))</f>
        <v/>
      </c>
      <c r="C49" s="53">
        <f>IF(A49="","",IF(Categories!C46="","",Categories!C46))</f>
        <v/>
      </c>
      <c r="D49" s="51">
        <f>IF(A49="","",N(Categories!D46))</f>
        <v/>
      </c>
      <c r="E49" s="51">
        <f>IF(A49="","",IF(B49="Income",1,-1)*(SUMIFS(Transactions!$E:$E,Transactions!$D:$D,A49,Transactions!$G:$G,RptMonth)+IF(A49="Uncategorized",SUMIFS(Transactions!$E:$E,Transactions!$D:$D,"",Transactions!$G:$G,RptMonth),0)))</f>
        <v/>
      </c>
      <c r="F49" s="51">
        <f>IF(OR(A49="",B49="Transfer"),"",IF(B49="Income",E49-D49,D49-E49))</f>
        <v/>
      </c>
      <c r="G49" s="54">
        <f>IF(OR(A49="",B49="Transfer",N(D49)=0),"",E49/D49)</f>
        <v/>
      </c>
      <c r="H49" s="51">
        <f>IF(OR(A49="",B49="Transfer"),"",D49*MONTH(RptMonth))</f>
        <v/>
      </c>
      <c r="I49" s="51">
        <f>IF(A49="","",IF(B49="Income",1,-1)*(SUMIFS(Transactions!$E:$E,Transactions!$D:$D,A49,Transactions!$G:$G,"&gt;="&amp;YTDStart,Transactions!$G:$G,"&lt;="&amp;RptMonth)+IF(A49="Uncategorized",SUMIFS(Transactions!$E:$E,Transactions!$D:$D,"",Transactions!$G:$G,"&gt;="&amp;YTDStart,Transactions!$G:$G,"&lt;="&amp;RptMonth),0)))</f>
        <v/>
      </c>
      <c r="J49" s="51">
        <f>IF(OR(A49="",B49="Transfer"),"",IF(B49="Income",I49-H49,H49-I49))</f>
        <v/>
      </c>
      <c r="K49" s="51">
        <f>IF(A49="","",IF(B49="Income",1,-1)*(SUMIFS(Transactions!$E:$E,Transactions!$D:$D,A49,Transactions!$G:$G,"&gt;="&amp;EDATE(RptMonth,-12),Transactions!$G:$G,"&lt;"&amp;RptMonth)+IF(A49="Uncategorized",SUMIFS(Transactions!$E:$E,Transactions!$D:$D,"",Transactions!$G:$G,"&gt;="&amp;EDATE(RptMonth,-12),Transactions!$G:$G,"&lt;"&amp;RptMonth),0))/MAX(1,COUNTIF(Dashboard!$C$26:$C$37,"&gt;0")))</f>
        <v/>
      </c>
    </row>
    <row r="50">
      <c r="A50" s="53">
        <f>IF(Categories!A47="","",Categories!A47)</f>
        <v/>
      </c>
      <c r="B50" s="53">
        <f>IF(A50="","",IF(Categories!B47="","Expense",Categories!B47))</f>
        <v/>
      </c>
      <c r="C50" s="53">
        <f>IF(A50="","",IF(Categories!C47="","",Categories!C47))</f>
        <v/>
      </c>
      <c r="D50" s="51">
        <f>IF(A50="","",N(Categories!D47))</f>
        <v/>
      </c>
      <c r="E50" s="51">
        <f>IF(A50="","",IF(B50="Income",1,-1)*(SUMIFS(Transactions!$E:$E,Transactions!$D:$D,A50,Transactions!$G:$G,RptMonth)+IF(A50="Uncategorized",SUMIFS(Transactions!$E:$E,Transactions!$D:$D,"",Transactions!$G:$G,RptMonth),0)))</f>
        <v/>
      </c>
      <c r="F50" s="51">
        <f>IF(OR(A50="",B50="Transfer"),"",IF(B50="Income",E50-D50,D50-E50))</f>
        <v/>
      </c>
      <c r="G50" s="54">
        <f>IF(OR(A50="",B50="Transfer",N(D50)=0),"",E50/D50)</f>
        <v/>
      </c>
      <c r="H50" s="51">
        <f>IF(OR(A50="",B50="Transfer"),"",D50*MONTH(RptMonth))</f>
        <v/>
      </c>
      <c r="I50" s="51">
        <f>IF(A50="","",IF(B50="Income",1,-1)*(SUMIFS(Transactions!$E:$E,Transactions!$D:$D,A50,Transactions!$G:$G,"&gt;="&amp;YTDStart,Transactions!$G:$G,"&lt;="&amp;RptMonth)+IF(A50="Uncategorized",SUMIFS(Transactions!$E:$E,Transactions!$D:$D,"",Transactions!$G:$G,"&gt;="&amp;YTDStart,Transactions!$G:$G,"&lt;="&amp;RptMonth),0)))</f>
        <v/>
      </c>
      <c r="J50" s="51">
        <f>IF(OR(A50="",B50="Transfer"),"",IF(B50="Income",I50-H50,H50-I50))</f>
        <v/>
      </c>
      <c r="K50" s="51">
        <f>IF(A50="","",IF(B50="Income",1,-1)*(SUMIFS(Transactions!$E:$E,Transactions!$D:$D,A50,Transactions!$G:$G,"&gt;="&amp;EDATE(RptMonth,-12),Transactions!$G:$G,"&lt;"&amp;RptMonth)+IF(A50="Uncategorized",SUMIFS(Transactions!$E:$E,Transactions!$D:$D,"",Transactions!$G:$G,"&gt;="&amp;EDATE(RptMonth,-12),Transactions!$G:$G,"&lt;"&amp;RptMonth),0))/MAX(1,COUNTIF(Dashboard!$C$26:$C$37,"&gt;0")))</f>
        <v/>
      </c>
    </row>
    <row r="51">
      <c r="A51" s="53">
        <f>IF(Categories!A48="","",Categories!A48)</f>
        <v/>
      </c>
      <c r="B51" s="53">
        <f>IF(A51="","",IF(Categories!B48="","Expense",Categories!B48))</f>
        <v/>
      </c>
      <c r="C51" s="53">
        <f>IF(A51="","",IF(Categories!C48="","",Categories!C48))</f>
        <v/>
      </c>
      <c r="D51" s="51">
        <f>IF(A51="","",N(Categories!D48))</f>
        <v/>
      </c>
      <c r="E51" s="51">
        <f>IF(A51="","",IF(B51="Income",1,-1)*(SUMIFS(Transactions!$E:$E,Transactions!$D:$D,A51,Transactions!$G:$G,RptMonth)+IF(A51="Uncategorized",SUMIFS(Transactions!$E:$E,Transactions!$D:$D,"",Transactions!$G:$G,RptMonth),0)))</f>
        <v/>
      </c>
      <c r="F51" s="51">
        <f>IF(OR(A51="",B51="Transfer"),"",IF(B51="Income",E51-D51,D51-E51))</f>
        <v/>
      </c>
      <c r="G51" s="54">
        <f>IF(OR(A51="",B51="Transfer",N(D51)=0),"",E51/D51)</f>
        <v/>
      </c>
      <c r="H51" s="51">
        <f>IF(OR(A51="",B51="Transfer"),"",D51*MONTH(RptMonth))</f>
        <v/>
      </c>
      <c r="I51" s="51">
        <f>IF(A51="","",IF(B51="Income",1,-1)*(SUMIFS(Transactions!$E:$E,Transactions!$D:$D,A51,Transactions!$G:$G,"&gt;="&amp;YTDStart,Transactions!$G:$G,"&lt;="&amp;RptMonth)+IF(A51="Uncategorized",SUMIFS(Transactions!$E:$E,Transactions!$D:$D,"",Transactions!$G:$G,"&gt;="&amp;YTDStart,Transactions!$G:$G,"&lt;="&amp;RptMonth),0)))</f>
        <v/>
      </c>
      <c r="J51" s="51">
        <f>IF(OR(A51="",B51="Transfer"),"",IF(B51="Income",I51-H51,H51-I51))</f>
        <v/>
      </c>
      <c r="K51" s="51">
        <f>IF(A51="","",IF(B51="Income",1,-1)*(SUMIFS(Transactions!$E:$E,Transactions!$D:$D,A51,Transactions!$G:$G,"&gt;="&amp;EDATE(RptMonth,-12),Transactions!$G:$G,"&lt;"&amp;RptMonth)+IF(A51="Uncategorized",SUMIFS(Transactions!$E:$E,Transactions!$D:$D,"",Transactions!$G:$G,"&gt;="&amp;EDATE(RptMonth,-12),Transactions!$G:$G,"&lt;"&amp;RptMonth),0))/MAX(1,COUNTIF(Dashboard!$C$26:$C$37,"&gt;0")))</f>
        <v/>
      </c>
    </row>
    <row r="52">
      <c r="A52" s="53">
        <f>IF(Categories!A49="","",Categories!A49)</f>
        <v/>
      </c>
      <c r="B52" s="53">
        <f>IF(A52="","",IF(Categories!B49="","Expense",Categories!B49))</f>
        <v/>
      </c>
      <c r="C52" s="53">
        <f>IF(A52="","",IF(Categories!C49="","",Categories!C49))</f>
        <v/>
      </c>
      <c r="D52" s="51">
        <f>IF(A52="","",N(Categories!D49))</f>
        <v/>
      </c>
      <c r="E52" s="51">
        <f>IF(A52="","",IF(B52="Income",1,-1)*(SUMIFS(Transactions!$E:$E,Transactions!$D:$D,A52,Transactions!$G:$G,RptMonth)+IF(A52="Uncategorized",SUMIFS(Transactions!$E:$E,Transactions!$D:$D,"",Transactions!$G:$G,RptMonth),0)))</f>
        <v/>
      </c>
      <c r="F52" s="51">
        <f>IF(OR(A52="",B52="Transfer"),"",IF(B52="Income",E52-D52,D52-E52))</f>
        <v/>
      </c>
      <c r="G52" s="54">
        <f>IF(OR(A52="",B52="Transfer",N(D52)=0),"",E52/D52)</f>
        <v/>
      </c>
      <c r="H52" s="51">
        <f>IF(OR(A52="",B52="Transfer"),"",D52*MONTH(RptMonth))</f>
        <v/>
      </c>
      <c r="I52" s="51">
        <f>IF(A52="","",IF(B52="Income",1,-1)*(SUMIFS(Transactions!$E:$E,Transactions!$D:$D,A52,Transactions!$G:$G,"&gt;="&amp;YTDStart,Transactions!$G:$G,"&lt;="&amp;RptMonth)+IF(A52="Uncategorized",SUMIFS(Transactions!$E:$E,Transactions!$D:$D,"",Transactions!$G:$G,"&gt;="&amp;YTDStart,Transactions!$G:$G,"&lt;="&amp;RptMonth),0)))</f>
        <v/>
      </c>
      <c r="J52" s="51">
        <f>IF(OR(A52="",B52="Transfer"),"",IF(B52="Income",I52-H52,H52-I52))</f>
        <v/>
      </c>
      <c r="K52" s="51">
        <f>IF(A52="","",IF(B52="Income",1,-1)*(SUMIFS(Transactions!$E:$E,Transactions!$D:$D,A52,Transactions!$G:$G,"&gt;="&amp;EDATE(RptMonth,-12),Transactions!$G:$G,"&lt;"&amp;RptMonth)+IF(A52="Uncategorized",SUMIFS(Transactions!$E:$E,Transactions!$D:$D,"",Transactions!$G:$G,"&gt;="&amp;EDATE(RptMonth,-12),Transactions!$G:$G,"&lt;"&amp;RptMonth),0))/MAX(1,COUNTIF(Dashboard!$C$26:$C$37,"&gt;0")))</f>
        <v/>
      </c>
    </row>
    <row r="53">
      <c r="A53" s="53">
        <f>IF(Categories!A50="","",Categories!A50)</f>
        <v/>
      </c>
      <c r="B53" s="53">
        <f>IF(A53="","",IF(Categories!B50="","Expense",Categories!B50))</f>
        <v/>
      </c>
      <c r="C53" s="53">
        <f>IF(A53="","",IF(Categories!C50="","",Categories!C50))</f>
        <v/>
      </c>
      <c r="D53" s="51">
        <f>IF(A53="","",N(Categories!D50))</f>
        <v/>
      </c>
      <c r="E53" s="51">
        <f>IF(A53="","",IF(B53="Income",1,-1)*(SUMIFS(Transactions!$E:$E,Transactions!$D:$D,A53,Transactions!$G:$G,RptMonth)+IF(A53="Uncategorized",SUMIFS(Transactions!$E:$E,Transactions!$D:$D,"",Transactions!$G:$G,RptMonth),0)))</f>
        <v/>
      </c>
      <c r="F53" s="51">
        <f>IF(OR(A53="",B53="Transfer"),"",IF(B53="Income",E53-D53,D53-E53))</f>
        <v/>
      </c>
      <c r="G53" s="54">
        <f>IF(OR(A53="",B53="Transfer",N(D53)=0),"",E53/D53)</f>
        <v/>
      </c>
      <c r="H53" s="51">
        <f>IF(OR(A53="",B53="Transfer"),"",D53*MONTH(RptMonth))</f>
        <v/>
      </c>
      <c r="I53" s="51">
        <f>IF(A53="","",IF(B53="Income",1,-1)*(SUMIFS(Transactions!$E:$E,Transactions!$D:$D,A53,Transactions!$G:$G,"&gt;="&amp;YTDStart,Transactions!$G:$G,"&lt;="&amp;RptMonth)+IF(A53="Uncategorized",SUMIFS(Transactions!$E:$E,Transactions!$D:$D,"",Transactions!$G:$G,"&gt;="&amp;YTDStart,Transactions!$G:$G,"&lt;="&amp;RptMonth),0)))</f>
        <v/>
      </c>
      <c r="J53" s="51">
        <f>IF(OR(A53="",B53="Transfer"),"",IF(B53="Income",I53-H53,H53-I53))</f>
        <v/>
      </c>
      <c r="K53" s="51">
        <f>IF(A53="","",IF(B53="Income",1,-1)*(SUMIFS(Transactions!$E:$E,Transactions!$D:$D,A53,Transactions!$G:$G,"&gt;="&amp;EDATE(RptMonth,-12),Transactions!$G:$G,"&lt;"&amp;RptMonth)+IF(A53="Uncategorized",SUMIFS(Transactions!$E:$E,Transactions!$D:$D,"",Transactions!$G:$G,"&gt;="&amp;EDATE(RptMonth,-12),Transactions!$G:$G,"&lt;"&amp;RptMonth),0))/MAX(1,COUNTIF(Dashboard!$C$26:$C$37,"&gt;0")))</f>
        <v/>
      </c>
    </row>
    <row r="54">
      <c r="A54" s="53">
        <f>IF(Categories!A51="","",Categories!A51)</f>
        <v/>
      </c>
      <c r="B54" s="53">
        <f>IF(A54="","",IF(Categories!B51="","Expense",Categories!B51))</f>
        <v/>
      </c>
      <c r="C54" s="53">
        <f>IF(A54="","",IF(Categories!C51="","",Categories!C51))</f>
        <v/>
      </c>
      <c r="D54" s="51">
        <f>IF(A54="","",N(Categories!D51))</f>
        <v/>
      </c>
      <c r="E54" s="51">
        <f>IF(A54="","",IF(B54="Income",1,-1)*(SUMIFS(Transactions!$E:$E,Transactions!$D:$D,A54,Transactions!$G:$G,RptMonth)+IF(A54="Uncategorized",SUMIFS(Transactions!$E:$E,Transactions!$D:$D,"",Transactions!$G:$G,RptMonth),0)))</f>
        <v/>
      </c>
      <c r="F54" s="51">
        <f>IF(OR(A54="",B54="Transfer"),"",IF(B54="Income",E54-D54,D54-E54))</f>
        <v/>
      </c>
      <c r="G54" s="54">
        <f>IF(OR(A54="",B54="Transfer",N(D54)=0),"",E54/D54)</f>
        <v/>
      </c>
      <c r="H54" s="51">
        <f>IF(OR(A54="",B54="Transfer"),"",D54*MONTH(RptMonth))</f>
        <v/>
      </c>
      <c r="I54" s="51">
        <f>IF(A54="","",IF(B54="Income",1,-1)*(SUMIFS(Transactions!$E:$E,Transactions!$D:$D,A54,Transactions!$G:$G,"&gt;="&amp;YTDStart,Transactions!$G:$G,"&lt;="&amp;RptMonth)+IF(A54="Uncategorized",SUMIFS(Transactions!$E:$E,Transactions!$D:$D,"",Transactions!$G:$G,"&gt;="&amp;YTDStart,Transactions!$G:$G,"&lt;="&amp;RptMonth),0)))</f>
        <v/>
      </c>
      <c r="J54" s="51">
        <f>IF(OR(A54="",B54="Transfer"),"",IF(B54="Income",I54-H54,H54-I54))</f>
        <v/>
      </c>
      <c r="K54" s="51">
        <f>IF(A54="","",IF(B54="Income",1,-1)*(SUMIFS(Transactions!$E:$E,Transactions!$D:$D,A54,Transactions!$G:$G,"&gt;="&amp;EDATE(RptMonth,-12),Transactions!$G:$G,"&lt;"&amp;RptMonth)+IF(A54="Uncategorized",SUMIFS(Transactions!$E:$E,Transactions!$D:$D,"",Transactions!$G:$G,"&gt;="&amp;EDATE(RptMonth,-12),Transactions!$G:$G,"&lt;"&amp;RptMonth),0))/MAX(1,COUNTIF(Dashboard!$C$26:$C$37,"&gt;0")))</f>
        <v/>
      </c>
    </row>
    <row r="55">
      <c r="A55" s="53">
        <f>IF(Categories!A52="","",Categories!A52)</f>
        <v/>
      </c>
      <c r="B55" s="53">
        <f>IF(A55="","",IF(Categories!B52="","Expense",Categories!B52))</f>
        <v/>
      </c>
      <c r="C55" s="53">
        <f>IF(A55="","",IF(Categories!C52="","",Categories!C52))</f>
        <v/>
      </c>
      <c r="D55" s="51">
        <f>IF(A55="","",N(Categories!D52))</f>
        <v/>
      </c>
      <c r="E55" s="51">
        <f>IF(A55="","",IF(B55="Income",1,-1)*(SUMIFS(Transactions!$E:$E,Transactions!$D:$D,A55,Transactions!$G:$G,RptMonth)+IF(A55="Uncategorized",SUMIFS(Transactions!$E:$E,Transactions!$D:$D,"",Transactions!$G:$G,RptMonth),0)))</f>
        <v/>
      </c>
      <c r="F55" s="51">
        <f>IF(OR(A55="",B55="Transfer"),"",IF(B55="Income",E55-D55,D55-E55))</f>
        <v/>
      </c>
      <c r="G55" s="54">
        <f>IF(OR(A55="",B55="Transfer",N(D55)=0),"",E55/D55)</f>
        <v/>
      </c>
      <c r="H55" s="51">
        <f>IF(OR(A55="",B55="Transfer"),"",D55*MONTH(RptMonth))</f>
        <v/>
      </c>
      <c r="I55" s="51">
        <f>IF(A55="","",IF(B55="Income",1,-1)*(SUMIFS(Transactions!$E:$E,Transactions!$D:$D,A55,Transactions!$G:$G,"&gt;="&amp;YTDStart,Transactions!$G:$G,"&lt;="&amp;RptMonth)+IF(A55="Uncategorized",SUMIFS(Transactions!$E:$E,Transactions!$D:$D,"",Transactions!$G:$G,"&gt;="&amp;YTDStart,Transactions!$G:$G,"&lt;="&amp;RptMonth),0)))</f>
        <v/>
      </c>
      <c r="J55" s="51">
        <f>IF(OR(A55="",B55="Transfer"),"",IF(B55="Income",I55-H55,H55-I55))</f>
        <v/>
      </c>
      <c r="K55" s="51">
        <f>IF(A55="","",IF(B55="Income",1,-1)*(SUMIFS(Transactions!$E:$E,Transactions!$D:$D,A55,Transactions!$G:$G,"&gt;="&amp;EDATE(RptMonth,-12),Transactions!$G:$G,"&lt;"&amp;RptMonth)+IF(A55="Uncategorized",SUMIFS(Transactions!$E:$E,Transactions!$D:$D,"",Transactions!$G:$G,"&gt;="&amp;EDATE(RptMonth,-12),Transactions!$G:$G,"&lt;"&amp;RptMonth),0))/MAX(1,COUNTIF(Dashboard!$C$26:$C$37,"&gt;0")))</f>
        <v/>
      </c>
    </row>
    <row r="56">
      <c r="A56" s="53">
        <f>IF(Categories!A53="","",Categories!A53)</f>
        <v/>
      </c>
      <c r="B56" s="53">
        <f>IF(A56="","",IF(Categories!B53="","Expense",Categories!B53))</f>
        <v/>
      </c>
      <c r="C56" s="53">
        <f>IF(A56="","",IF(Categories!C53="","",Categories!C53))</f>
        <v/>
      </c>
      <c r="D56" s="51">
        <f>IF(A56="","",N(Categories!D53))</f>
        <v/>
      </c>
      <c r="E56" s="51">
        <f>IF(A56="","",IF(B56="Income",1,-1)*(SUMIFS(Transactions!$E:$E,Transactions!$D:$D,A56,Transactions!$G:$G,RptMonth)+IF(A56="Uncategorized",SUMIFS(Transactions!$E:$E,Transactions!$D:$D,"",Transactions!$G:$G,RptMonth),0)))</f>
        <v/>
      </c>
      <c r="F56" s="51">
        <f>IF(OR(A56="",B56="Transfer"),"",IF(B56="Income",E56-D56,D56-E56))</f>
        <v/>
      </c>
      <c r="G56" s="54">
        <f>IF(OR(A56="",B56="Transfer",N(D56)=0),"",E56/D56)</f>
        <v/>
      </c>
      <c r="H56" s="51">
        <f>IF(OR(A56="",B56="Transfer"),"",D56*MONTH(RptMonth))</f>
        <v/>
      </c>
      <c r="I56" s="51">
        <f>IF(A56="","",IF(B56="Income",1,-1)*(SUMIFS(Transactions!$E:$E,Transactions!$D:$D,A56,Transactions!$G:$G,"&gt;="&amp;YTDStart,Transactions!$G:$G,"&lt;="&amp;RptMonth)+IF(A56="Uncategorized",SUMIFS(Transactions!$E:$E,Transactions!$D:$D,"",Transactions!$G:$G,"&gt;="&amp;YTDStart,Transactions!$G:$G,"&lt;="&amp;RptMonth),0)))</f>
        <v/>
      </c>
      <c r="J56" s="51">
        <f>IF(OR(A56="",B56="Transfer"),"",IF(B56="Income",I56-H56,H56-I56))</f>
        <v/>
      </c>
      <c r="K56" s="51">
        <f>IF(A56="","",IF(B56="Income",1,-1)*(SUMIFS(Transactions!$E:$E,Transactions!$D:$D,A56,Transactions!$G:$G,"&gt;="&amp;EDATE(RptMonth,-12),Transactions!$G:$G,"&lt;"&amp;RptMonth)+IF(A56="Uncategorized",SUMIFS(Transactions!$E:$E,Transactions!$D:$D,"",Transactions!$G:$G,"&gt;="&amp;EDATE(RptMonth,-12),Transactions!$G:$G,"&lt;"&amp;RptMonth),0))/MAX(1,COUNTIF(Dashboard!$C$26:$C$37,"&gt;0")))</f>
        <v/>
      </c>
    </row>
    <row r="57">
      <c r="A57" s="53">
        <f>IF(Categories!A54="","",Categories!A54)</f>
        <v/>
      </c>
      <c r="B57" s="53">
        <f>IF(A57="","",IF(Categories!B54="","Expense",Categories!B54))</f>
        <v/>
      </c>
      <c r="C57" s="53">
        <f>IF(A57="","",IF(Categories!C54="","",Categories!C54))</f>
        <v/>
      </c>
      <c r="D57" s="51">
        <f>IF(A57="","",N(Categories!D54))</f>
        <v/>
      </c>
      <c r="E57" s="51">
        <f>IF(A57="","",IF(B57="Income",1,-1)*(SUMIFS(Transactions!$E:$E,Transactions!$D:$D,A57,Transactions!$G:$G,RptMonth)+IF(A57="Uncategorized",SUMIFS(Transactions!$E:$E,Transactions!$D:$D,"",Transactions!$G:$G,RptMonth),0)))</f>
        <v/>
      </c>
      <c r="F57" s="51">
        <f>IF(OR(A57="",B57="Transfer"),"",IF(B57="Income",E57-D57,D57-E57))</f>
        <v/>
      </c>
      <c r="G57" s="54">
        <f>IF(OR(A57="",B57="Transfer",N(D57)=0),"",E57/D57)</f>
        <v/>
      </c>
      <c r="H57" s="51">
        <f>IF(OR(A57="",B57="Transfer"),"",D57*MONTH(RptMonth))</f>
        <v/>
      </c>
      <c r="I57" s="51">
        <f>IF(A57="","",IF(B57="Income",1,-1)*(SUMIFS(Transactions!$E:$E,Transactions!$D:$D,A57,Transactions!$G:$G,"&gt;="&amp;YTDStart,Transactions!$G:$G,"&lt;="&amp;RptMonth)+IF(A57="Uncategorized",SUMIFS(Transactions!$E:$E,Transactions!$D:$D,"",Transactions!$G:$G,"&gt;="&amp;YTDStart,Transactions!$G:$G,"&lt;="&amp;RptMonth),0)))</f>
        <v/>
      </c>
      <c r="J57" s="51">
        <f>IF(OR(A57="",B57="Transfer"),"",IF(B57="Income",I57-H57,H57-I57))</f>
        <v/>
      </c>
      <c r="K57" s="51">
        <f>IF(A57="","",IF(B57="Income",1,-1)*(SUMIFS(Transactions!$E:$E,Transactions!$D:$D,A57,Transactions!$G:$G,"&gt;="&amp;EDATE(RptMonth,-12),Transactions!$G:$G,"&lt;"&amp;RptMonth)+IF(A57="Uncategorized",SUMIFS(Transactions!$E:$E,Transactions!$D:$D,"",Transactions!$G:$G,"&gt;="&amp;EDATE(RptMonth,-12),Transactions!$G:$G,"&lt;"&amp;RptMonth),0))/MAX(1,COUNTIF(Dashboard!$C$26:$C$37,"&gt;0")))</f>
        <v/>
      </c>
    </row>
    <row r="58">
      <c r="A58" s="53">
        <f>IF(Categories!A55="","",Categories!A55)</f>
        <v/>
      </c>
      <c r="B58" s="53">
        <f>IF(A58="","",IF(Categories!B55="","Expense",Categories!B55))</f>
        <v/>
      </c>
      <c r="C58" s="53">
        <f>IF(A58="","",IF(Categories!C55="","",Categories!C55))</f>
        <v/>
      </c>
      <c r="D58" s="51">
        <f>IF(A58="","",N(Categories!D55))</f>
        <v/>
      </c>
      <c r="E58" s="51">
        <f>IF(A58="","",IF(B58="Income",1,-1)*(SUMIFS(Transactions!$E:$E,Transactions!$D:$D,A58,Transactions!$G:$G,RptMonth)+IF(A58="Uncategorized",SUMIFS(Transactions!$E:$E,Transactions!$D:$D,"",Transactions!$G:$G,RptMonth),0)))</f>
        <v/>
      </c>
      <c r="F58" s="51">
        <f>IF(OR(A58="",B58="Transfer"),"",IF(B58="Income",E58-D58,D58-E58))</f>
        <v/>
      </c>
      <c r="G58" s="54">
        <f>IF(OR(A58="",B58="Transfer",N(D58)=0),"",E58/D58)</f>
        <v/>
      </c>
      <c r="H58" s="51">
        <f>IF(OR(A58="",B58="Transfer"),"",D58*MONTH(RptMonth))</f>
        <v/>
      </c>
      <c r="I58" s="51">
        <f>IF(A58="","",IF(B58="Income",1,-1)*(SUMIFS(Transactions!$E:$E,Transactions!$D:$D,A58,Transactions!$G:$G,"&gt;="&amp;YTDStart,Transactions!$G:$G,"&lt;="&amp;RptMonth)+IF(A58="Uncategorized",SUMIFS(Transactions!$E:$E,Transactions!$D:$D,"",Transactions!$G:$G,"&gt;="&amp;YTDStart,Transactions!$G:$G,"&lt;="&amp;RptMonth),0)))</f>
        <v/>
      </c>
      <c r="J58" s="51">
        <f>IF(OR(A58="",B58="Transfer"),"",IF(B58="Income",I58-H58,H58-I58))</f>
        <v/>
      </c>
      <c r="K58" s="51">
        <f>IF(A58="","",IF(B58="Income",1,-1)*(SUMIFS(Transactions!$E:$E,Transactions!$D:$D,A58,Transactions!$G:$G,"&gt;="&amp;EDATE(RptMonth,-12),Transactions!$G:$G,"&lt;"&amp;RptMonth)+IF(A58="Uncategorized",SUMIFS(Transactions!$E:$E,Transactions!$D:$D,"",Transactions!$G:$G,"&gt;="&amp;EDATE(RptMonth,-12),Transactions!$G:$G,"&lt;"&amp;RptMonth),0))/MAX(1,COUNTIF(Dashboard!$C$26:$C$37,"&gt;0")))</f>
        <v/>
      </c>
    </row>
    <row r="59">
      <c r="A59" s="53">
        <f>IF(Categories!A56="","",Categories!A56)</f>
        <v/>
      </c>
      <c r="B59" s="53">
        <f>IF(A59="","",IF(Categories!B56="","Expense",Categories!B56))</f>
        <v/>
      </c>
      <c r="C59" s="53">
        <f>IF(A59="","",IF(Categories!C56="","",Categories!C56))</f>
        <v/>
      </c>
      <c r="D59" s="51">
        <f>IF(A59="","",N(Categories!D56))</f>
        <v/>
      </c>
      <c r="E59" s="51">
        <f>IF(A59="","",IF(B59="Income",1,-1)*(SUMIFS(Transactions!$E:$E,Transactions!$D:$D,A59,Transactions!$G:$G,RptMonth)+IF(A59="Uncategorized",SUMIFS(Transactions!$E:$E,Transactions!$D:$D,"",Transactions!$G:$G,RptMonth),0)))</f>
        <v/>
      </c>
      <c r="F59" s="51">
        <f>IF(OR(A59="",B59="Transfer"),"",IF(B59="Income",E59-D59,D59-E59))</f>
        <v/>
      </c>
      <c r="G59" s="54">
        <f>IF(OR(A59="",B59="Transfer",N(D59)=0),"",E59/D59)</f>
        <v/>
      </c>
      <c r="H59" s="51">
        <f>IF(OR(A59="",B59="Transfer"),"",D59*MONTH(RptMonth))</f>
        <v/>
      </c>
      <c r="I59" s="51">
        <f>IF(A59="","",IF(B59="Income",1,-1)*(SUMIFS(Transactions!$E:$E,Transactions!$D:$D,A59,Transactions!$G:$G,"&gt;="&amp;YTDStart,Transactions!$G:$G,"&lt;="&amp;RptMonth)+IF(A59="Uncategorized",SUMIFS(Transactions!$E:$E,Transactions!$D:$D,"",Transactions!$G:$G,"&gt;="&amp;YTDStart,Transactions!$G:$G,"&lt;="&amp;RptMonth),0)))</f>
        <v/>
      </c>
      <c r="J59" s="51">
        <f>IF(OR(A59="",B59="Transfer"),"",IF(B59="Income",I59-H59,H59-I59))</f>
        <v/>
      </c>
      <c r="K59" s="51">
        <f>IF(A59="","",IF(B59="Income",1,-1)*(SUMIFS(Transactions!$E:$E,Transactions!$D:$D,A59,Transactions!$G:$G,"&gt;="&amp;EDATE(RptMonth,-12),Transactions!$G:$G,"&lt;"&amp;RptMonth)+IF(A59="Uncategorized",SUMIFS(Transactions!$E:$E,Transactions!$D:$D,"",Transactions!$G:$G,"&gt;="&amp;EDATE(RptMonth,-12),Transactions!$G:$G,"&lt;"&amp;RptMonth),0))/MAX(1,COUNTIF(Dashboard!$C$26:$C$37,"&gt;0")))</f>
        <v/>
      </c>
    </row>
    <row r="60">
      <c r="A60" s="53">
        <f>IF(Categories!A57="","",Categories!A57)</f>
        <v/>
      </c>
      <c r="B60" s="53">
        <f>IF(A60="","",IF(Categories!B57="","Expense",Categories!B57))</f>
        <v/>
      </c>
      <c r="C60" s="53">
        <f>IF(A60="","",IF(Categories!C57="","",Categories!C57))</f>
        <v/>
      </c>
      <c r="D60" s="51">
        <f>IF(A60="","",N(Categories!D57))</f>
        <v/>
      </c>
      <c r="E60" s="51">
        <f>IF(A60="","",IF(B60="Income",1,-1)*(SUMIFS(Transactions!$E:$E,Transactions!$D:$D,A60,Transactions!$G:$G,RptMonth)+IF(A60="Uncategorized",SUMIFS(Transactions!$E:$E,Transactions!$D:$D,"",Transactions!$G:$G,RptMonth),0)))</f>
        <v/>
      </c>
      <c r="F60" s="51">
        <f>IF(OR(A60="",B60="Transfer"),"",IF(B60="Income",E60-D60,D60-E60))</f>
        <v/>
      </c>
      <c r="G60" s="54">
        <f>IF(OR(A60="",B60="Transfer",N(D60)=0),"",E60/D60)</f>
        <v/>
      </c>
      <c r="H60" s="51">
        <f>IF(OR(A60="",B60="Transfer"),"",D60*MONTH(RptMonth))</f>
        <v/>
      </c>
      <c r="I60" s="51">
        <f>IF(A60="","",IF(B60="Income",1,-1)*(SUMIFS(Transactions!$E:$E,Transactions!$D:$D,A60,Transactions!$G:$G,"&gt;="&amp;YTDStart,Transactions!$G:$G,"&lt;="&amp;RptMonth)+IF(A60="Uncategorized",SUMIFS(Transactions!$E:$E,Transactions!$D:$D,"",Transactions!$G:$G,"&gt;="&amp;YTDStart,Transactions!$G:$G,"&lt;="&amp;RptMonth),0)))</f>
        <v/>
      </c>
      <c r="J60" s="51">
        <f>IF(OR(A60="",B60="Transfer"),"",IF(B60="Income",I60-H60,H60-I60))</f>
        <v/>
      </c>
      <c r="K60" s="51">
        <f>IF(A60="","",IF(B60="Income",1,-1)*(SUMIFS(Transactions!$E:$E,Transactions!$D:$D,A60,Transactions!$G:$G,"&gt;="&amp;EDATE(RptMonth,-12),Transactions!$G:$G,"&lt;"&amp;RptMonth)+IF(A60="Uncategorized",SUMIFS(Transactions!$E:$E,Transactions!$D:$D,"",Transactions!$G:$G,"&gt;="&amp;EDATE(RptMonth,-12),Transactions!$G:$G,"&lt;"&amp;RptMonth),0))/MAX(1,COUNTIF(Dashboard!$C$26:$C$37,"&gt;0")))</f>
        <v/>
      </c>
    </row>
    <row r="61">
      <c r="A61" s="53">
        <f>IF(Categories!A58="","",Categories!A58)</f>
        <v/>
      </c>
      <c r="B61" s="53">
        <f>IF(A61="","",IF(Categories!B58="","Expense",Categories!B58))</f>
        <v/>
      </c>
      <c r="C61" s="53">
        <f>IF(A61="","",IF(Categories!C58="","",Categories!C58))</f>
        <v/>
      </c>
      <c r="D61" s="51">
        <f>IF(A61="","",N(Categories!D58))</f>
        <v/>
      </c>
      <c r="E61" s="51">
        <f>IF(A61="","",IF(B61="Income",1,-1)*(SUMIFS(Transactions!$E:$E,Transactions!$D:$D,A61,Transactions!$G:$G,RptMonth)+IF(A61="Uncategorized",SUMIFS(Transactions!$E:$E,Transactions!$D:$D,"",Transactions!$G:$G,RptMonth),0)))</f>
        <v/>
      </c>
      <c r="F61" s="51">
        <f>IF(OR(A61="",B61="Transfer"),"",IF(B61="Income",E61-D61,D61-E61))</f>
        <v/>
      </c>
      <c r="G61" s="54">
        <f>IF(OR(A61="",B61="Transfer",N(D61)=0),"",E61/D61)</f>
        <v/>
      </c>
      <c r="H61" s="51">
        <f>IF(OR(A61="",B61="Transfer"),"",D61*MONTH(RptMonth))</f>
        <v/>
      </c>
      <c r="I61" s="51">
        <f>IF(A61="","",IF(B61="Income",1,-1)*(SUMIFS(Transactions!$E:$E,Transactions!$D:$D,A61,Transactions!$G:$G,"&gt;="&amp;YTDStart,Transactions!$G:$G,"&lt;="&amp;RptMonth)+IF(A61="Uncategorized",SUMIFS(Transactions!$E:$E,Transactions!$D:$D,"",Transactions!$G:$G,"&gt;="&amp;YTDStart,Transactions!$G:$G,"&lt;="&amp;RptMonth),0)))</f>
        <v/>
      </c>
      <c r="J61" s="51">
        <f>IF(OR(A61="",B61="Transfer"),"",IF(B61="Income",I61-H61,H61-I61))</f>
        <v/>
      </c>
      <c r="K61" s="51">
        <f>IF(A61="","",IF(B61="Income",1,-1)*(SUMIFS(Transactions!$E:$E,Transactions!$D:$D,A61,Transactions!$G:$G,"&gt;="&amp;EDATE(RptMonth,-12),Transactions!$G:$G,"&lt;"&amp;RptMonth)+IF(A61="Uncategorized",SUMIFS(Transactions!$E:$E,Transactions!$D:$D,"",Transactions!$G:$G,"&gt;="&amp;EDATE(RptMonth,-12),Transactions!$G:$G,"&lt;"&amp;RptMonth),0))/MAX(1,COUNTIF(Dashboard!$C$26:$C$37,"&gt;0")))</f>
        <v/>
      </c>
    </row>
    <row r="62">
      <c r="A62" s="53">
        <f>IF(Categories!A59="","",Categories!A59)</f>
        <v/>
      </c>
      <c r="B62" s="53">
        <f>IF(A62="","",IF(Categories!B59="","Expense",Categories!B59))</f>
        <v/>
      </c>
      <c r="C62" s="53">
        <f>IF(A62="","",IF(Categories!C59="","",Categories!C59))</f>
        <v/>
      </c>
      <c r="D62" s="51">
        <f>IF(A62="","",N(Categories!D59))</f>
        <v/>
      </c>
      <c r="E62" s="51">
        <f>IF(A62="","",IF(B62="Income",1,-1)*(SUMIFS(Transactions!$E:$E,Transactions!$D:$D,A62,Transactions!$G:$G,RptMonth)+IF(A62="Uncategorized",SUMIFS(Transactions!$E:$E,Transactions!$D:$D,"",Transactions!$G:$G,RptMonth),0)))</f>
        <v/>
      </c>
      <c r="F62" s="51">
        <f>IF(OR(A62="",B62="Transfer"),"",IF(B62="Income",E62-D62,D62-E62))</f>
        <v/>
      </c>
      <c r="G62" s="54">
        <f>IF(OR(A62="",B62="Transfer",N(D62)=0),"",E62/D62)</f>
        <v/>
      </c>
      <c r="H62" s="51">
        <f>IF(OR(A62="",B62="Transfer"),"",D62*MONTH(RptMonth))</f>
        <v/>
      </c>
      <c r="I62" s="51">
        <f>IF(A62="","",IF(B62="Income",1,-1)*(SUMIFS(Transactions!$E:$E,Transactions!$D:$D,A62,Transactions!$G:$G,"&gt;="&amp;YTDStart,Transactions!$G:$G,"&lt;="&amp;RptMonth)+IF(A62="Uncategorized",SUMIFS(Transactions!$E:$E,Transactions!$D:$D,"",Transactions!$G:$G,"&gt;="&amp;YTDStart,Transactions!$G:$G,"&lt;="&amp;RptMonth),0)))</f>
        <v/>
      </c>
      <c r="J62" s="51">
        <f>IF(OR(A62="",B62="Transfer"),"",IF(B62="Income",I62-H62,H62-I62))</f>
        <v/>
      </c>
      <c r="K62" s="51">
        <f>IF(A62="","",IF(B62="Income",1,-1)*(SUMIFS(Transactions!$E:$E,Transactions!$D:$D,A62,Transactions!$G:$G,"&gt;="&amp;EDATE(RptMonth,-12),Transactions!$G:$G,"&lt;"&amp;RptMonth)+IF(A62="Uncategorized",SUMIFS(Transactions!$E:$E,Transactions!$D:$D,"",Transactions!$G:$G,"&gt;="&amp;EDATE(RptMonth,-12),Transactions!$G:$G,"&lt;"&amp;RptMonth),0))/MAX(1,COUNTIF(Dashboard!$C$26:$C$37,"&gt;0")))</f>
        <v/>
      </c>
    </row>
    <row r="63">
      <c r="A63" s="53">
        <f>IF(Categories!A60="","",Categories!A60)</f>
        <v/>
      </c>
      <c r="B63" s="53">
        <f>IF(A63="","",IF(Categories!B60="","Expense",Categories!B60))</f>
        <v/>
      </c>
      <c r="C63" s="53">
        <f>IF(A63="","",IF(Categories!C60="","",Categories!C60))</f>
        <v/>
      </c>
      <c r="D63" s="51">
        <f>IF(A63="","",N(Categories!D60))</f>
        <v/>
      </c>
      <c r="E63" s="51">
        <f>IF(A63="","",IF(B63="Income",1,-1)*(SUMIFS(Transactions!$E:$E,Transactions!$D:$D,A63,Transactions!$G:$G,RptMonth)+IF(A63="Uncategorized",SUMIFS(Transactions!$E:$E,Transactions!$D:$D,"",Transactions!$G:$G,RptMonth),0)))</f>
        <v/>
      </c>
      <c r="F63" s="51">
        <f>IF(OR(A63="",B63="Transfer"),"",IF(B63="Income",E63-D63,D63-E63))</f>
        <v/>
      </c>
      <c r="G63" s="54">
        <f>IF(OR(A63="",B63="Transfer",N(D63)=0),"",E63/D63)</f>
        <v/>
      </c>
      <c r="H63" s="51">
        <f>IF(OR(A63="",B63="Transfer"),"",D63*MONTH(RptMonth))</f>
        <v/>
      </c>
      <c r="I63" s="51">
        <f>IF(A63="","",IF(B63="Income",1,-1)*(SUMIFS(Transactions!$E:$E,Transactions!$D:$D,A63,Transactions!$G:$G,"&gt;="&amp;YTDStart,Transactions!$G:$G,"&lt;="&amp;RptMonth)+IF(A63="Uncategorized",SUMIFS(Transactions!$E:$E,Transactions!$D:$D,"",Transactions!$G:$G,"&gt;="&amp;YTDStart,Transactions!$G:$G,"&lt;="&amp;RptMonth),0)))</f>
        <v/>
      </c>
      <c r="J63" s="51">
        <f>IF(OR(A63="",B63="Transfer"),"",IF(B63="Income",I63-H63,H63-I63))</f>
        <v/>
      </c>
      <c r="K63" s="51">
        <f>IF(A63="","",IF(B63="Income",1,-1)*(SUMIFS(Transactions!$E:$E,Transactions!$D:$D,A63,Transactions!$G:$G,"&gt;="&amp;EDATE(RptMonth,-12),Transactions!$G:$G,"&lt;"&amp;RptMonth)+IF(A63="Uncategorized",SUMIFS(Transactions!$E:$E,Transactions!$D:$D,"",Transactions!$G:$G,"&gt;="&amp;EDATE(RptMonth,-12),Transactions!$G:$G,"&lt;"&amp;RptMonth),0))/MAX(1,COUNTIF(Dashboard!$C$26:$C$37,"&gt;0")))</f>
        <v/>
      </c>
    </row>
    <row r="64">
      <c r="A64" s="53">
        <f>IF(Categories!A61="","",Categories!A61)</f>
        <v/>
      </c>
      <c r="B64" s="53">
        <f>IF(A64="","",IF(Categories!B61="","Expense",Categories!B61))</f>
        <v/>
      </c>
      <c r="C64" s="53">
        <f>IF(A64="","",IF(Categories!C61="","",Categories!C61))</f>
        <v/>
      </c>
      <c r="D64" s="51">
        <f>IF(A64="","",N(Categories!D61))</f>
        <v/>
      </c>
      <c r="E64" s="51">
        <f>IF(A64="","",IF(B64="Income",1,-1)*(SUMIFS(Transactions!$E:$E,Transactions!$D:$D,A64,Transactions!$G:$G,RptMonth)+IF(A64="Uncategorized",SUMIFS(Transactions!$E:$E,Transactions!$D:$D,"",Transactions!$G:$G,RptMonth),0)))</f>
        <v/>
      </c>
      <c r="F64" s="51">
        <f>IF(OR(A64="",B64="Transfer"),"",IF(B64="Income",E64-D64,D64-E64))</f>
        <v/>
      </c>
      <c r="G64" s="54">
        <f>IF(OR(A64="",B64="Transfer",N(D64)=0),"",E64/D64)</f>
        <v/>
      </c>
      <c r="H64" s="51">
        <f>IF(OR(A64="",B64="Transfer"),"",D64*MONTH(RptMonth))</f>
        <v/>
      </c>
      <c r="I64" s="51">
        <f>IF(A64="","",IF(B64="Income",1,-1)*(SUMIFS(Transactions!$E:$E,Transactions!$D:$D,A64,Transactions!$G:$G,"&gt;="&amp;YTDStart,Transactions!$G:$G,"&lt;="&amp;RptMonth)+IF(A64="Uncategorized",SUMIFS(Transactions!$E:$E,Transactions!$D:$D,"",Transactions!$G:$G,"&gt;="&amp;YTDStart,Transactions!$G:$G,"&lt;="&amp;RptMonth),0)))</f>
        <v/>
      </c>
      <c r="J64" s="51">
        <f>IF(OR(A64="",B64="Transfer"),"",IF(B64="Income",I64-H64,H64-I64))</f>
        <v/>
      </c>
      <c r="K64" s="51">
        <f>IF(A64="","",IF(B64="Income",1,-1)*(SUMIFS(Transactions!$E:$E,Transactions!$D:$D,A64,Transactions!$G:$G,"&gt;="&amp;EDATE(RptMonth,-12),Transactions!$G:$G,"&lt;"&amp;RptMonth)+IF(A64="Uncategorized",SUMIFS(Transactions!$E:$E,Transactions!$D:$D,"",Transactions!$G:$G,"&gt;="&amp;EDATE(RptMonth,-12),Transactions!$G:$G,"&lt;"&amp;RptMonth),0))/MAX(1,COUNTIF(Dashboard!$C$26:$C$37,"&gt;0")))</f>
        <v/>
      </c>
    </row>
    <row r="65">
      <c r="A65" s="53">
        <f>IF(Categories!A62="","",Categories!A62)</f>
        <v/>
      </c>
      <c r="B65" s="53">
        <f>IF(A65="","",IF(Categories!B62="","Expense",Categories!B62))</f>
        <v/>
      </c>
      <c r="C65" s="53">
        <f>IF(A65="","",IF(Categories!C62="","",Categories!C62))</f>
        <v/>
      </c>
      <c r="D65" s="51">
        <f>IF(A65="","",N(Categories!D62))</f>
        <v/>
      </c>
      <c r="E65" s="51">
        <f>IF(A65="","",IF(B65="Income",1,-1)*(SUMIFS(Transactions!$E:$E,Transactions!$D:$D,A65,Transactions!$G:$G,RptMonth)+IF(A65="Uncategorized",SUMIFS(Transactions!$E:$E,Transactions!$D:$D,"",Transactions!$G:$G,RptMonth),0)))</f>
        <v/>
      </c>
      <c r="F65" s="51">
        <f>IF(OR(A65="",B65="Transfer"),"",IF(B65="Income",E65-D65,D65-E65))</f>
        <v/>
      </c>
      <c r="G65" s="54">
        <f>IF(OR(A65="",B65="Transfer",N(D65)=0),"",E65/D65)</f>
        <v/>
      </c>
      <c r="H65" s="51">
        <f>IF(OR(A65="",B65="Transfer"),"",D65*MONTH(RptMonth))</f>
        <v/>
      </c>
      <c r="I65" s="51">
        <f>IF(A65="","",IF(B65="Income",1,-1)*(SUMIFS(Transactions!$E:$E,Transactions!$D:$D,A65,Transactions!$G:$G,"&gt;="&amp;YTDStart,Transactions!$G:$G,"&lt;="&amp;RptMonth)+IF(A65="Uncategorized",SUMIFS(Transactions!$E:$E,Transactions!$D:$D,"",Transactions!$G:$G,"&gt;="&amp;YTDStart,Transactions!$G:$G,"&lt;="&amp;RptMonth),0)))</f>
        <v/>
      </c>
      <c r="J65" s="51">
        <f>IF(OR(A65="",B65="Transfer"),"",IF(B65="Income",I65-H65,H65-I65))</f>
        <v/>
      </c>
      <c r="K65" s="51">
        <f>IF(A65="","",IF(B65="Income",1,-1)*(SUMIFS(Transactions!$E:$E,Transactions!$D:$D,A65,Transactions!$G:$G,"&gt;="&amp;EDATE(RptMonth,-12),Transactions!$G:$G,"&lt;"&amp;RptMonth)+IF(A65="Uncategorized",SUMIFS(Transactions!$E:$E,Transactions!$D:$D,"",Transactions!$G:$G,"&gt;="&amp;EDATE(RptMonth,-12),Transactions!$G:$G,"&lt;"&amp;RptMonth),0))/MAX(1,COUNTIF(Dashboard!$C$26:$C$37,"&gt;0")))</f>
        <v/>
      </c>
    </row>
    <row r="66">
      <c r="A66" s="53">
        <f>IF(Categories!A63="","",Categories!A63)</f>
        <v/>
      </c>
      <c r="B66" s="53">
        <f>IF(A66="","",IF(Categories!B63="","Expense",Categories!B63))</f>
        <v/>
      </c>
      <c r="C66" s="53">
        <f>IF(A66="","",IF(Categories!C63="","",Categories!C63))</f>
        <v/>
      </c>
      <c r="D66" s="51">
        <f>IF(A66="","",N(Categories!D63))</f>
        <v/>
      </c>
      <c r="E66" s="51">
        <f>IF(A66="","",IF(B66="Income",1,-1)*(SUMIFS(Transactions!$E:$E,Transactions!$D:$D,A66,Transactions!$G:$G,RptMonth)+IF(A66="Uncategorized",SUMIFS(Transactions!$E:$E,Transactions!$D:$D,"",Transactions!$G:$G,RptMonth),0)))</f>
        <v/>
      </c>
      <c r="F66" s="51">
        <f>IF(OR(A66="",B66="Transfer"),"",IF(B66="Income",E66-D66,D66-E66))</f>
        <v/>
      </c>
      <c r="G66" s="54">
        <f>IF(OR(A66="",B66="Transfer",N(D66)=0),"",E66/D66)</f>
        <v/>
      </c>
      <c r="H66" s="51">
        <f>IF(OR(A66="",B66="Transfer"),"",D66*MONTH(RptMonth))</f>
        <v/>
      </c>
      <c r="I66" s="51">
        <f>IF(A66="","",IF(B66="Income",1,-1)*(SUMIFS(Transactions!$E:$E,Transactions!$D:$D,A66,Transactions!$G:$G,"&gt;="&amp;YTDStart,Transactions!$G:$G,"&lt;="&amp;RptMonth)+IF(A66="Uncategorized",SUMIFS(Transactions!$E:$E,Transactions!$D:$D,"",Transactions!$G:$G,"&gt;="&amp;YTDStart,Transactions!$G:$G,"&lt;="&amp;RptMonth),0)))</f>
        <v/>
      </c>
      <c r="J66" s="51">
        <f>IF(OR(A66="",B66="Transfer"),"",IF(B66="Income",I66-H66,H66-I66))</f>
        <v/>
      </c>
      <c r="K66" s="51">
        <f>IF(A66="","",IF(B66="Income",1,-1)*(SUMIFS(Transactions!$E:$E,Transactions!$D:$D,A66,Transactions!$G:$G,"&gt;="&amp;EDATE(RptMonth,-12),Transactions!$G:$G,"&lt;"&amp;RptMonth)+IF(A66="Uncategorized",SUMIFS(Transactions!$E:$E,Transactions!$D:$D,"",Transactions!$G:$G,"&gt;="&amp;EDATE(RptMonth,-12),Transactions!$G:$G,"&lt;"&amp;RptMonth),0))/MAX(1,COUNTIF(Dashboard!$C$26:$C$37,"&gt;0")))</f>
        <v/>
      </c>
    </row>
    <row r="67">
      <c r="A67" s="53">
        <f>IF(Categories!A64="","",Categories!A64)</f>
        <v/>
      </c>
      <c r="B67" s="53">
        <f>IF(A67="","",IF(Categories!B64="","Expense",Categories!B64))</f>
        <v/>
      </c>
      <c r="C67" s="53">
        <f>IF(A67="","",IF(Categories!C64="","",Categories!C64))</f>
        <v/>
      </c>
      <c r="D67" s="51">
        <f>IF(A67="","",N(Categories!D64))</f>
        <v/>
      </c>
      <c r="E67" s="51">
        <f>IF(A67="","",IF(B67="Income",1,-1)*(SUMIFS(Transactions!$E:$E,Transactions!$D:$D,A67,Transactions!$G:$G,RptMonth)+IF(A67="Uncategorized",SUMIFS(Transactions!$E:$E,Transactions!$D:$D,"",Transactions!$G:$G,RptMonth),0)))</f>
        <v/>
      </c>
      <c r="F67" s="51">
        <f>IF(OR(A67="",B67="Transfer"),"",IF(B67="Income",E67-D67,D67-E67))</f>
        <v/>
      </c>
      <c r="G67" s="54">
        <f>IF(OR(A67="",B67="Transfer",N(D67)=0),"",E67/D67)</f>
        <v/>
      </c>
      <c r="H67" s="51">
        <f>IF(OR(A67="",B67="Transfer"),"",D67*MONTH(RptMonth))</f>
        <v/>
      </c>
      <c r="I67" s="51">
        <f>IF(A67="","",IF(B67="Income",1,-1)*(SUMIFS(Transactions!$E:$E,Transactions!$D:$D,A67,Transactions!$G:$G,"&gt;="&amp;YTDStart,Transactions!$G:$G,"&lt;="&amp;RptMonth)+IF(A67="Uncategorized",SUMIFS(Transactions!$E:$E,Transactions!$D:$D,"",Transactions!$G:$G,"&gt;="&amp;YTDStart,Transactions!$G:$G,"&lt;="&amp;RptMonth),0)))</f>
        <v/>
      </c>
      <c r="J67" s="51">
        <f>IF(OR(A67="",B67="Transfer"),"",IF(B67="Income",I67-H67,H67-I67))</f>
        <v/>
      </c>
      <c r="K67" s="51">
        <f>IF(A67="","",IF(B67="Income",1,-1)*(SUMIFS(Transactions!$E:$E,Transactions!$D:$D,A67,Transactions!$G:$G,"&gt;="&amp;EDATE(RptMonth,-12),Transactions!$G:$G,"&lt;"&amp;RptMonth)+IF(A67="Uncategorized",SUMIFS(Transactions!$E:$E,Transactions!$D:$D,"",Transactions!$G:$G,"&gt;="&amp;EDATE(RptMonth,-12),Transactions!$G:$G,"&lt;"&amp;RptMonth),0))/MAX(1,COUNTIF(Dashboard!$C$26:$C$37,"&gt;0")))</f>
        <v/>
      </c>
    </row>
    <row r="68">
      <c r="A68" s="53">
        <f>IF(Categories!A65="","",Categories!A65)</f>
        <v/>
      </c>
      <c r="B68" s="53">
        <f>IF(A68="","",IF(Categories!B65="","Expense",Categories!B65))</f>
        <v/>
      </c>
      <c r="C68" s="53">
        <f>IF(A68="","",IF(Categories!C65="","",Categories!C65))</f>
        <v/>
      </c>
      <c r="D68" s="51">
        <f>IF(A68="","",N(Categories!D65))</f>
        <v/>
      </c>
      <c r="E68" s="51">
        <f>IF(A68="","",IF(B68="Income",1,-1)*(SUMIFS(Transactions!$E:$E,Transactions!$D:$D,A68,Transactions!$G:$G,RptMonth)+IF(A68="Uncategorized",SUMIFS(Transactions!$E:$E,Transactions!$D:$D,"",Transactions!$G:$G,RptMonth),0)))</f>
        <v/>
      </c>
      <c r="F68" s="51">
        <f>IF(OR(A68="",B68="Transfer"),"",IF(B68="Income",E68-D68,D68-E68))</f>
        <v/>
      </c>
      <c r="G68" s="54">
        <f>IF(OR(A68="",B68="Transfer",N(D68)=0),"",E68/D68)</f>
        <v/>
      </c>
      <c r="H68" s="51">
        <f>IF(OR(A68="",B68="Transfer"),"",D68*MONTH(RptMonth))</f>
        <v/>
      </c>
      <c r="I68" s="51">
        <f>IF(A68="","",IF(B68="Income",1,-1)*(SUMIFS(Transactions!$E:$E,Transactions!$D:$D,A68,Transactions!$G:$G,"&gt;="&amp;YTDStart,Transactions!$G:$G,"&lt;="&amp;RptMonth)+IF(A68="Uncategorized",SUMIFS(Transactions!$E:$E,Transactions!$D:$D,"",Transactions!$G:$G,"&gt;="&amp;YTDStart,Transactions!$G:$G,"&lt;="&amp;RptMonth),0)))</f>
        <v/>
      </c>
      <c r="J68" s="51">
        <f>IF(OR(A68="",B68="Transfer"),"",IF(B68="Income",I68-H68,H68-I68))</f>
        <v/>
      </c>
      <c r="K68" s="51">
        <f>IF(A68="","",IF(B68="Income",1,-1)*(SUMIFS(Transactions!$E:$E,Transactions!$D:$D,A68,Transactions!$G:$G,"&gt;="&amp;EDATE(RptMonth,-12),Transactions!$G:$G,"&lt;"&amp;RptMonth)+IF(A68="Uncategorized",SUMIFS(Transactions!$E:$E,Transactions!$D:$D,"",Transactions!$G:$G,"&gt;="&amp;EDATE(RptMonth,-12),Transactions!$G:$G,"&lt;"&amp;RptMonth),0))/MAX(1,COUNTIF(Dashboard!$C$26:$C$37,"&gt;0")))</f>
        <v/>
      </c>
    </row>
  </sheetData>
  <conditionalFormatting sqref="G9:G68">
    <cfRule type="dataBar" priority="1">
      <dataBar>
        <cfvo type="num" val="0"/>
        <cfvo type="num" val="1.5"/>
        <color rgb="008FD3B6"/>
      </dataBar>
    </cfRule>
  </conditionalFormatting>
  <conditionalFormatting sqref="F9:F68">
    <cfRule type="cellIs" priority="2" operator="lessThan" dxfId="4">
      <formula>0</formula>
    </cfRule>
  </conditionalFormatting>
  <conditionalFormatting sqref="J9:J68">
    <cfRule type="cellIs" priority="3" operator="lessThan" dxfId="4">
      <formula>0</formula>
    </cfRule>
  </conditionalFormatting>
  <conditionalFormatting sqref="A9:K68">
    <cfRule type="expression" priority="4" dxfId="5">
      <formula>$B9="Transfer"</formula>
    </cfRule>
  </conditionalFormatting>
  <conditionalFormatting sqref="F6:F7">
    <cfRule type="cellIs" priority="5" operator="lessThan" dxfId="4">
      <formula>0</formula>
    </cfRule>
  </conditionalFormatting>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worksheet>
</file>

<file path=xl/worksheets/sheet10.xml><?xml version="1.0" encoding="utf-8"?>
<worksheet xmlns="http://schemas.openxmlformats.org/spreadsheetml/2006/main">
  <sheetPr codeName="shNetWorth">
    <tabColor rgb="003B6EA8"/>
    <outlinePr summaryBelow="1" summaryRight="1"/>
    <pageSetUpPr fitToPage="1"/>
  </sheetPr>
  <dimension ref="A1:L23"/>
  <sheetViews>
    <sheetView showGridLines="0" tabSelected="0" zoomScale="100" workbookViewId="0">
      <pane ySplit="4" topLeftCell="A5" activePane="bottomLeft" state="frozen"/>
      <selection pane="bottomLeft" activeCell="A1" sqref="A1"/>
    </sheetView>
  </sheetViews>
  <sheetFormatPr baseColWidth="8" defaultRowHeight="15"/>
  <cols>
    <col width="34" customWidth="1" min="1" max="1"/>
    <col width="15" customWidth="1" min="2" max="2"/>
    <col width="3" customWidth="1" min="3" max="3"/>
    <col width="3" customWidth="1" min="4" max="4"/>
    <col width="12" customWidth="1" min="5" max="5"/>
    <col width="15" customWidth="1" min="6" max="6"/>
    <col width="16" customWidth="1" min="7" max="7"/>
    <col width="15" customWidth="1" min="8" max="8"/>
    <col width="13" customWidth="1" min="9" max="9"/>
    <col width="24" customWidth="1" min="10" max="10"/>
    <col width="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Net Worth</t>
        </is>
      </c>
    </row>
    <row r="2" ht="20" customHeight="1">
      <c r="A2" s="61" t="inlineStr">
        <is>
          <t>What you own minus what you owe, from the Accounts tab. Save a snapshot each month to see the trend.</t>
        </is>
      </c>
      <c r="B2" s="2" t="n"/>
      <c r="C2" s="2" t="n"/>
      <c r="D2" s="2" t="n"/>
      <c r="E2" s="2" t="n"/>
      <c r="F2" s="2" t="n"/>
      <c r="G2" s="2" t="n"/>
      <c r="H2" s="2" t="n"/>
      <c r="I2" s="2" t="n"/>
      <c r="J2" s="2" t="n"/>
      <c r="K2" s="2" t="n"/>
      <c r="L2" s="2" t="n"/>
    </row>
    <row r="4" ht="24" customHeight="1">
      <c r="A4" s="4" t="inlineStr">
        <is>
          <t>TODAY</t>
        </is>
      </c>
      <c r="B4" s="2" t="n"/>
      <c r="C4" s="2" t="n"/>
      <c r="E4" s="4" t="inlineStr">
        <is>
          <t>HISTORY</t>
        </is>
      </c>
      <c r="F4" s="2" t="n"/>
      <c r="G4" s="2" t="n"/>
      <c r="H4" s="2" t="n"/>
      <c r="I4" s="2" t="n"/>
      <c r="J4" s="2" t="n"/>
    </row>
    <row r="5" ht="30" customHeight="1">
      <c r="A5" s="11" t="inlineStr">
        <is>
          <t>Cash (checking, savings)</t>
        </is>
      </c>
      <c r="B5" s="58">
        <f>SUMIFS(Accounts!$M:$M,Accounts!$F:$F,"Cash")</f>
        <v/>
      </c>
      <c r="E5" s="35" t="inlineStr">
        <is>
          <t>Month</t>
        </is>
      </c>
      <c r="F5" s="38" t="inlineStr">
        <is>
          <t>Total Assets</t>
        </is>
      </c>
      <c r="G5" s="38" t="inlineStr">
        <is>
          <t>Total Liabilities</t>
        </is>
      </c>
      <c r="H5" s="38" t="inlineStr">
        <is>
          <t>Net Worth</t>
        </is>
      </c>
      <c r="I5" s="38" t="inlineStr">
        <is>
          <t>Change</t>
        </is>
      </c>
      <c r="J5" s="35" t="inlineStr">
        <is>
          <t>Notes</t>
        </is>
      </c>
    </row>
    <row r="6">
      <c r="A6" s="11" t="inlineStr">
        <is>
          <t>Investments</t>
        </is>
      </c>
      <c r="B6" s="58">
        <f>SUMIFS(Accounts!$M:$M,Accounts!$F:$F,"Investments")</f>
        <v/>
      </c>
      <c r="E6" s="107" t="n">
        <v>45748</v>
      </c>
      <c r="F6" s="97" t="n">
        <v>537800</v>
      </c>
      <c r="G6" s="97" t="n">
        <v>357900</v>
      </c>
      <c r="H6" s="51">
        <f>IF(E6="","",F6-G6)</f>
        <v/>
      </c>
      <c r="I6" s="51">
        <f>""</f>
        <v/>
      </c>
      <c r="J6" s="93" t="n"/>
    </row>
    <row r="7">
      <c r="A7" s="11" t="inlineStr">
        <is>
          <t>Retirement accounts</t>
        </is>
      </c>
      <c r="B7" s="58">
        <f>SUMIFS(Accounts!$M:$M,Accounts!$F:$F,"Retirement")</f>
        <v/>
      </c>
      <c r="E7" s="107" t="n">
        <v>45778</v>
      </c>
      <c r="F7" s="97" t="n">
        <v>538867.0600000001</v>
      </c>
      <c r="G7" s="97" t="n">
        <v>357241.18</v>
      </c>
      <c r="H7" s="51">
        <f>IF(E7="","",F7-G7)</f>
        <v/>
      </c>
      <c r="I7" s="51">
        <f>IF(OR(E7="",ROW()=6),"",IF(E6="","",H7-H6))</f>
        <v/>
      </c>
      <c r="J7" s="93" t="n"/>
    </row>
    <row r="8">
      <c r="A8" s="11" t="inlineStr">
        <is>
          <t>Home and other property</t>
        </is>
      </c>
      <c r="B8" s="58">
        <f>SUMIFS(Accounts!$M:$M,Accounts!$F:$F,"Property")</f>
        <v/>
      </c>
      <c r="E8" s="107" t="n">
        <v>45809</v>
      </c>
      <c r="F8" s="97" t="n">
        <v>540694.12</v>
      </c>
      <c r="G8" s="97" t="n">
        <v>356582.35</v>
      </c>
      <c r="H8" s="51">
        <f>IF(E8="","",F8-G8)</f>
        <v/>
      </c>
      <c r="I8" s="51">
        <f>IF(OR(E8="",ROW()=6),"",IF(E7="","",H8-H7))</f>
        <v/>
      </c>
      <c r="J8" s="93" t="n"/>
    </row>
    <row r="9">
      <c r="A9" s="11" t="inlineStr">
        <is>
          <t>Other assets</t>
        </is>
      </c>
      <c r="B9" s="58">
        <f>SUMIFS(Accounts!$M:$M,Accounts!$F:$F,"Other Assets")</f>
        <v/>
      </c>
      <c r="E9" s="107" t="n">
        <v>45839</v>
      </c>
      <c r="F9" s="97" t="n">
        <v>542791.1800000001</v>
      </c>
      <c r="G9" s="97" t="n">
        <v>355923.53</v>
      </c>
      <c r="H9" s="51">
        <f>IF(E9="","",F9-G9)</f>
        <v/>
      </c>
      <c r="I9" s="51">
        <f>IF(OR(E9="",ROW()=6),"",IF(E8="","",H9-H8))</f>
        <v/>
      </c>
      <c r="J9" s="93" t="n"/>
    </row>
    <row r="10">
      <c r="A10" s="20" t="inlineStr">
        <is>
          <t>Total assets</t>
        </is>
      </c>
      <c r="B10" s="59">
        <f>SUM(B5:B9)</f>
        <v/>
      </c>
      <c r="E10" s="107" t="n">
        <v>45870</v>
      </c>
      <c r="F10" s="97" t="n">
        <v>543588.24</v>
      </c>
      <c r="G10" s="97" t="n">
        <v>355264.71</v>
      </c>
      <c r="H10" s="51">
        <f>IF(E10="","",F10-G10)</f>
        <v/>
      </c>
      <c r="I10" s="51">
        <f>IF(OR(E10="",ROW()=6),"",IF(E9="","",H10-H9))</f>
        <v/>
      </c>
      <c r="J10" s="93" t="n"/>
    </row>
    <row r="11">
      <c r="E11" s="107" t="n">
        <v>45901</v>
      </c>
      <c r="F11" s="97" t="n">
        <v>544655.29</v>
      </c>
      <c r="G11" s="97" t="n">
        <v>354605.88</v>
      </c>
      <c r="H11" s="51">
        <f>IF(E11="","",F11-G11)</f>
        <v/>
      </c>
      <c r="I11" s="51">
        <f>IF(OR(E11="",ROW()=6),"",IF(E10="","",H11-H10))</f>
        <v/>
      </c>
      <c r="J11" s="93" t="n"/>
    </row>
    <row r="12">
      <c r="A12" s="11" t="inlineStr">
        <is>
          <t>Credit cards</t>
        </is>
      </c>
      <c r="B12" s="58">
        <f>-SUMIFS(Accounts!$M:$M,Accounts!$F:$F,"Credit Cards")</f>
        <v/>
      </c>
      <c r="E12" s="107" t="n">
        <v>45931</v>
      </c>
      <c r="F12" s="97" t="n">
        <v>546482.35</v>
      </c>
      <c r="G12" s="97" t="n">
        <v>353947.06</v>
      </c>
      <c r="H12" s="51">
        <f>IF(E12="","",F12-G12)</f>
        <v/>
      </c>
      <c r="I12" s="51">
        <f>IF(OR(E12="",ROW()=6),"",IF(E11="","",H12-H11))</f>
        <v/>
      </c>
      <c r="J12" s="93" t="n"/>
    </row>
    <row r="13">
      <c r="A13" s="11" t="inlineStr">
        <is>
          <t>Mortgage</t>
        </is>
      </c>
      <c r="B13" s="58">
        <f>-SUMIFS(Accounts!$M:$M,Accounts!$F:$F,"Mortgage")</f>
        <v/>
      </c>
      <c r="E13" s="107" t="n">
        <v>45962</v>
      </c>
      <c r="F13" s="97" t="n">
        <v>547549.41</v>
      </c>
      <c r="G13" s="97" t="n">
        <v>353288.24</v>
      </c>
      <c r="H13" s="51">
        <f>IF(E13="","",F13-G13)</f>
        <v/>
      </c>
      <c r="I13" s="51">
        <f>IF(OR(E13="",ROW()=6),"",IF(E12="","",H13-H12))</f>
        <v/>
      </c>
      <c r="J13" s="93" t="n"/>
    </row>
    <row r="14">
      <c r="A14" s="11" t="inlineStr">
        <is>
          <t>Loans</t>
        </is>
      </c>
      <c r="B14" s="58">
        <f>-SUMIFS(Accounts!$M:$M,Accounts!$F:$F,"Loans")</f>
        <v/>
      </c>
      <c r="E14" s="107" t="n">
        <v>45992</v>
      </c>
      <c r="F14" s="97" t="n">
        <v>549376.47</v>
      </c>
      <c r="G14" s="97" t="n">
        <v>352629.41</v>
      </c>
      <c r="H14" s="51">
        <f>IF(E14="","",F14-G14)</f>
        <v/>
      </c>
      <c r="I14" s="51">
        <f>IF(OR(E14="",ROW()=6),"",IF(E13="","",H14-H13))</f>
        <v/>
      </c>
      <c r="J14" s="93" t="n"/>
    </row>
    <row r="15">
      <c r="A15" s="11" t="inlineStr">
        <is>
          <t>Other debts</t>
        </is>
      </c>
      <c r="B15" s="58">
        <f>-SUMIFS(Accounts!$M:$M,Accounts!$F:$F,"Other Debts")</f>
        <v/>
      </c>
      <c r="E15" s="107" t="n">
        <v>46023</v>
      </c>
      <c r="F15" s="97" t="n">
        <v>551473.53</v>
      </c>
      <c r="G15" s="97" t="n">
        <v>351970.59</v>
      </c>
      <c r="H15" s="51">
        <f>IF(E15="","",F15-G15)</f>
        <v/>
      </c>
      <c r="I15" s="51">
        <f>IF(OR(E15="",ROW()=6),"",IF(E14="","",H15-H14))</f>
        <v/>
      </c>
      <c r="J15" s="93" t="n"/>
    </row>
    <row r="16">
      <c r="A16" s="20" t="inlineStr">
        <is>
          <t>Total liabilities</t>
        </is>
      </c>
      <c r="B16" s="59">
        <f>SUM(B12:B15)</f>
        <v/>
      </c>
      <c r="E16" s="107" t="n">
        <v>46054</v>
      </c>
      <c r="F16" s="97" t="n">
        <v>552270.59</v>
      </c>
      <c r="G16" s="97" t="n">
        <v>351311.76</v>
      </c>
      <c r="H16" s="51">
        <f>IF(E16="","",F16-G16)</f>
        <v/>
      </c>
      <c r="I16" s="51">
        <f>IF(OR(E16="",ROW()=6),"",IF(E15="","",H16-H15))</f>
        <v/>
      </c>
      <c r="J16" s="93" t="n"/>
    </row>
    <row r="17">
      <c r="E17" s="107" t="n">
        <v>46082</v>
      </c>
      <c r="F17" s="97" t="n">
        <v>553337.65</v>
      </c>
      <c r="G17" s="97" t="n">
        <v>350652.94</v>
      </c>
      <c r="H17" s="51">
        <f>IF(E17="","",F17-G17)</f>
        <v/>
      </c>
      <c r="I17" s="51">
        <f>IF(OR(E17="",ROW()=6),"",IF(E16="","",H17-H16))</f>
        <v/>
      </c>
      <c r="J17" s="93" t="inlineStr">
        <is>
          <t>Bonus month</t>
        </is>
      </c>
    </row>
    <row r="18">
      <c r="A18" s="108" t="inlineStr">
        <is>
          <t>Net worth</t>
        </is>
      </c>
      <c r="B18" s="109">
        <f>B10-B16</f>
        <v/>
      </c>
      <c r="E18" s="107" t="n">
        <v>46113</v>
      </c>
      <c r="F18" s="97" t="n">
        <v>555164.71</v>
      </c>
      <c r="G18" s="97" t="n">
        <v>349994.12</v>
      </c>
      <c r="H18" s="51">
        <f>IF(E18="","",F18-G18)</f>
        <v/>
      </c>
      <c r="I18" s="51">
        <f>IF(OR(E18="",ROW()=6),"",IF(E17="","",H18-H17))</f>
        <v/>
      </c>
      <c r="J18" s="93" t="n"/>
    </row>
    <row r="19">
      <c r="A19" s="11" t="inlineStr">
        <is>
          <t>Debt-to-asset ratio</t>
        </is>
      </c>
      <c r="B19" s="105">
        <f>IF(B10=0,0,B16/B10)</f>
        <v/>
      </c>
      <c r="E19" s="107" t="n">
        <v>46143</v>
      </c>
      <c r="F19" s="97" t="n">
        <v>556231.76</v>
      </c>
      <c r="G19" s="97" t="n">
        <v>349335.29</v>
      </c>
      <c r="H19" s="51">
        <f>IF(E19="","",F19-G19)</f>
        <v/>
      </c>
      <c r="I19" s="51">
        <f>IF(OR(E19="",ROW()=6),"",IF(E18="","",H19-H18))</f>
        <v/>
      </c>
      <c r="J19" s="93" t="n"/>
    </row>
    <row r="20">
      <c r="A20" s="11" t="inlineStr">
        <is>
          <t>Liquid net worth (excl. home &amp; retirement)</t>
        </is>
      </c>
      <c r="B20" s="58">
        <f>B5+B6+B9-B12-B14-B15</f>
        <v/>
      </c>
      <c r="E20" s="107" t="n">
        <v>46174</v>
      </c>
      <c r="F20" s="97" t="n">
        <v>558058.8199999999</v>
      </c>
      <c r="G20" s="97" t="n">
        <v>348676.47</v>
      </c>
      <c r="H20" s="51">
        <f>IF(E20="","",F20-G20)</f>
        <v/>
      </c>
      <c r="I20" s="51">
        <f>IF(OR(E20="",ROW()=6),"",IF(E19="","",H20-H19))</f>
        <v/>
      </c>
      <c r="J20" s="93" t="n"/>
    </row>
    <row r="21">
      <c r="E21" s="107" t="n">
        <v>46204</v>
      </c>
      <c r="F21" s="97" t="n">
        <v>560155.88</v>
      </c>
      <c r="G21" s="97" t="n">
        <v>348017.65</v>
      </c>
      <c r="H21" s="51">
        <f>IF(E21="","",F21-G21)</f>
        <v/>
      </c>
      <c r="I21" s="51">
        <f>IF(OR(E21="",ROW()=6),"",IF(E20="","",H21-H20))</f>
        <v/>
      </c>
      <c r="J21" s="93" t="n"/>
    </row>
    <row r="22" ht="40" customHeight="1">
      <c r="A22" s="110" t="inlineStr">
        <is>
          <t>Press Record This Month to save today's totals in the history table. Saving again in the same month updates it.</t>
        </is>
      </c>
      <c r="E22" s="107" t="n">
        <v>46235</v>
      </c>
      <c r="F22" s="97" t="n">
        <v>560952.9399999999</v>
      </c>
      <c r="G22" s="97" t="n">
        <v>347358.82</v>
      </c>
      <c r="H22" s="51">
        <f>IF(E22="","",F22-G22)</f>
        <v/>
      </c>
      <c r="I22" s="51">
        <f>IF(OR(E22="",ROW()=6),"",IF(E21="","",H22-H21))</f>
        <v/>
      </c>
      <c r="J22" s="93" t="n"/>
    </row>
    <row r="23">
      <c r="E23" s="107" t="n">
        <v>46266</v>
      </c>
      <c r="F23" s="97" t="n">
        <v>562020</v>
      </c>
      <c r="G23" s="97" t="n">
        <v>346700</v>
      </c>
      <c r="H23" s="51">
        <f>IF(E23="","",F23-G23)</f>
        <v/>
      </c>
      <c r="I23" s="51">
        <f>IF(OR(E23="",ROW()=6),"",IF(E22="","",H23-H22))</f>
        <v/>
      </c>
      <c r="J23" s="93" t="n"/>
    </row>
  </sheetData>
  <conditionalFormatting sqref="I6:I63">
    <cfRule type="cellIs" priority="1" operator="lessThan" dxfId="6">
      <formula>0</formula>
    </cfRule>
  </conditionalFormatting>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tableParts count="1">
    <tablePart xmlns:r="http://schemas.openxmlformats.org/officeDocument/2006/relationships" r:id="rId2"/>
  </tableParts>
</worksheet>
</file>

<file path=xl/worksheets/sheet11.xml><?xml version="1.0" encoding="utf-8"?>
<worksheet xmlns="http://schemas.openxmlformats.org/spreadsheetml/2006/main">
  <sheetPr codeName="shDebt">
    <tabColor rgb="007C3AED"/>
    <outlinePr summaryBelow="1" summaryRight="1"/>
    <pageSetUpPr fitToPage="1"/>
  </sheetPr>
  <dimension ref="A1:L29"/>
  <sheetViews>
    <sheetView showGridLines="0" tabSelected="0" zoomScale="100" workbookViewId="0">
      <pane ySplit="4" topLeftCell="A5" activePane="bottomLeft" state="frozen"/>
      <selection pane="bottomLeft" activeCell="A1" sqref="A1"/>
    </sheetView>
  </sheetViews>
  <sheetFormatPr baseColWidth="8" defaultRowHeight="15"/>
  <cols>
    <col width="26" customWidth="1" min="1" max="1"/>
    <col width="13" customWidth="1" min="2" max="2"/>
    <col width="13" customWidth="1" min="3" max="3"/>
    <col width="13" customWidth="1" min="4" max="4"/>
    <col width="13" customWidth="1" min="5" max="5"/>
    <col width="12" customWidth="1" min="6" max="6"/>
    <col width="12" customWidth="1" min="7" max="7"/>
    <col width="1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Debt Payoff Planner</t>
        </is>
      </c>
    </row>
    <row r="2" ht="20" customHeight="1">
      <c r="A2" s="61" t="inlineStr">
        <is>
          <t>Compare the avalanche (highest rate first) and snowball (smallest balance first) methods. Mortgages are on their own tab.</t>
        </is>
      </c>
      <c r="B2" s="2" t="n"/>
      <c r="C2" s="2" t="n"/>
      <c r="D2" s="2" t="n"/>
      <c r="E2" s="2" t="n"/>
      <c r="F2" s="2" t="n"/>
      <c r="G2" s="2" t="n"/>
      <c r="H2" s="2" t="n"/>
      <c r="I2" s="2" t="n"/>
      <c r="J2" s="2" t="n"/>
      <c r="K2" s="2" t="n"/>
      <c r="L2" s="2" t="n"/>
    </row>
    <row r="4" ht="24" customHeight="1">
      <c r="A4" s="4" t="inlineStr">
        <is>
          <t>YOUR PLAN</t>
        </is>
      </c>
      <c r="B4" s="2" t="n"/>
      <c r="C4" s="2" t="n"/>
      <c r="D4" s="2" t="n"/>
    </row>
    <row r="5">
      <c r="A5" s="20" t="inlineStr">
        <is>
          <t>Extra payment each month</t>
        </is>
      </c>
      <c r="C5" s="111" t="n">
        <v>250</v>
      </c>
    </row>
    <row r="6">
      <c r="A6" s="20" t="inlineStr">
        <is>
          <t>Method to show per debt</t>
        </is>
      </c>
      <c r="C6" s="64" t="inlineStr">
        <is>
          <t>Avalanche (highest rate first)</t>
        </is>
      </c>
      <c r="D6" s="112" t="n"/>
    </row>
    <row r="7">
      <c r="A7" s="20" t="inlineStr">
        <is>
          <t>Start month</t>
        </is>
      </c>
      <c r="C7" s="113" t="n">
        <v>46327</v>
      </c>
    </row>
    <row r="8">
      <c r="A8" s="20" t="inlineStr">
        <is>
          <t>Total monthly debt budget</t>
        </is>
      </c>
      <c r="C8" s="58">
        <f>SUMIFS(D11:D20,E11:E20,"Yes",B11:B20,"&gt;0")+C5</f>
        <v/>
      </c>
      <c r="D8" s="17" t="inlineStr">
        <is>
          <t>minimums + extra</t>
        </is>
      </c>
    </row>
    <row r="10" ht="42" customHeight="1">
      <c r="A10" s="35" t="inlineStr">
        <is>
          <t>Debt</t>
        </is>
      </c>
      <c r="B10" s="38" t="inlineStr">
        <is>
          <t>Balance</t>
        </is>
      </c>
      <c r="C10" s="38" t="inlineStr">
        <is>
          <t>APR</t>
        </is>
      </c>
      <c r="D10" s="38" t="inlineStr">
        <is>
          <t>Minimum Payment</t>
        </is>
      </c>
      <c r="E10" s="38" t="inlineStr">
        <is>
          <t>Include?</t>
        </is>
      </c>
      <c r="F10" s="38" t="inlineStr">
        <is>
          <t>Snowball Order</t>
        </is>
      </c>
      <c r="G10" s="38" t="inlineStr">
        <is>
          <t>Avalanche Order</t>
        </is>
      </c>
      <c r="H10" s="38" t="inlineStr">
        <is>
          <t>Paid Off In (months)</t>
        </is>
      </c>
      <c r="I10" s="38" t="inlineStr">
        <is>
          <t>Paid Off On</t>
        </is>
      </c>
      <c r="J10" s="38" t="inlineStr">
        <is>
          <t>Interest Paid</t>
        </is>
      </c>
      <c r="K10" s="38" t="inlineStr">
        <is>
          <t>Minimums Only: Months</t>
        </is>
      </c>
      <c r="L10" s="38" t="inlineStr">
        <is>
          <t>Minimums Only: Interest</t>
        </is>
      </c>
    </row>
    <row r="11">
      <c r="A11" s="93" t="inlineStr">
        <is>
          <t>Store card</t>
        </is>
      </c>
      <c r="B11" s="88" t="n">
        <v>1240</v>
      </c>
      <c r="C11" s="98" t="n">
        <v>0.2199</v>
      </c>
      <c r="D11" s="88" t="n">
        <v>40</v>
      </c>
      <c r="E11" s="94" t="inlineStr">
        <is>
          <t>Yes</t>
        </is>
      </c>
      <c r="F11" s="114">
        <f>IF(AND(A11&lt;&gt;"",E11="Yes",N(B11)&gt;0),COUNTIFS($E$11:$E$20,"Yes",$B$11:$B$20,"&gt;0",$A$11:$A$20,"&lt;&gt;",$B$11:$B$20,"&lt;"&amp;B11)+COUNTIFS($E$11:E11,"Yes",$B$11:B11,"&gt;0",$A$11:A11,"&lt;&gt;",$B$11:B11,B11),"")</f>
        <v/>
      </c>
      <c r="G11" s="114">
        <f>IF(AND(A11&lt;&gt;"",E11="Yes",N(B11)&gt;0),COUNTIFS($E$11:$E$20,"Yes",$B$11:$B$20,"&gt;0",$A$11:$A$20,"&lt;&gt;",$C$11:$C$20,"&gt;"&amp;C11)+COUNTIFS($E$11:E11,"Yes",$B$11:B11,"&gt;0",$A$11:A11,"&lt;&gt;",$C$11:C11,C11),"")</f>
        <v/>
      </c>
      <c r="H11" s="114">
        <f>IF(NOT(AND(A11&lt;&gt;"",E11="Yes",N(B11)&gt;0)),"",IF(LEFT($C$6,1)="A",COUNTIF(INDEX('Debt Calc'!$C$12:$AP$491,0,4*G11),"&gt;0.005"),COUNTIF(INDEX('Debt Calc'!$AX$12:$CK$491,0,4*F11),"&gt;0.005"))+1)</f>
        <v/>
      </c>
      <c r="I11" s="115">
        <f>IF(H11="","",IF(H11&gt;480,"Over 40 years",EDATE($C$7,H11-1)))</f>
        <v/>
      </c>
      <c r="J11" s="51">
        <f>IF(NOT(AND(A11&lt;&gt;"",E11="Yes",N(B11)&gt;0)),"",IF(LEFT($C$6,1)="A",SUM(INDEX('Debt Calc'!$C$12:$AP$491,0,4*G11-2))+SUM(INDEX('Debt Calc'!$C$12:$AP$491,0,4*G11-1)),SUM(INDEX('Debt Calc'!$AX$12:$CK$491,0,4*F11-2))+SUM(INDEX('Debt Calc'!$AX$12:$CK$491,0,4*F11-1)))-B11)</f>
        <v/>
      </c>
      <c r="K11" s="100">
        <f>IF(NOT(AND(A11&lt;&gt;"",E11="Yes",N(B11)&gt;0)),"",IF(D11&lt;=B11*C11/12,"Never",ROUNDUP(NPER(C11/12,-D11,B11),0)))</f>
        <v/>
      </c>
      <c r="L11" s="51">
        <f>IF(OR(K11="",K11="Never"),"",D11*(K11-1)-FV(C11/12,K11-1,-D11,B11)*(1+C11/12)-B11)</f>
        <v/>
      </c>
    </row>
    <row r="12">
      <c r="A12" s="93" t="inlineStr">
        <is>
          <t>Travel credit card</t>
        </is>
      </c>
      <c r="B12" s="88" t="n">
        <v>4350</v>
      </c>
      <c r="C12" s="98" t="n">
        <v>0.2749</v>
      </c>
      <c r="D12" s="88" t="n">
        <v>110</v>
      </c>
      <c r="E12" s="94" t="inlineStr">
        <is>
          <t>Yes</t>
        </is>
      </c>
      <c r="F12" s="114">
        <f>IF(AND(A12&lt;&gt;"",E12="Yes",N(B12)&gt;0),COUNTIFS($E$11:$E$20,"Yes",$B$11:$B$20,"&gt;0",$A$11:$A$20,"&lt;&gt;",$B$11:$B$20,"&lt;"&amp;B12)+COUNTIFS($E$11:E12,"Yes",$B$11:B12,"&gt;0",$A$11:A12,"&lt;&gt;",$B$11:B12,B12),"")</f>
        <v/>
      </c>
      <c r="G12" s="114">
        <f>IF(AND(A12&lt;&gt;"",E12="Yes",N(B12)&gt;0),COUNTIFS($E$11:$E$20,"Yes",$B$11:$B$20,"&gt;0",$A$11:$A$20,"&lt;&gt;",$C$11:$C$20,"&gt;"&amp;C12)+COUNTIFS($E$11:E12,"Yes",$B$11:B12,"&gt;0",$A$11:A12,"&lt;&gt;",$C$11:C12,C12),"")</f>
        <v/>
      </c>
      <c r="H12" s="114">
        <f>IF(NOT(AND(A12&lt;&gt;"",E12="Yes",N(B12)&gt;0)),"",IF(LEFT($C$6,1)="A",COUNTIF(INDEX('Debt Calc'!$C$12:$AP$491,0,4*G12),"&gt;0.005"),COUNTIF(INDEX('Debt Calc'!$AX$12:$CK$491,0,4*F12),"&gt;0.005"))+1)</f>
        <v/>
      </c>
      <c r="I12" s="115">
        <f>IF(H12="","",IF(H12&gt;480,"Over 40 years",EDATE($C$7,H12-1)))</f>
        <v/>
      </c>
      <c r="J12" s="51">
        <f>IF(NOT(AND(A12&lt;&gt;"",E12="Yes",N(B12)&gt;0)),"",IF(LEFT($C$6,1)="A",SUM(INDEX('Debt Calc'!$C$12:$AP$491,0,4*G12-2))+SUM(INDEX('Debt Calc'!$C$12:$AP$491,0,4*G12-1)),SUM(INDEX('Debt Calc'!$AX$12:$CK$491,0,4*F12-2))+SUM(INDEX('Debt Calc'!$AX$12:$CK$491,0,4*F12-1)))-B12)</f>
        <v/>
      </c>
      <c r="K12" s="100">
        <f>IF(NOT(AND(A12&lt;&gt;"",E12="Yes",N(B12)&gt;0)),"",IF(D12&lt;=B12*C12/12,"Never",ROUNDUP(NPER(C12/12,-D12,B12),0)))</f>
        <v/>
      </c>
      <c r="L12" s="51">
        <f>IF(OR(K12="",K12="Never"),"",D12*(K12-1)-FV(C12/12,K12-1,-D12,B12)*(1+C12/12)-B12)</f>
        <v/>
      </c>
    </row>
    <row r="13">
      <c r="A13" s="93" t="inlineStr">
        <is>
          <t>Personal loan</t>
        </is>
      </c>
      <c r="B13" s="88" t="n">
        <v>5800</v>
      </c>
      <c r="C13" s="98" t="n">
        <v>0.119</v>
      </c>
      <c r="D13" s="88" t="n">
        <v>190</v>
      </c>
      <c r="E13" s="94" t="inlineStr">
        <is>
          <t>Yes</t>
        </is>
      </c>
      <c r="F13" s="114">
        <f>IF(AND(A13&lt;&gt;"",E13="Yes",N(B13)&gt;0),COUNTIFS($E$11:$E$20,"Yes",$B$11:$B$20,"&gt;0",$A$11:$A$20,"&lt;&gt;",$B$11:$B$20,"&lt;"&amp;B13)+COUNTIFS($E$11:E13,"Yes",$B$11:B13,"&gt;0",$A$11:A13,"&lt;&gt;",$B$11:B13,B13),"")</f>
        <v/>
      </c>
      <c r="G13" s="114">
        <f>IF(AND(A13&lt;&gt;"",E13="Yes",N(B13)&gt;0),COUNTIFS($E$11:$E$20,"Yes",$B$11:$B$20,"&gt;0",$A$11:$A$20,"&lt;&gt;",$C$11:$C$20,"&gt;"&amp;C13)+COUNTIFS($E$11:E13,"Yes",$B$11:B13,"&gt;0",$A$11:A13,"&lt;&gt;",$C$11:C13,C13),"")</f>
        <v/>
      </c>
      <c r="H13" s="114">
        <f>IF(NOT(AND(A13&lt;&gt;"",E13="Yes",N(B13)&gt;0)),"",IF(LEFT($C$6,1)="A",COUNTIF(INDEX('Debt Calc'!$C$12:$AP$491,0,4*G13),"&gt;0.005"),COUNTIF(INDEX('Debt Calc'!$AX$12:$CK$491,0,4*F13),"&gt;0.005"))+1)</f>
        <v/>
      </c>
      <c r="I13" s="115">
        <f>IF(H13="","",IF(H13&gt;480,"Over 40 years",EDATE($C$7,H13-1)))</f>
        <v/>
      </c>
      <c r="J13" s="51">
        <f>IF(NOT(AND(A13&lt;&gt;"",E13="Yes",N(B13)&gt;0)),"",IF(LEFT($C$6,1)="A",SUM(INDEX('Debt Calc'!$C$12:$AP$491,0,4*G13-2))+SUM(INDEX('Debt Calc'!$C$12:$AP$491,0,4*G13-1)),SUM(INDEX('Debt Calc'!$AX$12:$CK$491,0,4*F13-2))+SUM(INDEX('Debt Calc'!$AX$12:$CK$491,0,4*F13-1)))-B13)</f>
        <v/>
      </c>
      <c r="K13" s="100">
        <f>IF(NOT(AND(A13&lt;&gt;"",E13="Yes",N(B13)&gt;0)),"",IF(D13&lt;=B13*C13/12,"Never",ROUNDUP(NPER(C13/12,-D13,B13),0)))</f>
        <v/>
      </c>
      <c r="L13" s="51">
        <f>IF(OR(K13="",K13="Never"),"",D13*(K13-1)-FV(C13/12,K13-1,-D13,B13)*(1+C13/12)-B13)</f>
        <v/>
      </c>
    </row>
    <row r="14">
      <c r="A14" s="93" t="inlineStr">
        <is>
          <t>Auto loan</t>
        </is>
      </c>
      <c r="B14" s="88" t="n">
        <v>14600</v>
      </c>
      <c r="C14" s="98" t="n">
        <v>0.064</v>
      </c>
      <c r="D14" s="88" t="n">
        <v>385</v>
      </c>
      <c r="E14" s="94" t="inlineStr">
        <is>
          <t>Yes</t>
        </is>
      </c>
      <c r="F14" s="114">
        <f>IF(AND(A14&lt;&gt;"",E14="Yes",N(B14)&gt;0),COUNTIFS($E$11:$E$20,"Yes",$B$11:$B$20,"&gt;0",$A$11:$A$20,"&lt;&gt;",$B$11:$B$20,"&lt;"&amp;B14)+COUNTIFS($E$11:E14,"Yes",$B$11:B14,"&gt;0",$A$11:A14,"&lt;&gt;",$B$11:B14,B14),"")</f>
        <v/>
      </c>
      <c r="G14" s="114">
        <f>IF(AND(A14&lt;&gt;"",E14="Yes",N(B14)&gt;0),COUNTIFS($E$11:$E$20,"Yes",$B$11:$B$20,"&gt;0",$A$11:$A$20,"&lt;&gt;",$C$11:$C$20,"&gt;"&amp;C14)+COUNTIFS($E$11:E14,"Yes",$B$11:B14,"&gt;0",$A$11:A14,"&lt;&gt;",$C$11:C14,C14),"")</f>
        <v/>
      </c>
      <c r="H14" s="114">
        <f>IF(NOT(AND(A14&lt;&gt;"",E14="Yes",N(B14)&gt;0)),"",IF(LEFT($C$6,1)="A",COUNTIF(INDEX('Debt Calc'!$C$12:$AP$491,0,4*G14),"&gt;0.005"),COUNTIF(INDEX('Debt Calc'!$AX$12:$CK$491,0,4*F14),"&gt;0.005"))+1)</f>
        <v/>
      </c>
      <c r="I14" s="115">
        <f>IF(H14="","",IF(H14&gt;480,"Over 40 years",EDATE($C$7,H14-1)))</f>
        <v/>
      </c>
      <c r="J14" s="51">
        <f>IF(NOT(AND(A14&lt;&gt;"",E14="Yes",N(B14)&gt;0)),"",IF(LEFT($C$6,1)="A",SUM(INDEX('Debt Calc'!$C$12:$AP$491,0,4*G14-2))+SUM(INDEX('Debt Calc'!$C$12:$AP$491,0,4*G14-1)),SUM(INDEX('Debt Calc'!$AX$12:$CK$491,0,4*F14-2))+SUM(INDEX('Debt Calc'!$AX$12:$CK$491,0,4*F14-1)))-B14)</f>
        <v/>
      </c>
      <c r="K14" s="100">
        <f>IF(NOT(AND(A14&lt;&gt;"",E14="Yes",N(B14)&gt;0)),"",IF(D14&lt;=B14*C14/12,"Never",ROUNDUP(NPER(C14/12,-D14,B14),0)))</f>
        <v/>
      </c>
      <c r="L14" s="51">
        <f>IF(OR(K14="",K14="Never"),"",D14*(K14-1)-FV(C14/12,K14-1,-D14,B14)*(1+C14/12)-B14)</f>
        <v/>
      </c>
    </row>
    <row r="15">
      <c r="A15" s="93" t="inlineStr">
        <is>
          <t>Student loan</t>
        </is>
      </c>
      <c r="B15" s="88" t="n">
        <v>21300</v>
      </c>
      <c r="C15" s="98" t="n">
        <v>0.055</v>
      </c>
      <c r="D15" s="88" t="n">
        <v>260</v>
      </c>
      <c r="E15" s="94" t="inlineStr">
        <is>
          <t>Yes</t>
        </is>
      </c>
      <c r="F15" s="114">
        <f>IF(AND(A15&lt;&gt;"",E15="Yes",N(B15)&gt;0),COUNTIFS($E$11:$E$20,"Yes",$B$11:$B$20,"&gt;0",$A$11:$A$20,"&lt;&gt;",$B$11:$B$20,"&lt;"&amp;B15)+COUNTIFS($E$11:E15,"Yes",$B$11:B15,"&gt;0",$A$11:A15,"&lt;&gt;",$B$11:B15,B15),"")</f>
        <v/>
      </c>
      <c r="G15" s="114">
        <f>IF(AND(A15&lt;&gt;"",E15="Yes",N(B15)&gt;0),COUNTIFS($E$11:$E$20,"Yes",$B$11:$B$20,"&gt;0",$A$11:$A$20,"&lt;&gt;",$C$11:$C$20,"&gt;"&amp;C15)+COUNTIFS($E$11:E15,"Yes",$B$11:B15,"&gt;0",$A$11:A15,"&lt;&gt;",$C$11:C15,C15),"")</f>
        <v/>
      </c>
      <c r="H15" s="114">
        <f>IF(NOT(AND(A15&lt;&gt;"",E15="Yes",N(B15)&gt;0)),"",IF(LEFT($C$6,1)="A",COUNTIF(INDEX('Debt Calc'!$C$12:$AP$491,0,4*G15),"&gt;0.005"),COUNTIF(INDEX('Debt Calc'!$AX$12:$CK$491,0,4*F15),"&gt;0.005"))+1)</f>
        <v/>
      </c>
      <c r="I15" s="115">
        <f>IF(H15="","",IF(H15&gt;480,"Over 40 years",EDATE($C$7,H15-1)))</f>
        <v/>
      </c>
      <c r="J15" s="51">
        <f>IF(NOT(AND(A15&lt;&gt;"",E15="Yes",N(B15)&gt;0)),"",IF(LEFT($C$6,1)="A",SUM(INDEX('Debt Calc'!$C$12:$AP$491,0,4*G15-2))+SUM(INDEX('Debt Calc'!$C$12:$AP$491,0,4*G15-1)),SUM(INDEX('Debt Calc'!$AX$12:$CK$491,0,4*F15-2))+SUM(INDEX('Debt Calc'!$AX$12:$CK$491,0,4*F15-1)))-B15)</f>
        <v/>
      </c>
      <c r="K15" s="100">
        <f>IF(NOT(AND(A15&lt;&gt;"",E15="Yes",N(B15)&gt;0)),"",IF(D15&lt;=B15*C15/12,"Never",ROUNDUP(NPER(C15/12,-D15,B15),0)))</f>
        <v/>
      </c>
      <c r="L15" s="51">
        <f>IF(OR(K15="",K15="Never"),"",D15*(K15-1)-FV(C15/12,K15-1,-D15,B15)*(1+C15/12)-B15)</f>
        <v/>
      </c>
    </row>
    <row r="16">
      <c r="A16" s="93" t="n"/>
      <c r="B16" s="88" t="n"/>
      <c r="C16" s="98" t="n"/>
      <c r="D16" s="88" t="n"/>
      <c r="E16" s="94" t="n"/>
      <c r="F16" s="114">
        <f>IF(AND(A16&lt;&gt;"",E16="Yes",N(B16)&gt;0),COUNTIFS($E$11:$E$20,"Yes",$B$11:$B$20,"&gt;0",$A$11:$A$20,"&lt;&gt;",$B$11:$B$20,"&lt;"&amp;B16)+COUNTIFS($E$11:E16,"Yes",$B$11:B16,"&gt;0",$A$11:A16,"&lt;&gt;",$B$11:B16,B16),"")</f>
        <v/>
      </c>
      <c r="G16" s="114">
        <f>IF(AND(A16&lt;&gt;"",E16="Yes",N(B16)&gt;0),COUNTIFS($E$11:$E$20,"Yes",$B$11:$B$20,"&gt;0",$A$11:$A$20,"&lt;&gt;",$C$11:$C$20,"&gt;"&amp;C16)+COUNTIFS($E$11:E16,"Yes",$B$11:B16,"&gt;0",$A$11:A16,"&lt;&gt;",$C$11:C16,C16),"")</f>
        <v/>
      </c>
      <c r="H16" s="114">
        <f>IF(NOT(AND(A16&lt;&gt;"",E16="Yes",N(B16)&gt;0)),"",IF(LEFT($C$6,1)="A",COUNTIF(INDEX('Debt Calc'!$C$12:$AP$491,0,4*G16),"&gt;0.005"),COUNTIF(INDEX('Debt Calc'!$AX$12:$CK$491,0,4*F16),"&gt;0.005"))+1)</f>
        <v/>
      </c>
      <c r="I16" s="115">
        <f>IF(H16="","",IF(H16&gt;480,"Over 40 years",EDATE($C$7,H16-1)))</f>
        <v/>
      </c>
      <c r="J16" s="51">
        <f>IF(NOT(AND(A16&lt;&gt;"",E16="Yes",N(B16)&gt;0)),"",IF(LEFT($C$6,1)="A",SUM(INDEX('Debt Calc'!$C$12:$AP$491,0,4*G16-2))+SUM(INDEX('Debt Calc'!$C$12:$AP$491,0,4*G16-1)),SUM(INDEX('Debt Calc'!$AX$12:$CK$491,0,4*F16-2))+SUM(INDEX('Debt Calc'!$AX$12:$CK$491,0,4*F16-1)))-B16)</f>
        <v/>
      </c>
      <c r="K16" s="100">
        <f>IF(NOT(AND(A16&lt;&gt;"",E16="Yes",N(B16)&gt;0)),"",IF(D16&lt;=B16*C16/12,"Never",ROUNDUP(NPER(C16/12,-D16,B16),0)))</f>
        <v/>
      </c>
      <c r="L16" s="51">
        <f>IF(OR(K16="",K16="Never"),"",D16*(K16-1)-FV(C16/12,K16-1,-D16,B16)*(1+C16/12)-B16)</f>
        <v/>
      </c>
    </row>
    <row r="17">
      <c r="A17" s="93" t="n"/>
      <c r="B17" s="88" t="n"/>
      <c r="C17" s="98" t="n"/>
      <c r="D17" s="88" t="n"/>
      <c r="E17" s="94" t="n"/>
      <c r="F17" s="114">
        <f>IF(AND(A17&lt;&gt;"",E17="Yes",N(B17)&gt;0),COUNTIFS($E$11:$E$20,"Yes",$B$11:$B$20,"&gt;0",$A$11:$A$20,"&lt;&gt;",$B$11:$B$20,"&lt;"&amp;B17)+COUNTIFS($E$11:E17,"Yes",$B$11:B17,"&gt;0",$A$11:A17,"&lt;&gt;",$B$11:B17,B17),"")</f>
        <v/>
      </c>
      <c r="G17" s="114">
        <f>IF(AND(A17&lt;&gt;"",E17="Yes",N(B17)&gt;0),COUNTIFS($E$11:$E$20,"Yes",$B$11:$B$20,"&gt;0",$A$11:$A$20,"&lt;&gt;",$C$11:$C$20,"&gt;"&amp;C17)+COUNTIFS($E$11:E17,"Yes",$B$11:B17,"&gt;0",$A$11:A17,"&lt;&gt;",$C$11:C17,C17),"")</f>
        <v/>
      </c>
      <c r="H17" s="114">
        <f>IF(NOT(AND(A17&lt;&gt;"",E17="Yes",N(B17)&gt;0)),"",IF(LEFT($C$6,1)="A",COUNTIF(INDEX('Debt Calc'!$C$12:$AP$491,0,4*G17),"&gt;0.005"),COUNTIF(INDEX('Debt Calc'!$AX$12:$CK$491,0,4*F17),"&gt;0.005"))+1)</f>
        <v/>
      </c>
      <c r="I17" s="115">
        <f>IF(H17="","",IF(H17&gt;480,"Over 40 years",EDATE($C$7,H17-1)))</f>
        <v/>
      </c>
      <c r="J17" s="51">
        <f>IF(NOT(AND(A17&lt;&gt;"",E17="Yes",N(B17)&gt;0)),"",IF(LEFT($C$6,1)="A",SUM(INDEX('Debt Calc'!$C$12:$AP$491,0,4*G17-2))+SUM(INDEX('Debt Calc'!$C$12:$AP$491,0,4*G17-1)),SUM(INDEX('Debt Calc'!$AX$12:$CK$491,0,4*F17-2))+SUM(INDEX('Debt Calc'!$AX$12:$CK$491,0,4*F17-1)))-B17)</f>
        <v/>
      </c>
      <c r="K17" s="100">
        <f>IF(NOT(AND(A17&lt;&gt;"",E17="Yes",N(B17)&gt;0)),"",IF(D17&lt;=B17*C17/12,"Never",ROUNDUP(NPER(C17/12,-D17,B17),0)))</f>
        <v/>
      </c>
      <c r="L17" s="51">
        <f>IF(OR(K17="",K17="Never"),"",D17*(K17-1)-FV(C17/12,K17-1,-D17,B17)*(1+C17/12)-B17)</f>
        <v/>
      </c>
    </row>
    <row r="18">
      <c r="A18" s="93" t="n"/>
      <c r="B18" s="88" t="n"/>
      <c r="C18" s="98" t="n"/>
      <c r="D18" s="88" t="n"/>
      <c r="E18" s="94" t="n"/>
      <c r="F18" s="114">
        <f>IF(AND(A18&lt;&gt;"",E18="Yes",N(B18)&gt;0),COUNTIFS($E$11:$E$20,"Yes",$B$11:$B$20,"&gt;0",$A$11:$A$20,"&lt;&gt;",$B$11:$B$20,"&lt;"&amp;B18)+COUNTIFS($E$11:E18,"Yes",$B$11:B18,"&gt;0",$A$11:A18,"&lt;&gt;",$B$11:B18,B18),"")</f>
        <v/>
      </c>
      <c r="G18" s="114">
        <f>IF(AND(A18&lt;&gt;"",E18="Yes",N(B18)&gt;0),COUNTIFS($E$11:$E$20,"Yes",$B$11:$B$20,"&gt;0",$A$11:$A$20,"&lt;&gt;",$C$11:$C$20,"&gt;"&amp;C18)+COUNTIFS($E$11:E18,"Yes",$B$11:B18,"&gt;0",$A$11:A18,"&lt;&gt;",$C$11:C18,C18),"")</f>
        <v/>
      </c>
      <c r="H18" s="114">
        <f>IF(NOT(AND(A18&lt;&gt;"",E18="Yes",N(B18)&gt;0)),"",IF(LEFT($C$6,1)="A",COUNTIF(INDEX('Debt Calc'!$C$12:$AP$491,0,4*G18),"&gt;0.005"),COUNTIF(INDEX('Debt Calc'!$AX$12:$CK$491,0,4*F18),"&gt;0.005"))+1)</f>
        <v/>
      </c>
      <c r="I18" s="115">
        <f>IF(H18="","",IF(H18&gt;480,"Over 40 years",EDATE($C$7,H18-1)))</f>
        <v/>
      </c>
      <c r="J18" s="51">
        <f>IF(NOT(AND(A18&lt;&gt;"",E18="Yes",N(B18)&gt;0)),"",IF(LEFT($C$6,1)="A",SUM(INDEX('Debt Calc'!$C$12:$AP$491,0,4*G18-2))+SUM(INDEX('Debt Calc'!$C$12:$AP$491,0,4*G18-1)),SUM(INDEX('Debt Calc'!$AX$12:$CK$491,0,4*F18-2))+SUM(INDEX('Debt Calc'!$AX$12:$CK$491,0,4*F18-1)))-B18)</f>
        <v/>
      </c>
      <c r="K18" s="100">
        <f>IF(NOT(AND(A18&lt;&gt;"",E18="Yes",N(B18)&gt;0)),"",IF(D18&lt;=B18*C18/12,"Never",ROUNDUP(NPER(C18/12,-D18,B18),0)))</f>
        <v/>
      </c>
      <c r="L18" s="51">
        <f>IF(OR(K18="",K18="Never"),"",D18*(K18-1)-FV(C18/12,K18-1,-D18,B18)*(1+C18/12)-B18)</f>
        <v/>
      </c>
    </row>
    <row r="19">
      <c r="A19" s="93" t="n"/>
      <c r="B19" s="88" t="n"/>
      <c r="C19" s="98" t="n"/>
      <c r="D19" s="88" t="n"/>
      <c r="E19" s="94" t="n"/>
      <c r="F19" s="114">
        <f>IF(AND(A19&lt;&gt;"",E19="Yes",N(B19)&gt;0),COUNTIFS($E$11:$E$20,"Yes",$B$11:$B$20,"&gt;0",$A$11:$A$20,"&lt;&gt;",$B$11:$B$20,"&lt;"&amp;B19)+COUNTIFS($E$11:E19,"Yes",$B$11:B19,"&gt;0",$A$11:A19,"&lt;&gt;",$B$11:B19,B19),"")</f>
        <v/>
      </c>
      <c r="G19" s="114">
        <f>IF(AND(A19&lt;&gt;"",E19="Yes",N(B19)&gt;0),COUNTIFS($E$11:$E$20,"Yes",$B$11:$B$20,"&gt;0",$A$11:$A$20,"&lt;&gt;",$C$11:$C$20,"&gt;"&amp;C19)+COUNTIFS($E$11:E19,"Yes",$B$11:B19,"&gt;0",$A$11:A19,"&lt;&gt;",$C$11:C19,C19),"")</f>
        <v/>
      </c>
      <c r="H19" s="114">
        <f>IF(NOT(AND(A19&lt;&gt;"",E19="Yes",N(B19)&gt;0)),"",IF(LEFT($C$6,1)="A",COUNTIF(INDEX('Debt Calc'!$C$12:$AP$491,0,4*G19),"&gt;0.005"),COUNTIF(INDEX('Debt Calc'!$AX$12:$CK$491,0,4*F19),"&gt;0.005"))+1)</f>
        <v/>
      </c>
      <c r="I19" s="115">
        <f>IF(H19="","",IF(H19&gt;480,"Over 40 years",EDATE($C$7,H19-1)))</f>
        <v/>
      </c>
      <c r="J19" s="51">
        <f>IF(NOT(AND(A19&lt;&gt;"",E19="Yes",N(B19)&gt;0)),"",IF(LEFT($C$6,1)="A",SUM(INDEX('Debt Calc'!$C$12:$AP$491,0,4*G19-2))+SUM(INDEX('Debt Calc'!$C$12:$AP$491,0,4*G19-1)),SUM(INDEX('Debt Calc'!$AX$12:$CK$491,0,4*F19-2))+SUM(INDEX('Debt Calc'!$AX$12:$CK$491,0,4*F19-1)))-B19)</f>
        <v/>
      </c>
      <c r="K19" s="100">
        <f>IF(NOT(AND(A19&lt;&gt;"",E19="Yes",N(B19)&gt;0)),"",IF(D19&lt;=B19*C19/12,"Never",ROUNDUP(NPER(C19/12,-D19,B19),0)))</f>
        <v/>
      </c>
      <c r="L19" s="51">
        <f>IF(OR(K19="",K19="Never"),"",D19*(K19-1)-FV(C19/12,K19-1,-D19,B19)*(1+C19/12)-B19)</f>
        <v/>
      </c>
    </row>
    <row r="20">
      <c r="A20" s="93" t="n"/>
      <c r="B20" s="88" t="n"/>
      <c r="C20" s="98" t="n"/>
      <c r="D20" s="88" t="n"/>
      <c r="E20" s="94" t="n"/>
      <c r="F20" s="114">
        <f>IF(AND(A20&lt;&gt;"",E20="Yes",N(B20)&gt;0),COUNTIFS($E$11:$E$20,"Yes",$B$11:$B$20,"&gt;0",$A$11:$A$20,"&lt;&gt;",$B$11:$B$20,"&lt;"&amp;B20)+COUNTIFS($E$11:E20,"Yes",$B$11:B20,"&gt;0",$A$11:A20,"&lt;&gt;",$B$11:B20,B20),"")</f>
        <v/>
      </c>
      <c r="G20" s="114">
        <f>IF(AND(A20&lt;&gt;"",E20="Yes",N(B20)&gt;0),COUNTIFS($E$11:$E$20,"Yes",$B$11:$B$20,"&gt;0",$A$11:$A$20,"&lt;&gt;",$C$11:$C$20,"&gt;"&amp;C20)+COUNTIFS($E$11:E20,"Yes",$B$11:B20,"&gt;0",$A$11:A20,"&lt;&gt;",$C$11:C20,C20),"")</f>
        <v/>
      </c>
      <c r="H20" s="114">
        <f>IF(NOT(AND(A20&lt;&gt;"",E20="Yes",N(B20)&gt;0)),"",IF(LEFT($C$6,1)="A",COUNTIF(INDEX('Debt Calc'!$C$12:$AP$491,0,4*G20),"&gt;0.005"),COUNTIF(INDEX('Debt Calc'!$AX$12:$CK$491,0,4*F20),"&gt;0.005"))+1)</f>
        <v/>
      </c>
      <c r="I20" s="115">
        <f>IF(H20="","",IF(H20&gt;480,"Over 40 years",EDATE($C$7,H20-1)))</f>
        <v/>
      </c>
      <c r="J20" s="51">
        <f>IF(NOT(AND(A20&lt;&gt;"",E20="Yes",N(B20)&gt;0)),"",IF(LEFT($C$6,1)="A",SUM(INDEX('Debt Calc'!$C$12:$AP$491,0,4*G20-2))+SUM(INDEX('Debt Calc'!$C$12:$AP$491,0,4*G20-1)),SUM(INDEX('Debt Calc'!$AX$12:$CK$491,0,4*F20-2))+SUM(INDEX('Debt Calc'!$AX$12:$CK$491,0,4*F20-1)))-B20)</f>
        <v/>
      </c>
      <c r="K20" s="100">
        <f>IF(NOT(AND(A20&lt;&gt;"",E20="Yes",N(B20)&gt;0)),"",IF(D20&lt;=B20*C20/12,"Never",ROUNDUP(NPER(C20/12,-D20,B20),0)))</f>
        <v/>
      </c>
      <c r="L20" s="51">
        <f>IF(OR(K20="",K20="Never"),"",D20*(K20-1)-FV(C20/12,K20-1,-D20,B20)*(1+C20/12)-B20)</f>
        <v/>
      </c>
    </row>
    <row r="21">
      <c r="A21" s="17" t="inlineStr">
        <is>
          <t>Minimums Only assumes no extra money and no rollover. "Never" means the minimum doesn't cover the monthly interest.</t>
        </is>
      </c>
    </row>
    <row r="23" ht="24" customHeight="1">
      <c r="A23" s="4" t="inlineStr">
        <is>
          <t>COMPARE THE METHODS</t>
        </is>
      </c>
      <c r="B23" s="2" t="n"/>
      <c r="C23" s="2" t="n"/>
      <c r="D23" s="2" t="n"/>
      <c r="E23" s="2" t="n"/>
      <c r="F23" s="2" t="n"/>
      <c r="G23" s="2" t="n"/>
    </row>
    <row r="24" ht="26" customHeight="1">
      <c r="A24" s="35" t="inlineStr">
        <is>
          <t>Method</t>
        </is>
      </c>
      <c r="B24" s="37" t="n"/>
      <c r="C24" s="38" t="inlineStr">
        <is>
          <t>Debt-Free By</t>
        </is>
      </c>
      <c r="D24" s="38" t="inlineStr">
        <is>
          <t>Months</t>
        </is>
      </c>
      <c r="E24" s="38" t="inlineStr">
        <is>
          <t>Total Interest</t>
        </is>
      </c>
      <c r="F24" s="38" t="inlineStr">
        <is>
          <t>Interest Saved</t>
        </is>
      </c>
      <c r="G24" s="38" t="inlineStr">
        <is>
          <t>Total Paid</t>
        </is>
      </c>
    </row>
    <row r="25" ht="22" customHeight="1">
      <c r="A25" s="20" t="inlineStr">
        <is>
          <t>Minimum payments only</t>
        </is>
      </c>
      <c r="C25" s="116">
        <f>IF(COUNT(K11:K20)=0,"",IF(COUNTIF(K11:K20,"Never")&gt;0,"Never",EDATE($C$7,MAX(K11:K20)-1)))</f>
        <v/>
      </c>
      <c r="D25" s="68">
        <f>IF(COUNTIF(K11:K20,"Never")&gt;0,"Never",MAX(K11:K20))</f>
        <v/>
      </c>
      <c r="E25" s="58">
        <f>IF(COUNTIF(K11:K20,"Never")&gt;0,"Never",SUM(L11:L20))</f>
        <v/>
      </c>
      <c r="F25" s="58">
        <f>""</f>
        <v/>
      </c>
      <c r="G25" s="58">
        <f>IF(ISNUMBER(E25),SUMIFS(B11:B20,E11:E20,"Yes",B11:B20,"&gt;0")+E25,"Never")</f>
        <v/>
      </c>
    </row>
    <row r="26" ht="22" customHeight="1">
      <c r="A26" s="20" t="inlineStr">
        <is>
          <t>Avalanche: highest rate first</t>
        </is>
      </c>
      <c r="C26" s="116">
        <f>IF('Debt Calc'!$AS$6&gt;480,"Over 40 years",EDATE($C$7,'Debt Calc'!$AS$6-1))</f>
        <v/>
      </c>
      <c r="D26" s="68">
        <f>'Debt Calc'!$AS$6</f>
        <v/>
      </c>
      <c r="E26" s="58">
        <f>'Debt Calc'!$AS$7</f>
        <v/>
      </c>
      <c r="F26" s="58">
        <f>IF(ISNUMBER(E25),E25-E26,"")</f>
        <v/>
      </c>
      <c r="G26" s="58">
        <f>'Debt Calc'!$AS$5</f>
        <v/>
      </c>
    </row>
    <row r="27" ht="22" customHeight="1">
      <c r="A27" s="20" t="inlineStr">
        <is>
          <t>Snowball: smallest balance first</t>
        </is>
      </c>
      <c r="C27" s="116">
        <f>IF('Debt Calc'!$CN$6&gt;480,"Over 40 years",EDATE($C$7,'Debt Calc'!$CN$6-1))</f>
        <v/>
      </c>
      <c r="D27" s="68">
        <f>'Debt Calc'!$CN$6</f>
        <v/>
      </c>
      <c r="E27" s="58">
        <f>'Debt Calc'!$CN$7</f>
        <v/>
      </c>
      <c r="F27" s="58">
        <f>IF(ISNUMBER(E25),E25-E27,"")</f>
        <v/>
      </c>
      <c r="G27" s="58">
        <f>'Debt Calc'!$CN$5</f>
        <v/>
      </c>
    </row>
    <row r="29">
      <c r="A29" s="117">
        <f>IF(COUNT(D26:D27)&lt;2,"",IF(E26&lt;E27,"Avalanche saves "&amp;TEXT(E27-E26,"$#,##0")&amp;" in interest. ","")&amp;IF(D27&lt;D26,"Snowball finishes "&amp;D26-D27&amp;" months sooner. ","")&amp;IF(AND(E26=E27,D26=D27),"Both methods give the same result here. ","")&amp;"Snowball pays off small debts first, which many people find motivating.")</f>
        <v/>
      </c>
    </row>
  </sheetData>
  <mergeCells count="6">
    <mergeCell ref="A26:B26"/>
    <mergeCell ref="A24:B24"/>
    <mergeCell ref="A29:L29"/>
    <mergeCell ref="C6:D6"/>
    <mergeCell ref="A25:B25"/>
    <mergeCell ref="A27:B27"/>
  </mergeCells>
  <conditionalFormatting sqref="K11:K20">
    <cfRule type="cellIs" priority="1" operator="equal" dxfId="2">
      <formula>"Never"</formula>
    </cfRule>
  </conditionalFormatting>
  <dataValidations count="3">
    <dataValidation sqref="C6" showDropDown="0" showInputMessage="0" showErrorMessage="1" allowBlank="1" errorTitle="Not in the list" error="Pick a value from the dropdown." type="list" errorStyle="stop">
      <formula1>=lst_Strategy</formula1>
    </dataValidation>
    <dataValidation sqref="C5" showDropDown="0" showInputMessage="0" showErrorMessage="1" allowBlank="1" error="Enter a value from 0 to 1000000." type="decimal" operator="between">
      <formula1>0</formula1>
      <formula2>1000000</formula2>
    </dataValidation>
    <dataValidation sqref="E11:E20" showDropDown="0" showInputMessage="0" showErrorMessage="1" allowBlank="1" errorTitle="Not in the list" error="Pick a value from the dropdown." type="list" errorStyle="stop">
      <formula1>=lst_YesNo</formula1>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legacyDrawing xmlns:r="http://schemas.openxmlformats.org/officeDocument/2006/relationships" r:id="anysvml"/>
</worksheet>
</file>

<file path=xl/worksheets/sheet12.xml><?xml version="1.0" encoding="utf-8"?>
<worksheet xmlns="http://schemas.openxmlformats.org/spreadsheetml/2006/main">
  <sheetPr codeName="shGoals">
    <tabColor rgb="007C3AED"/>
    <outlinePr summaryBelow="1" summaryRight="1"/>
    <pageSetUpPr fitToPage="1"/>
  </sheetPr>
  <dimension ref="A1:L31"/>
  <sheetViews>
    <sheetView showGridLines="0" tabSelected="0" zoomScale="100" workbookViewId="0">
      <pane ySplit="3" topLeftCell="A4" activePane="bottomLeft" state="frozen"/>
      <selection pane="bottomLeft" activeCell="A1" sqref="A1"/>
    </sheetView>
  </sheetViews>
  <sheetFormatPr baseColWidth="8" defaultRowHeight="15"/>
  <cols>
    <col width="34" customWidth="1" min="1" max="1"/>
    <col width="14" customWidth="1" min="2" max="2"/>
    <col width="13" customWidth="1" min="3" max="3"/>
    <col width="13" customWidth="1" min="4" max="4"/>
    <col width="12" customWidth="1" min="5" max="5"/>
    <col width="10" customWidth="1" min="6" max="6"/>
    <col width="13" customWidth="1" min="7" max="7"/>
    <col width="11" customWidth="1" min="8" max="8"/>
    <col width="10" customWidth="1" min="9" max="9"/>
    <col width="13" customWidth="1" min="10" max="10"/>
    <col width="14" customWidth="1" min="11" max="11"/>
    <col width="16"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Savings Goals</t>
        </is>
      </c>
    </row>
    <row r="2" ht="20" customHeight="1">
      <c r="A2" s="61" t="inlineStr">
        <is>
          <t>Track an emergency fund and any goal with a target date. Progress updates as you change Saved So Far.</t>
        </is>
      </c>
      <c r="B2" s="2" t="n"/>
      <c r="C2" s="2" t="n"/>
      <c r="D2" s="2" t="n"/>
      <c r="E2" s="2" t="n"/>
      <c r="F2" s="2" t="n"/>
      <c r="G2" s="2" t="n"/>
      <c r="H2" s="2" t="n"/>
      <c r="I2" s="2" t="n"/>
      <c r="J2" s="2" t="n"/>
      <c r="K2" s="2" t="n"/>
      <c r="L2" s="2" t="n"/>
    </row>
    <row r="4" ht="24" customHeight="1">
      <c r="A4" s="4" t="inlineStr">
        <is>
          <t>EMERGENCY FUND</t>
        </is>
      </c>
      <c r="B4" s="2" t="n"/>
      <c r="C4" s="2" t="n"/>
    </row>
    <row r="5">
      <c r="A5" s="11" t="inlineStr">
        <is>
          <t>Months of expenses to keep</t>
        </is>
      </c>
      <c r="B5" s="118" t="n">
        <v>6</v>
      </c>
    </row>
    <row r="6">
      <c r="A6" s="11" t="inlineStr">
        <is>
          <t>Average monthly essentials (Needs)</t>
        </is>
      </c>
      <c r="B6" s="58">
        <f>SUMIFS(Budget!$K$9:$K$68,Budget!$C$9:$C$68,"Needs")</f>
        <v/>
      </c>
    </row>
    <row r="7">
      <c r="A7" s="11" t="inlineStr">
        <is>
          <t>Or use this monthly amount instead</t>
        </is>
      </c>
      <c r="B7" s="111" t="n"/>
    </row>
    <row r="8">
      <c r="A8" s="20" t="inlineStr">
        <is>
          <t>Emergency fund target</t>
        </is>
      </c>
      <c r="B8" s="58">
        <f>B5*IF(N(B7)&gt;0,B7,B6)</f>
        <v/>
      </c>
    </row>
    <row r="9">
      <c r="A9" s="11" t="inlineStr">
        <is>
          <t>Saved in emergency accounts</t>
        </is>
      </c>
      <c r="B9" s="58">
        <f>SUMIFS(Accounts!$M:$M,Accounts!$G:$G,"Yes")</f>
        <v/>
      </c>
    </row>
    <row r="10">
      <c r="A10" s="20" t="inlineStr">
        <is>
          <t>Months covered</t>
        </is>
      </c>
      <c r="B10" s="119">
        <f>IF(IF(N(B7)&gt;0,B7,B6)=0,0,B9/IF(N(B7)&gt;0,B7,B6))</f>
        <v/>
      </c>
    </row>
    <row r="11">
      <c r="A11" s="11" t="inlineStr">
        <is>
          <t>Still to save</t>
        </is>
      </c>
      <c r="B11" s="58">
        <f>MAX(0,B8-B9)</f>
        <v/>
      </c>
    </row>
    <row r="12">
      <c r="A12" s="11" t="inlineStr">
        <is>
          <t>Reach the target in (months)</t>
        </is>
      </c>
      <c r="B12" s="118" t="n">
        <v>12</v>
      </c>
    </row>
    <row r="13">
      <c r="A13" s="20" t="inlineStr">
        <is>
          <t>Save each month</t>
        </is>
      </c>
      <c r="B13" s="58">
        <f>IF(N(B12)&lt;=0,B11,B11/B12)</f>
        <v/>
      </c>
    </row>
    <row r="15" ht="24" customHeight="1">
      <c r="A15" s="4" t="inlineStr">
        <is>
          <t>GOALS</t>
        </is>
      </c>
      <c r="B15" s="2" t="n"/>
      <c r="C15" s="2" t="n"/>
      <c r="D15" s="2" t="n"/>
      <c r="E15" s="2" t="n"/>
      <c r="F15" s="2" t="n"/>
      <c r="G15" s="2" t="n"/>
      <c r="H15" s="2" t="n"/>
      <c r="I15" s="2" t="n"/>
      <c r="J15" s="2" t="n"/>
      <c r="K15" s="2" t="n"/>
      <c r="L15" s="2" t="n"/>
    </row>
    <row r="16" ht="34" customHeight="1">
      <c r="A16" s="35" t="inlineStr">
        <is>
          <t>Goal</t>
        </is>
      </c>
      <c r="B16" s="38" t="inlineStr">
        <is>
          <t>Target Amount</t>
        </is>
      </c>
      <c r="C16" s="38" t="inlineStr">
        <is>
          <t>Saved So Far</t>
        </is>
      </c>
      <c r="D16" s="38" t="inlineStr">
        <is>
          <t>Monthly Contribution</t>
        </is>
      </c>
      <c r="E16" s="38" t="inlineStr">
        <is>
          <t>Target Date</t>
        </is>
      </c>
      <c r="F16" s="38" t="inlineStr">
        <is>
          <t>Yearly Return</t>
        </is>
      </c>
      <c r="G16" s="38" t="inlineStr">
        <is>
          <t>Still Needed</t>
        </is>
      </c>
      <c r="H16" s="38" t="inlineStr">
        <is>
          <t>Progress</t>
        </is>
      </c>
      <c r="I16" s="38" t="inlineStr">
        <is>
          <t>Months Left</t>
        </is>
      </c>
      <c r="J16" s="38" t="inlineStr">
        <is>
          <t>Needed per Month</t>
        </is>
      </c>
      <c r="K16" s="38" t="inlineStr">
        <is>
          <t>Projected Finish</t>
        </is>
      </c>
      <c r="L16" s="35" t="inlineStr">
        <is>
          <t>Status</t>
        </is>
      </c>
    </row>
    <row r="17">
      <c r="A17" s="93" t="inlineStr">
        <is>
          <t>Summer vacation</t>
        </is>
      </c>
      <c r="B17" s="97" t="n">
        <v>4000</v>
      </c>
      <c r="C17" s="97" t="n">
        <v>1250</v>
      </c>
      <c r="D17" s="97" t="n">
        <v>350</v>
      </c>
      <c r="E17" s="120" t="n">
        <v>46539</v>
      </c>
      <c r="F17" s="98" t="n">
        <v>0</v>
      </c>
      <c r="G17" s="51">
        <f>IF(A17="","",MAX(0,N(B17)-N(C17)))</f>
        <v/>
      </c>
      <c r="H17" s="54">
        <f>IF(OR(A17="",N(B17)=0),"",MIN(1,N(C17)/B17))</f>
        <v/>
      </c>
      <c r="I17" s="100">
        <f>IF(OR(A17="",E17=""),"",MAX(0,(YEAR(E17)-YEAR(TODAY()))*12+MONTH(E17)-MONTH(TODAY())))</f>
        <v/>
      </c>
      <c r="J17" s="51">
        <f>IF(OR(A17="",I17=""),"",IF(G17=0,0,IF(I17=0,G17,IF(N(F17)=0,G17/I17,MAX(0,(B17-N(C17)*(1+F17/12)^I17)*(F17/12)/((1+F17/12)^I17-1))))))</f>
        <v/>
      </c>
      <c r="K17" s="115">
        <f>IF(A17="","",IF(G17=0,"Reached",IF(N(D17)&lt;=0,"Add a contribution",EDATE(DATE(YEAR(TODAY()),MONTH(TODAY()),1),IF(N(F17)=0,ROUNDUP(G17/D17,0),ROUNDUP(NPER(F17/12,-D17,-N(C17),B17),0))))))</f>
        <v/>
      </c>
      <c r="L17" s="121">
        <f>IF(A17="","",IF(G17=0,"Reached",IF(N(D17)&lt;=0,"No plan yet",IF(E17="","On its way",IF(D17&gt;=J17-0.005,"On track","Behind")))))</f>
        <v/>
      </c>
    </row>
    <row r="18">
      <c r="A18" s="93" t="inlineStr">
        <is>
          <t>Holiday gifts</t>
        </is>
      </c>
      <c r="B18" s="97" t="n">
        <v>1200</v>
      </c>
      <c r="C18" s="97" t="n">
        <v>300</v>
      </c>
      <c r="D18" s="97" t="n">
        <v>100</v>
      </c>
      <c r="E18" s="120" t="n">
        <v>46357</v>
      </c>
      <c r="F18" s="98" t="n">
        <v>0</v>
      </c>
      <c r="G18" s="51">
        <f>IF(A18="","",MAX(0,N(B18)-N(C18)))</f>
        <v/>
      </c>
      <c r="H18" s="54">
        <f>IF(OR(A18="",N(B18)=0),"",MIN(1,N(C18)/B18))</f>
        <v/>
      </c>
      <c r="I18" s="100">
        <f>IF(OR(A18="",E18=""),"",MAX(0,(YEAR(E18)-YEAR(TODAY()))*12+MONTH(E18)-MONTH(TODAY())))</f>
        <v/>
      </c>
      <c r="J18" s="51">
        <f>IF(OR(A18="",I18=""),"",IF(G18=0,0,IF(I18=0,G18,IF(N(F18)=0,G18/I18,MAX(0,(B18-N(C18)*(1+F18/12)^I18)*(F18/12)/((1+F18/12)^I18-1))))))</f>
        <v/>
      </c>
      <c r="K18" s="115">
        <f>IF(A18="","",IF(G18=0,"Reached",IF(N(D18)&lt;=0,"Add a contribution",EDATE(DATE(YEAR(TODAY()),MONTH(TODAY()),1),IF(N(F18)=0,ROUNDUP(G18/D18,0),ROUNDUP(NPER(F18/12,-D18,-N(C18),B18),0))))))</f>
        <v/>
      </c>
      <c r="L18" s="121">
        <f>IF(A18="","",IF(G18=0,"Reached",IF(N(D18)&lt;=0,"No plan yet",IF(E18="","On its way",IF(D18&gt;=J18-0.005,"On track","Behind")))))</f>
        <v/>
      </c>
    </row>
    <row r="19">
      <c r="A19" s="93" t="inlineStr">
        <is>
          <t>Car down payment</t>
        </is>
      </c>
      <c r="B19" s="97" t="n">
        <v>8000</v>
      </c>
      <c r="C19" s="97" t="n">
        <v>2100</v>
      </c>
      <c r="D19" s="97" t="n">
        <v>350</v>
      </c>
      <c r="E19" s="120" t="n">
        <v>46813</v>
      </c>
      <c r="F19" s="98" t="n">
        <v>0.04</v>
      </c>
      <c r="G19" s="51">
        <f>IF(A19="","",MAX(0,N(B19)-N(C19)))</f>
        <v/>
      </c>
      <c r="H19" s="54">
        <f>IF(OR(A19="",N(B19)=0),"",MIN(1,N(C19)/B19))</f>
        <v/>
      </c>
      <c r="I19" s="100">
        <f>IF(OR(A19="",E19=""),"",MAX(0,(YEAR(E19)-YEAR(TODAY()))*12+MONTH(E19)-MONTH(TODAY())))</f>
        <v/>
      </c>
      <c r="J19" s="51">
        <f>IF(OR(A19="",I19=""),"",IF(G19=0,0,IF(I19=0,G19,IF(N(F19)=0,G19/I19,MAX(0,(B19-N(C19)*(1+F19/12)^I19)*(F19/12)/((1+F19/12)^I19-1))))))</f>
        <v/>
      </c>
      <c r="K19" s="115">
        <f>IF(A19="","",IF(G19=0,"Reached",IF(N(D19)&lt;=0,"Add a contribution",EDATE(DATE(YEAR(TODAY()),MONTH(TODAY()),1),IF(N(F19)=0,ROUNDUP(G19/D19,0),ROUNDUP(NPER(F19/12,-D19,-N(C19),B19),0))))))</f>
        <v/>
      </c>
      <c r="L19" s="121">
        <f>IF(A19="","",IF(G19=0,"Reached",IF(N(D19)&lt;=0,"No plan yet",IF(E19="","On its way",IF(D19&gt;=J19-0.005,"On track","Behind")))))</f>
        <v/>
      </c>
    </row>
    <row r="20">
      <c r="A20" s="93" t="inlineStr">
        <is>
          <t>Kitchen renovation</t>
        </is>
      </c>
      <c r="B20" s="97" t="n">
        <v>15000</v>
      </c>
      <c r="C20" s="97" t="n">
        <v>3500</v>
      </c>
      <c r="D20" s="97" t="n">
        <v>400</v>
      </c>
      <c r="E20" s="120" t="n">
        <v>47088</v>
      </c>
      <c r="F20" s="98" t="n">
        <v>0.04</v>
      </c>
      <c r="G20" s="51">
        <f>IF(A20="","",MAX(0,N(B20)-N(C20)))</f>
        <v/>
      </c>
      <c r="H20" s="54">
        <f>IF(OR(A20="",N(B20)=0),"",MIN(1,N(C20)/B20))</f>
        <v/>
      </c>
      <c r="I20" s="100">
        <f>IF(OR(A20="",E20=""),"",MAX(0,(YEAR(E20)-YEAR(TODAY()))*12+MONTH(E20)-MONTH(TODAY())))</f>
        <v/>
      </c>
      <c r="J20" s="51">
        <f>IF(OR(A20="",I20=""),"",IF(G20=0,0,IF(I20=0,G20,IF(N(F20)=0,G20/I20,MAX(0,(B20-N(C20)*(1+F20/12)^I20)*(F20/12)/((1+F20/12)^I20-1))))))</f>
        <v/>
      </c>
      <c r="K20" s="115">
        <f>IF(A20="","",IF(G20=0,"Reached",IF(N(D20)&lt;=0,"Add a contribution",EDATE(DATE(YEAR(TODAY()),MONTH(TODAY()),1),IF(N(F20)=0,ROUNDUP(G20/D20,0),ROUNDUP(NPER(F20/12,-D20,-N(C20),B20),0))))))</f>
        <v/>
      </c>
      <c r="L20" s="121">
        <f>IF(A20="","",IF(G20=0,"Reached",IF(N(D20)&lt;=0,"No plan yet",IF(E20="","On its way",IF(D20&gt;=J20-0.005,"On track","Behind")))))</f>
        <v/>
      </c>
    </row>
    <row r="21">
      <c r="A21" s="93" t="n"/>
      <c r="B21" s="97" t="n"/>
      <c r="C21" s="97" t="n"/>
      <c r="D21" s="97" t="n"/>
      <c r="E21" s="120" t="n"/>
      <c r="F21" s="98" t="n"/>
      <c r="G21" s="51">
        <f>IF(A21="","",MAX(0,N(B21)-N(C21)))</f>
        <v/>
      </c>
      <c r="H21" s="54">
        <f>IF(OR(A21="",N(B21)=0),"",MIN(1,N(C21)/B21))</f>
        <v/>
      </c>
      <c r="I21" s="100">
        <f>IF(OR(A21="",E21=""),"",MAX(0,(YEAR(E21)-YEAR(TODAY()))*12+MONTH(E21)-MONTH(TODAY())))</f>
        <v/>
      </c>
      <c r="J21" s="51">
        <f>IF(OR(A21="",I21=""),"",IF(G21=0,0,IF(I21=0,G21,IF(N(F21)=0,G21/I21,MAX(0,(B21-N(C21)*(1+F21/12)^I21)*(F21/12)/((1+F21/12)^I21-1))))))</f>
        <v/>
      </c>
      <c r="K21" s="115">
        <f>IF(A21="","",IF(G21=0,"Reached",IF(N(D21)&lt;=0,"Add a contribution",EDATE(DATE(YEAR(TODAY()),MONTH(TODAY()),1),IF(N(F21)=0,ROUNDUP(G21/D21,0),ROUNDUP(NPER(F21/12,-D21,-N(C21),B21),0))))))</f>
        <v/>
      </c>
      <c r="L21" s="121">
        <f>IF(A21="","",IF(G21=0,"Reached",IF(N(D21)&lt;=0,"No plan yet",IF(E21="","On its way",IF(D21&gt;=J21-0.005,"On track","Behind")))))</f>
        <v/>
      </c>
    </row>
    <row r="22">
      <c r="A22" s="93" t="n"/>
      <c r="B22" s="97" t="n"/>
      <c r="C22" s="97" t="n"/>
      <c r="D22" s="97" t="n"/>
      <c r="E22" s="120" t="n"/>
      <c r="F22" s="98" t="n"/>
      <c r="G22" s="51">
        <f>IF(A22="","",MAX(0,N(B22)-N(C22)))</f>
        <v/>
      </c>
      <c r="H22" s="54">
        <f>IF(OR(A22="",N(B22)=0),"",MIN(1,N(C22)/B22))</f>
        <v/>
      </c>
      <c r="I22" s="100">
        <f>IF(OR(A22="",E22=""),"",MAX(0,(YEAR(E22)-YEAR(TODAY()))*12+MONTH(E22)-MONTH(TODAY())))</f>
        <v/>
      </c>
      <c r="J22" s="51">
        <f>IF(OR(A22="",I22=""),"",IF(G22=0,0,IF(I22=0,G22,IF(N(F22)=0,G22/I22,MAX(0,(B22-N(C22)*(1+F22/12)^I22)*(F22/12)/((1+F22/12)^I22-1))))))</f>
        <v/>
      </c>
      <c r="K22" s="115">
        <f>IF(A22="","",IF(G22=0,"Reached",IF(N(D22)&lt;=0,"Add a contribution",EDATE(DATE(YEAR(TODAY()),MONTH(TODAY()),1),IF(N(F22)=0,ROUNDUP(G22/D22,0),ROUNDUP(NPER(F22/12,-D22,-N(C22),B22),0))))))</f>
        <v/>
      </c>
      <c r="L22" s="121">
        <f>IF(A22="","",IF(G22=0,"Reached",IF(N(D22)&lt;=0,"No plan yet",IF(E22="","On its way",IF(D22&gt;=J22-0.005,"On track","Behind")))))</f>
        <v/>
      </c>
    </row>
    <row r="23">
      <c r="A23" s="93" t="n"/>
      <c r="B23" s="97" t="n"/>
      <c r="C23" s="97" t="n"/>
      <c r="D23" s="97" t="n"/>
      <c r="E23" s="120" t="n"/>
      <c r="F23" s="98" t="n"/>
      <c r="G23" s="51">
        <f>IF(A23="","",MAX(0,N(B23)-N(C23)))</f>
        <v/>
      </c>
      <c r="H23" s="54">
        <f>IF(OR(A23="",N(B23)=0),"",MIN(1,N(C23)/B23))</f>
        <v/>
      </c>
      <c r="I23" s="100">
        <f>IF(OR(A23="",E23=""),"",MAX(0,(YEAR(E23)-YEAR(TODAY()))*12+MONTH(E23)-MONTH(TODAY())))</f>
        <v/>
      </c>
      <c r="J23" s="51">
        <f>IF(OR(A23="",I23=""),"",IF(G23=0,0,IF(I23=0,G23,IF(N(F23)=0,G23/I23,MAX(0,(B23-N(C23)*(1+F23/12)^I23)*(F23/12)/((1+F23/12)^I23-1))))))</f>
        <v/>
      </c>
      <c r="K23" s="115">
        <f>IF(A23="","",IF(G23=0,"Reached",IF(N(D23)&lt;=0,"Add a contribution",EDATE(DATE(YEAR(TODAY()),MONTH(TODAY()),1),IF(N(F23)=0,ROUNDUP(G23/D23,0),ROUNDUP(NPER(F23/12,-D23,-N(C23),B23),0))))))</f>
        <v/>
      </c>
      <c r="L23" s="121">
        <f>IF(A23="","",IF(G23=0,"Reached",IF(N(D23)&lt;=0,"No plan yet",IF(E23="","On its way",IF(D23&gt;=J23-0.005,"On track","Behind")))))</f>
        <v/>
      </c>
    </row>
    <row r="24">
      <c r="A24" s="93" t="n"/>
      <c r="B24" s="97" t="n"/>
      <c r="C24" s="97" t="n"/>
      <c r="D24" s="97" t="n"/>
      <c r="E24" s="120" t="n"/>
      <c r="F24" s="98" t="n"/>
      <c r="G24" s="51">
        <f>IF(A24="","",MAX(0,N(B24)-N(C24)))</f>
        <v/>
      </c>
      <c r="H24" s="54">
        <f>IF(OR(A24="",N(B24)=0),"",MIN(1,N(C24)/B24))</f>
        <v/>
      </c>
      <c r="I24" s="100">
        <f>IF(OR(A24="",E24=""),"",MAX(0,(YEAR(E24)-YEAR(TODAY()))*12+MONTH(E24)-MONTH(TODAY())))</f>
        <v/>
      </c>
      <c r="J24" s="51">
        <f>IF(OR(A24="",I24=""),"",IF(G24=0,0,IF(I24=0,G24,IF(N(F24)=0,G24/I24,MAX(0,(B24-N(C24)*(1+F24/12)^I24)*(F24/12)/((1+F24/12)^I24-1))))))</f>
        <v/>
      </c>
      <c r="K24" s="115">
        <f>IF(A24="","",IF(G24=0,"Reached",IF(N(D24)&lt;=0,"Add a contribution",EDATE(DATE(YEAR(TODAY()),MONTH(TODAY()),1),IF(N(F24)=0,ROUNDUP(G24/D24,0),ROUNDUP(NPER(F24/12,-D24,-N(C24),B24),0))))))</f>
        <v/>
      </c>
      <c r="L24" s="121">
        <f>IF(A24="","",IF(G24=0,"Reached",IF(N(D24)&lt;=0,"No plan yet",IF(E24="","On its way",IF(D24&gt;=J24-0.005,"On track","Behind")))))</f>
        <v/>
      </c>
    </row>
    <row r="25">
      <c r="A25" s="93" t="n"/>
      <c r="B25" s="97" t="n"/>
      <c r="C25" s="97" t="n"/>
      <c r="D25" s="97" t="n"/>
      <c r="E25" s="120" t="n"/>
      <c r="F25" s="98" t="n"/>
      <c r="G25" s="51">
        <f>IF(A25="","",MAX(0,N(B25)-N(C25)))</f>
        <v/>
      </c>
      <c r="H25" s="54">
        <f>IF(OR(A25="",N(B25)=0),"",MIN(1,N(C25)/B25))</f>
        <v/>
      </c>
      <c r="I25" s="100">
        <f>IF(OR(A25="",E25=""),"",MAX(0,(YEAR(E25)-YEAR(TODAY()))*12+MONTH(E25)-MONTH(TODAY())))</f>
        <v/>
      </c>
      <c r="J25" s="51">
        <f>IF(OR(A25="",I25=""),"",IF(G25=0,0,IF(I25=0,G25,IF(N(F25)=0,G25/I25,MAX(0,(B25-N(C25)*(1+F25/12)^I25)*(F25/12)/((1+F25/12)^I25-1))))))</f>
        <v/>
      </c>
      <c r="K25" s="115">
        <f>IF(A25="","",IF(G25=0,"Reached",IF(N(D25)&lt;=0,"Add a contribution",EDATE(DATE(YEAR(TODAY()),MONTH(TODAY()),1),IF(N(F25)=0,ROUNDUP(G25/D25,0),ROUNDUP(NPER(F25/12,-D25,-N(C25),B25),0))))))</f>
        <v/>
      </c>
      <c r="L25" s="121">
        <f>IF(A25="","",IF(G25=0,"Reached",IF(N(D25)&lt;=0,"No plan yet",IF(E25="","On its way",IF(D25&gt;=J25-0.005,"On track","Behind")))))</f>
        <v/>
      </c>
    </row>
    <row r="26">
      <c r="A26" s="93" t="n"/>
      <c r="B26" s="97" t="n"/>
      <c r="C26" s="97" t="n"/>
      <c r="D26" s="97" t="n"/>
      <c r="E26" s="120" t="n"/>
      <c r="F26" s="98" t="n"/>
      <c r="G26" s="51">
        <f>IF(A26="","",MAX(0,N(B26)-N(C26)))</f>
        <v/>
      </c>
      <c r="H26" s="54">
        <f>IF(OR(A26="",N(B26)=0),"",MIN(1,N(C26)/B26))</f>
        <v/>
      </c>
      <c r="I26" s="100">
        <f>IF(OR(A26="",E26=""),"",MAX(0,(YEAR(E26)-YEAR(TODAY()))*12+MONTH(E26)-MONTH(TODAY())))</f>
        <v/>
      </c>
      <c r="J26" s="51">
        <f>IF(OR(A26="",I26=""),"",IF(G26=0,0,IF(I26=0,G26,IF(N(F26)=0,G26/I26,MAX(0,(B26-N(C26)*(1+F26/12)^I26)*(F26/12)/((1+F26/12)^I26-1))))))</f>
        <v/>
      </c>
      <c r="K26" s="115">
        <f>IF(A26="","",IF(G26=0,"Reached",IF(N(D26)&lt;=0,"Add a contribution",EDATE(DATE(YEAR(TODAY()),MONTH(TODAY()),1),IF(N(F26)=0,ROUNDUP(G26/D26,0),ROUNDUP(NPER(F26/12,-D26,-N(C26),B26),0))))))</f>
        <v/>
      </c>
      <c r="L26" s="121">
        <f>IF(A26="","",IF(G26=0,"Reached",IF(N(D26)&lt;=0,"No plan yet",IF(E26="","On its way",IF(D26&gt;=J26-0.005,"On track","Behind")))))</f>
        <v/>
      </c>
    </row>
    <row r="27">
      <c r="A27" s="93" t="n"/>
      <c r="B27" s="97" t="n"/>
      <c r="C27" s="97" t="n"/>
      <c r="D27" s="97" t="n"/>
      <c r="E27" s="120" t="n"/>
      <c r="F27" s="98" t="n"/>
      <c r="G27" s="51">
        <f>IF(A27="","",MAX(0,N(B27)-N(C27)))</f>
        <v/>
      </c>
      <c r="H27" s="54">
        <f>IF(OR(A27="",N(B27)=0),"",MIN(1,N(C27)/B27))</f>
        <v/>
      </c>
      <c r="I27" s="100">
        <f>IF(OR(A27="",E27=""),"",MAX(0,(YEAR(E27)-YEAR(TODAY()))*12+MONTH(E27)-MONTH(TODAY())))</f>
        <v/>
      </c>
      <c r="J27" s="51">
        <f>IF(OR(A27="",I27=""),"",IF(G27=0,0,IF(I27=0,G27,IF(N(F27)=0,G27/I27,MAX(0,(B27-N(C27)*(1+F27/12)^I27)*(F27/12)/((1+F27/12)^I27-1))))))</f>
        <v/>
      </c>
      <c r="K27" s="115">
        <f>IF(A27="","",IF(G27=0,"Reached",IF(N(D27)&lt;=0,"Add a contribution",EDATE(DATE(YEAR(TODAY()),MONTH(TODAY()),1),IF(N(F27)=0,ROUNDUP(G27/D27,0),ROUNDUP(NPER(F27/12,-D27,-N(C27),B27),0))))))</f>
        <v/>
      </c>
      <c r="L27" s="121">
        <f>IF(A27="","",IF(G27=0,"Reached",IF(N(D27)&lt;=0,"No plan yet",IF(E27="","On its way",IF(D27&gt;=J27-0.005,"On track","Behind")))))</f>
        <v/>
      </c>
    </row>
    <row r="28">
      <c r="A28" s="93" t="n"/>
      <c r="B28" s="97" t="n"/>
      <c r="C28" s="97" t="n"/>
      <c r="D28" s="97" t="n"/>
      <c r="E28" s="120" t="n"/>
      <c r="F28" s="98" t="n"/>
      <c r="G28" s="51">
        <f>IF(A28="","",MAX(0,N(B28)-N(C28)))</f>
        <v/>
      </c>
      <c r="H28" s="54">
        <f>IF(OR(A28="",N(B28)=0),"",MIN(1,N(C28)/B28))</f>
        <v/>
      </c>
      <c r="I28" s="100">
        <f>IF(OR(A28="",E28=""),"",MAX(0,(YEAR(E28)-YEAR(TODAY()))*12+MONTH(E28)-MONTH(TODAY())))</f>
        <v/>
      </c>
      <c r="J28" s="51">
        <f>IF(OR(A28="",I28=""),"",IF(G28=0,0,IF(I28=0,G28,IF(N(F28)=0,G28/I28,MAX(0,(B28-N(C28)*(1+F28/12)^I28)*(F28/12)/((1+F28/12)^I28-1))))))</f>
        <v/>
      </c>
      <c r="K28" s="115">
        <f>IF(A28="","",IF(G28=0,"Reached",IF(N(D28)&lt;=0,"Add a contribution",EDATE(DATE(YEAR(TODAY()),MONTH(TODAY()),1),IF(N(F28)=0,ROUNDUP(G28/D28,0),ROUNDUP(NPER(F28/12,-D28,-N(C28),B28),0))))))</f>
        <v/>
      </c>
      <c r="L28" s="121">
        <f>IF(A28="","",IF(G28=0,"Reached",IF(N(D28)&lt;=0,"No plan yet",IF(E28="","On its way",IF(D28&gt;=J28-0.005,"On track","Behind")))))</f>
        <v/>
      </c>
    </row>
    <row r="29">
      <c r="A29" s="93" t="n"/>
      <c r="B29" s="97" t="n"/>
      <c r="C29" s="97" t="n"/>
      <c r="D29" s="97" t="n"/>
      <c r="E29" s="120" t="n"/>
      <c r="F29" s="98" t="n"/>
      <c r="G29" s="51">
        <f>IF(A29="","",MAX(0,N(B29)-N(C29)))</f>
        <v/>
      </c>
      <c r="H29" s="54">
        <f>IF(OR(A29="",N(B29)=0),"",MIN(1,N(C29)/B29))</f>
        <v/>
      </c>
      <c r="I29" s="100">
        <f>IF(OR(A29="",E29=""),"",MAX(0,(YEAR(E29)-YEAR(TODAY()))*12+MONTH(E29)-MONTH(TODAY())))</f>
        <v/>
      </c>
      <c r="J29" s="51">
        <f>IF(OR(A29="",I29=""),"",IF(G29=0,0,IF(I29=0,G29,IF(N(F29)=0,G29/I29,MAX(0,(B29-N(C29)*(1+F29/12)^I29)*(F29/12)/((1+F29/12)^I29-1))))))</f>
        <v/>
      </c>
      <c r="K29" s="115">
        <f>IF(A29="","",IF(G29=0,"Reached",IF(N(D29)&lt;=0,"Add a contribution",EDATE(DATE(YEAR(TODAY()),MONTH(TODAY()),1),IF(N(F29)=0,ROUNDUP(G29/D29,0),ROUNDUP(NPER(F29/12,-D29,-N(C29),B29),0))))))</f>
        <v/>
      </c>
      <c r="L29" s="121">
        <f>IF(A29="","",IF(G29=0,"Reached",IF(N(D29)&lt;=0,"No plan yet",IF(E29="","On its way",IF(D29&gt;=J29-0.005,"On track","Behind")))))</f>
        <v/>
      </c>
    </row>
    <row r="30">
      <c r="A30" s="93" t="n"/>
      <c r="B30" s="97" t="n"/>
      <c r="C30" s="97" t="n"/>
      <c r="D30" s="97" t="n"/>
      <c r="E30" s="120" t="n"/>
      <c r="F30" s="98" t="n"/>
      <c r="G30" s="51">
        <f>IF(A30="","",MAX(0,N(B30)-N(C30)))</f>
        <v/>
      </c>
      <c r="H30" s="54">
        <f>IF(OR(A30="",N(B30)=0),"",MIN(1,N(C30)/B30))</f>
        <v/>
      </c>
      <c r="I30" s="100">
        <f>IF(OR(A30="",E30=""),"",MAX(0,(YEAR(E30)-YEAR(TODAY()))*12+MONTH(E30)-MONTH(TODAY())))</f>
        <v/>
      </c>
      <c r="J30" s="51">
        <f>IF(OR(A30="",I30=""),"",IF(G30=0,0,IF(I30=0,G30,IF(N(F30)=0,G30/I30,MAX(0,(B30-N(C30)*(1+F30/12)^I30)*(F30/12)/((1+F30/12)^I30-1))))))</f>
        <v/>
      </c>
      <c r="K30" s="115">
        <f>IF(A30="","",IF(G30=0,"Reached",IF(N(D30)&lt;=0,"Add a contribution",EDATE(DATE(YEAR(TODAY()),MONTH(TODAY()),1),IF(N(F30)=0,ROUNDUP(G30/D30,0),ROUNDUP(NPER(F30/12,-D30,-N(C30),B30),0))))))</f>
        <v/>
      </c>
      <c r="L30" s="121">
        <f>IF(A30="","",IF(G30=0,"Reached",IF(N(D30)&lt;=0,"No plan yet",IF(E30="","On its way",IF(D30&gt;=J30-0.005,"On track","Behind")))))</f>
        <v/>
      </c>
    </row>
    <row r="31">
      <c r="A31" s="93" t="n"/>
      <c r="B31" s="97" t="n"/>
      <c r="C31" s="97" t="n"/>
      <c r="D31" s="97" t="n"/>
      <c r="E31" s="120" t="n"/>
      <c r="F31" s="98" t="n"/>
      <c r="G31" s="51">
        <f>IF(A31="","",MAX(0,N(B31)-N(C31)))</f>
        <v/>
      </c>
      <c r="H31" s="54">
        <f>IF(OR(A31="",N(B31)=0),"",MIN(1,N(C31)/B31))</f>
        <v/>
      </c>
      <c r="I31" s="100">
        <f>IF(OR(A31="",E31=""),"",MAX(0,(YEAR(E31)-YEAR(TODAY()))*12+MONTH(E31)-MONTH(TODAY())))</f>
        <v/>
      </c>
      <c r="J31" s="51">
        <f>IF(OR(A31="",I31=""),"",IF(G31=0,0,IF(I31=0,G31,IF(N(F31)=0,G31/I31,MAX(0,(B31-N(C31)*(1+F31/12)^I31)*(F31/12)/((1+F31/12)^I31-1))))))</f>
        <v/>
      </c>
      <c r="K31" s="115">
        <f>IF(A31="","",IF(G31=0,"Reached",IF(N(D31)&lt;=0,"Add a contribution",EDATE(DATE(YEAR(TODAY()),MONTH(TODAY()),1),IF(N(F31)=0,ROUNDUP(G31/D31,0),ROUNDUP(NPER(F31/12,-D31,-N(C31),B31),0))))))</f>
        <v/>
      </c>
      <c r="L31" s="121">
        <f>IF(A31="","",IF(G31=0,"Reached",IF(N(D31)&lt;=0,"No plan yet",IF(E31="","On its way",IF(D31&gt;=J31-0.005,"On track","Behind")))))</f>
        <v/>
      </c>
    </row>
  </sheetData>
  <conditionalFormatting sqref="H17:H31">
    <cfRule type="dataBar" priority="1">
      <dataBar>
        <cfvo type="num" val="0"/>
        <cfvo type="num" val="1"/>
        <color rgb="008FD3B6"/>
      </dataBar>
    </cfRule>
  </conditionalFormatting>
  <conditionalFormatting sqref="L17:L31">
    <cfRule type="expression" priority="2" dxfId="0">
      <formula>OR(L17="On track",L17="Reached")</formula>
    </cfRule>
    <cfRule type="expression" priority="3" dxfId="2">
      <formula>L17="Behind"</formula>
    </cfRule>
  </conditionalFormatting>
  <pageMargins left="0.4" right="0.4" top="0.5" bottom="0.6" header="0.5" footer="0.5"/>
  <pageSetup orientation="landscape" paperSize="1" fitToHeight="0" fitToWidth="1"/>
  <headerFooter>
    <oddHeader/>
    <oddFooter>&amp;L&amp;A&amp;RPage &amp;P of &amp;N</oddFooter>
    <evenHeader/>
    <evenFooter/>
    <firstHeader/>
    <firstFooter/>
  </headerFooter>
  <legacyDrawing xmlns:r="http://schemas.openxmlformats.org/officeDocument/2006/relationships" r:id="anysvml"/>
</worksheet>
</file>

<file path=xl/worksheets/sheet13.xml><?xml version="1.0" encoding="utf-8"?>
<worksheet xmlns="http://schemas.openxmlformats.org/spreadsheetml/2006/main">
  <sheetPr codeName="sh401k">
    <tabColor rgb="007C3AED"/>
    <outlinePr summaryBelow="1" summaryRight="1"/>
    <pageSetUpPr fitToPage="1"/>
  </sheetPr>
  <dimension ref="A1:R102"/>
  <sheetViews>
    <sheetView showGridLines="0" tabSelected="0" zoomScale="100" workbookViewId="0">
      <pane ySplit="3" topLeftCell="A4" activePane="bottomLeft" state="frozen"/>
      <selection pane="bottomLeft" activeCell="A1" sqref="A1"/>
    </sheetView>
  </sheetViews>
  <sheetFormatPr baseColWidth="8" defaultRowHeight="15"/>
  <cols>
    <col width="40" customWidth="1" min="1" max="1"/>
    <col width="14" customWidth="1" min="2" max="2"/>
    <col width="8" customWidth="1" min="3" max="3"/>
    <col width="12" customWidth="1" min="4" max="4"/>
    <col width="15" customWidth="1" min="5" max="5"/>
    <col width="12" customWidth="1" min="6" max="6"/>
    <col width="36" customWidth="1" min="7" max="7"/>
    <col width="15" customWidth="1" min="8" max="8"/>
    <col width="14" customWidth="1" min="9" max="9"/>
    <col width="13" customWidth="1" min="10" max="10"/>
    <col width="14" customWidth="1" min="11" max="11"/>
    <col width="15" customWidth="1" min="12" max="12"/>
    <col width="3" customWidth="1" min="13" max="13"/>
    <col hidden="1" width="13" customWidth="1" min="14" max="14"/>
    <col hidden="1" width="13" customWidth="1" min="15" max="15"/>
    <col hidden="1" width="13" customWidth="1" min="16" max="16"/>
    <col hidden="1" width="13" customWidth="1" min="17" max="17"/>
    <col hidden="1"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401(k) Projection</t>
        </is>
      </c>
    </row>
    <row r="2" ht="20" customHeight="1">
      <c r="A2" s="61" t="inlineStr">
        <is>
          <t>Project your balance at retirement from your own fund's past yearly returns. Uses 2026 IRS limits.</t>
        </is>
      </c>
      <c r="B2" s="2" t="n"/>
      <c r="C2" s="2" t="n"/>
      <c r="D2" s="2" t="n"/>
      <c r="E2" s="2" t="n"/>
      <c r="F2" s="2" t="n"/>
      <c r="G2" s="2" t="n"/>
      <c r="H2" s="2" t="n"/>
      <c r="I2" s="2" t="n"/>
      <c r="J2" s="2" t="n"/>
      <c r="K2" s="2" t="n"/>
      <c r="L2" s="2" t="n"/>
    </row>
    <row r="4" ht="24" customHeight="1">
      <c r="A4" s="4" t="inlineStr">
        <is>
          <t>YOUR PLAN</t>
        </is>
      </c>
      <c r="B4" s="2" t="n"/>
      <c r="D4" s="4" t="inlineStr">
        <is>
          <t>PAST YEARLY RETURNS</t>
        </is>
      </c>
      <c r="E4" s="2" t="n"/>
      <c r="G4" s="4" t="inlineStr">
        <is>
          <t>WHAT THE HISTORY SAYS</t>
        </is>
      </c>
      <c r="H4" s="2" t="n"/>
    </row>
    <row r="5" ht="22" customHeight="1">
      <c r="A5" s="11" t="inlineStr">
        <is>
          <t>Current age</t>
        </is>
      </c>
      <c r="B5" s="118" t="n">
        <v>34</v>
      </c>
      <c r="D5" s="35" t="inlineStr">
        <is>
          <t>Year</t>
        </is>
      </c>
      <c r="E5" s="38" t="inlineStr">
        <is>
          <t>Return</t>
        </is>
      </c>
      <c r="G5" s="17" t="inlineStr">
        <is>
          <t>Based on the returns you entered</t>
        </is>
      </c>
    </row>
    <row r="6">
      <c r="A6" s="11" t="inlineStr">
        <is>
          <t>Retirement age</t>
        </is>
      </c>
      <c r="B6" s="118" t="n">
        <v>65</v>
      </c>
      <c r="D6" s="122" t="n">
        <v>2006</v>
      </c>
      <c r="E6" s="123" t="n">
        <v>0.136</v>
      </c>
      <c r="G6" s="11" t="inlineStr">
        <is>
          <t>Years entered</t>
        </is>
      </c>
      <c r="H6" s="68">
        <f>COUNT(E6:E25)</f>
        <v/>
      </c>
    </row>
    <row r="7">
      <c r="A7" s="11" t="inlineStr">
        <is>
          <t>Current 401(k) balance</t>
        </is>
      </c>
      <c r="B7" s="111" t="n">
        <v>68500</v>
      </c>
      <c r="D7" s="122" t="n">
        <v>2007</v>
      </c>
      <c r="E7" s="123" t="n">
        <v>0.052</v>
      </c>
      <c r="G7" s="11" t="inlineStr">
        <is>
          <t>Average yearly return</t>
        </is>
      </c>
      <c r="H7" s="124">
        <f>IF(H6=0,"",AVERAGE(E6:E25))</f>
        <v/>
      </c>
    </row>
    <row r="8">
      <c r="A8" s="11" t="inlineStr">
        <is>
          <t>Annual salary</t>
        </is>
      </c>
      <c r="B8" s="111" t="n">
        <v>92000</v>
      </c>
      <c r="D8" s="122" t="n">
        <v>2008</v>
      </c>
      <c r="E8" s="123" t="n">
        <v>-0.288</v>
      </c>
      <c r="G8" s="11" t="inlineStr">
        <is>
          <t>Compound yearly return (CAGR)</t>
        </is>
      </c>
      <c r="H8" s="124">
        <f>IF(H6=0,"",EXP(SUMPRODUCT(LN(1+E6:E25))/H6)-1)</f>
        <v/>
      </c>
    </row>
    <row r="9">
      <c r="A9" s="11" t="inlineStr">
        <is>
          <t>Salary growth per year</t>
        </is>
      </c>
      <c r="B9" s="125" t="n">
        <v>0.03</v>
      </c>
      <c r="D9" s="122" t="n">
        <v>2009</v>
      </c>
      <c r="E9" s="123" t="n">
        <v>0.221</v>
      </c>
      <c r="G9" s="11" t="inlineStr">
        <is>
          <t>Ups and downs (std. deviation)</t>
        </is>
      </c>
      <c r="H9" s="124">
        <f>IF(H6&lt;2,"",STDEV(E6:E25))</f>
        <v/>
      </c>
    </row>
    <row r="10">
      <c r="A10" s="11" t="inlineStr">
        <is>
          <t>You contribute (% of salary)</t>
        </is>
      </c>
      <c r="B10" s="125" t="n">
        <v>0.08</v>
      </c>
      <c r="D10" s="122" t="n">
        <v>2010</v>
      </c>
      <c r="E10" s="123" t="n">
        <v>0.128</v>
      </c>
      <c r="G10" s="11" t="inlineStr">
        <is>
          <t>Best year</t>
        </is>
      </c>
      <c r="H10" s="124">
        <f>IF(H6=0,"",MAX(E6:E25))</f>
        <v/>
      </c>
    </row>
    <row r="11">
      <c r="A11" s="11" t="inlineStr">
        <is>
          <t>Employer matches (% of what you put in)</t>
        </is>
      </c>
      <c r="B11" s="125" t="n">
        <v>0.5</v>
      </c>
      <c r="D11" s="122" t="n">
        <v>2011</v>
      </c>
      <c r="E11" s="123" t="n">
        <v>0.008</v>
      </c>
      <c r="G11" s="11" t="inlineStr">
        <is>
          <t>Worst year</t>
        </is>
      </c>
      <c r="H11" s="124">
        <f>IF(H6=0,"",MIN(E6:E25))</f>
        <v/>
      </c>
    </row>
    <row r="12">
      <c r="A12" s="11" t="inlineStr">
        <is>
          <t>...on contributions up to (% of salary)</t>
        </is>
      </c>
      <c r="B12" s="125" t="n">
        <v>0.06</v>
      </c>
      <c r="D12" s="122" t="n">
        <v>2012</v>
      </c>
      <c r="E12" s="123" t="n">
        <v>0.131</v>
      </c>
      <c r="G12" s="11" t="inlineStr">
        <is>
          <t>Losing years</t>
        </is>
      </c>
      <c r="H12" s="68">
        <f>COUNTIF(E6:E25,"&lt;0")</f>
        <v/>
      </c>
    </row>
    <row r="13">
      <c r="A13" s="11" t="inlineStr">
        <is>
          <t>Employer extra contribution (% of salary)</t>
        </is>
      </c>
      <c r="B13" s="125" t="n">
        <v>0</v>
      </c>
      <c r="D13" s="122" t="n">
        <v>2013</v>
      </c>
      <c r="E13" s="123" t="n">
        <v>0.214</v>
      </c>
    </row>
    <row r="14">
      <c r="A14" s="11" t="inlineStr">
        <is>
          <t>Yearly fund fees (expense ratio)</t>
        </is>
      </c>
      <c r="B14" s="125" t="n">
        <v>0.0035</v>
      </c>
      <c r="D14" s="122" t="n">
        <v>2014</v>
      </c>
      <c r="E14" s="123" t="n">
        <v>0.091</v>
      </c>
      <c r="G14" s="11" t="inlineStr">
        <is>
          <t>Conservative (CAGR - range - fees)</t>
        </is>
      </c>
      <c r="H14" s="124">
        <f>IF(H6=0,0.06,H8)-B22-B14</f>
        <v/>
      </c>
    </row>
    <row r="15">
      <c r="A15" s="11" t="inlineStr">
        <is>
          <t>Inflation</t>
        </is>
      </c>
      <c r="B15" s="125" t="n">
        <v>0.025</v>
      </c>
      <c r="D15" s="122" t="n">
        <v>2015</v>
      </c>
      <c r="E15" s="123" t="n">
        <v>0.004</v>
      </c>
      <c r="G15" s="20" t="inlineStr">
        <is>
          <t>Expected (CAGR - fees)</t>
        </is>
      </c>
      <c r="H15" s="126">
        <f>IF(H6=0,0.06,H8)-B14</f>
        <v/>
      </c>
    </row>
    <row r="16">
      <c r="A16" s="11" t="inlineStr">
        <is>
          <t>Plan year</t>
        </is>
      </c>
      <c r="B16" s="118" t="n">
        <v>2026</v>
      </c>
      <c r="D16" s="122" t="n">
        <v>2016</v>
      </c>
      <c r="E16" s="123" t="n">
        <v>0.083</v>
      </c>
      <c r="G16" s="11" t="inlineStr">
        <is>
          <t>Optimistic (CAGR + range - fees)</t>
        </is>
      </c>
      <c r="H16" s="124">
        <f>IF(H6=0,0.06,H8)+B22-B14</f>
        <v/>
      </c>
    </row>
    <row r="17">
      <c r="A17" s="11" t="inlineStr">
        <is>
          <t>Employee contribution limit (2026)</t>
        </is>
      </c>
      <c r="B17" s="111" t="n">
        <v>24500</v>
      </c>
      <c r="D17" s="122" t="n">
        <v>2017</v>
      </c>
      <c r="E17" s="123" t="n">
        <v>0.165</v>
      </c>
      <c r="G17" s="17" t="inlineStr">
        <is>
          <t>Replay history: repeats your returns in order, year by year</t>
        </is>
      </c>
    </row>
    <row r="18">
      <c r="A18" s="11" t="inlineStr">
        <is>
          <t>Catch-up limit, age 50+ (2026)</t>
        </is>
      </c>
      <c r="B18" s="111" t="n">
        <v>8000</v>
      </c>
      <c r="D18" s="122" t="n">
        <v>2018</v>
      </c>
      <c r="E18" s="123" t="n">
        <v>-0.051</v>
      </c>
    </row>
    <row r="19" ht="24" customHeight="1">
      <c r="A19" s="11" t="inlineStr">
        <is>
          <t>Catch-up limit, ages 60-63 (2026)</t>
        </is>
      </c>
      <c r="B19" s="111" t="n">
        <v>11250</v>
      </c>
      <c r="D19" s="122" t="n">
        <v>2019</v>
      </c>
      <c r="E19" s="123" t="n">
        <v>0.215</v>
      </c>
      <c r="G19" s="4" t="inlineStr">
        <is>
          <t>AT RETIREMENT</t>
        </is>
      </c>
      <c r="H19" s="2" t="n"/>
    </row>
    <row r="20">
      <c r="A20" s="11" t="inlineStr">
        <is>
          <t>Limits rise each year by (assumed)</t>
        </is>
      </c>
      <c r="B20" s="125" t="n">
        <v>0.02</v>
      </c>
      <c r="D20" s="122" t="n">
        <v>2020</v>
      </c>
      <c r="E20" s="123" t="n">
        <v>0.143</v>
      </c>
      <c r="G20" s="11" t="inlineStr">
        <is>
          <t>Years until retirement</t>
        </is>
      </c>
      <c r="H20" s="68">
        <f>MAX(0,B6-B5)</f>
        <v/>
      </c>
    </row>
    <row r="21">
      <c r="A21" s="11" t="inlineStr">
        <is>
          <t>Keep contributions within IRS limits</t>
        </is>
      </c>
      <c r="B21" s="127" t="inlineStr">
        <is>
          <t>Yes</t>
        </is>
      </c>
      <c r="D21" s="122" t="n">
        <v>2021</v>
      </c>
      <c r="E21" s="123" t="n">
        <v>0.157</v>
      </c>
      <c r="G21" s="20" t="inlineStr">
        <is>
          <t>Expected balance</t>
        </is>
      </c>
      <c r="H21" s="59">
        <f>INDEX(I33:I102,H20+1)</f>
        <v/>
      </c>
    </row>
    <row r="22">
      <c r="A22" s="11" t="inlineStr">
        <is>
          <t>Scenario range around history (+/-)</t>
        </is>
      </c>
      <c r="B22" s="125" t="n">
        <v>0.02</v>
      </c>
      <c r="D22" s="122" t="n">
        <v>2022</v>
      </c>
      <c r="E22" s="123" t="n">
        <v>-0.163</v>
      </c>
      <c r="G22" s="11" t="inlineStr">
        <is>
          <t>...in today's dollars</t>
        </is>
      </c>
      <c r="H22" s="58">
        <f>INDEX(L33:L102,H20+1)</f>
        <v/>
      </c>
    </row>
    <row r="23">
      <c r="D23" s="122" t="n">
        <v>2023</v>
      </c>
      <c r="E23" s="123" t="n">
        <v>0.181</v>
      </c>
      <c r="G23" s="11" t="inlineStr">
        <is>
          <t>Conservative balance</t>
        </is>
      </c>
      <c r="H23" s="58">
        <f>INDEX(H33:H102,H20+1)</f>
        <v/>
      </c>
    </row>
    <row r="24">
      <c r="D24" s="122" t="n">
        <v>2024</v>
      </c>
      <c r="E24" s="123" t="n">
        <v>0.149</v>
      </c>
      <c r="G24" s="11" t="inlineStr">
        <is>
          <t>Optimistic balance</t>
        </is>
      </c>
      <c r="H24" s="58">
        <f>INDEX(J33:J102,H20+1)</f>
        <v/>
      </c>
    </row>
    <row r="25">
      <c r="D25" s="122" t="n">
        <v>2025</v>
      </c>
      <c r="E25" s="123" t="n">
        <v>0.112</v>
      </c>
      <c r="G25" s="11" t="inlineStr">
        <is>
          <t>Replay-history balance</t>
        </is>
      </c>
      <c r="H25" s="58">
        <f>INDEX(K33:K102,H20+1)</f>
        <v/>
      </c>
    </row>
    <row r="26">
      <c r="D26" s="128" t="inlineStr">
        <is>
          <t>Example values. Replace them with your fund's yearly returns (from your plan's website), top to bottom with no gaps.</t>
        </is>
      </c>
      <c r="G26" s="11" t="inlineStr">
        <is>
          <t>You will put in</t>
        </is>
      </c>
      <c r="H26" s="58">
        <f>SUM(E33:E102)</f>
        <v/>
      </c>
    </row>
    <row r="27">
      <c r="G27" s="11" t="inlineStr">
        <is>
          <t>Your employer will put in</t>
        </is>
      </c>
      <c r="H27" s="58">
        <f>SUM(F33:F102)</f>
        <v/>
      </c>
    </row>
    <row r="28">
      <c r="G28" s="11" t="inlineStr">
        <is>
          <t>Investment growth (expected)</t>
        </is>
      </c>
      <c r="H28" s="58">
        <f>H21-B7-H26-H27</f>
        <v/>
      </c>
    </row>
    <row r="29">
      <c r="G29" s="20" t="inlineStr">
        <is>
          <t>Yearly income at 4%, today's dollars</t>
        </is>
      </c>
      <c r="H29" s="59">
        <f>H22*0.04</f>
        <v/>
      </c>
    </row>
    <row r="30">
      <c r="G30" s="11" t="inlineStr">
        <is>
          <t>...per month</t>
        </is>
      </c>
      <c r="H30" s="58">
        <f>H29/12</f>
        <v/>
      </c>
    </row>
    <row r="32" ht="32" customHeight="1">
      <c r="A32" s="38" t="inlineStr">
        <is>
          <t>Year #</t>
        </is>
      </c>
      <c r="B32" s="38" t="inlineStr">
        <is>
          <t>Year</t>
        </is>
      </c>
      <c r="C32" s="38" t="inlineStr">
        <is>
          <t>Age</t>
        </is>
      </c>
      <c r="D32" s="38" t="inlineStr">
        <is>
          <t>Salary</t>
        </is>
      </c>
      <c r="E32" s="38" t="inlineStr">
        <is>
          <t>Your Contribution</t>
        </is>
      </c>
      <c r="F32" s="38" t="inlineStr">
        <is>
          <t>Employer</t>
        </is>
      </c>
      <c r="G32" s="38" t="inlineStr">
        <is>
          <t>Total Added</t>
        </is>
      </c>
      <c r="H32" s="38" t="inlineStr">
        <is>
          <t>Conservative</t>
        </is>
      </c>
      <c r="I32" s="38" t="inlineStr">
        <is>
          <t>Expected</t>
        </is>
      </c>
      <c r="J32" s="38" t="inlineStr">
        <is>
          <t>Optimistic</t>
        </is>
      </c>
      <c r="K32" s="38" t="inlineStr">
        <is>
          <t>Replay History</t>
        </is>
      </c>
      <c r="L32" s="38" t="inlineStr">
        <is>
          <t>Expected (today's $)</t>
        </is>
      </c>
      <c r="N32" t="inlineStr">
        <is>
          <t>Chart age</t>
        </is>
      </c>
      <c r="O32" t="inlineStr">
        <is>
          <t>Chart (NA ends the line at retirement)</t>
        </is>
      </c>
    </row>
    <row r="33">
      <c r="A33" s="129" t="n">
        <v>0</v>
      </c>
      <c r="B33" s="129">
        <f>B16</f>
        <v/>
      </c>
      <c r="C33" s="129">
        <f>B5</f>
        <v/>
      </c>
      <c r="D33" s="51" t="n"/>
      <c r="E33" s="51" t="n"/>
      <c r="F33" s="51" t="n"/>
      <c r="G33" s="51" t="n"/>
      <c r="H33" s="51">
        <f>B7</f>
        <v/>
      </c>
      <c r="I33" s="130">
        <f>B7</f>
        <v/>
      </c>
      <c r="J33" s="51">
        <f>B7</f>
        <v/>
      </c>
      <c r="K33" s="51">
        <f>B7</f>
        <v/>
      </c>
      <c r="L33" s="51">
        <f>B7</f>
        <v/>
      </c>
      <c r="N33">
        <f>IF(A33="",NA(),C33)</f>
        <v/>
      </c>
      <c r="O33">
        <f>IF(A33="",NA(),H33)</f>
        <v/>
      </c>
      <c r="P33">
        <f>IF(A33="",NA(),I33)</f>
        <v/>
      </c>
      <c r="Q33">
        <f>IF(A33="",NA(),J33)</f>
        <v/>
      </c>
      <c r="R33">
        <f>IF(A33="",NA(),K33)</f>
        <v/>
      </c>
    </row>
    <row r="34">
      <c r="A34" s="129">
        <f>IF(A33="","",IF($B$5+A33+1&gt;$B$6,"",A33+1))</f>
        <v/>
      </c>
      <c r="B34" s="129">
        <f>IF(A34="","",$B$16+A34)</f>
        <v/>
      </c>
      <c r="C34" s="129">
        <f>IF(A34="","",$B$5+A34)</f>
        <v/>
      </c>
      <c r="D34" s="51">
        <f>IF(A34="","",$B$8*(1+$B$9)^(A34-1))</f>
        <v/>
      </c>
      <c r="E34" s="51">
        <f>IF(A34="","",IF($B$21="Yes",MIN(D34*$B$10,ROUND($B$17*(1+$B$20)^(A34-1)/500,0)*500+IF(AND(C34&gt;=60,C34&lt;=63),ROUND($B$19*(1+$B$20)^(A34-1)/500,0)*500,IF(C34&gt;=50,ROUND($B$18*(1+$B$20)^(A34-1)/500,0)*500,0))),D34*$B$10))</f>
        <v/>
      </c>
      <c r="F34" s="51">
        <f>IF(A34="","",MIN(E34,D34*$B$12)*$B$11+D34*$B$13)</f>
        <v/>
      </c>
      <c r="G34" s="51">
        <f>IF(A34="","",E34+F34)</f>
        <v/>
      </c>
      <c r="H34" s="51">
        <f>IF(A34="","",H33*(1+$H$14)+G34*(1+$H$14)^0.5)</f>
        <v/>
      </c>
      <c r="I34" s="130">
        <f>IF(A34="","",I33*(1+$H$15)+G34*(1+$H$15)^0.5)</f>
        <v/>
      </c>
      <c r="J34" s="51">
        <f>IF(A34="","",J33*(1+$H$16)+G34*(1+$H$16)^0.5)</f>
        <v/>
      </c>
      <c r="K34" s="51">
        <f>IF(A34="","",K33*(1+IF($H$6=0,$H$15,INDEX($E$6:$E$25,MOD(A34-1,$H$6)+1)-$B$14))+G34*(1+IF($H$6=0,$H$15,INDEX($E$6:$E$25,MOD(A34-1,$H$6)+1)-$B$14))^0.5)</f>
        <v/>
      </c>
      <c r="L34" s="51">
        <f>IF(A34="","",I34/(1+$B$15)^A34)</f>
        <v/>
      </c>
      <c r="N34">
        <f>IF(A34="",NA(),C34)</f>
        <v/>
      </c>
      <c r="O34">
        <f>IF(A34="",NA(),H34)</f>
        <v/>
      </c>
      <c r="P34">
        <f>IF(A34="",NA(),I34)</f>
        <v/>
      </c>
      <c r="Q34">
        <f>IF(A34="",NA(),J34)</f>
        <v/>
      </c>
      <c r="R34">
        <f>IF(A34="",NA(),K34)</f>
        <v/>
      </c>
    </row>
    <row r="35">
      <c r="A35" s="129">
        <f>IF(A34="","",IF($B$5+A34+1&gt;$B$6,"",A34+1))</f>
        <v/>
      </c>
      <c r="B35" s="129">
        <f>IF(A35="","",$B$16+A35)</f>
        <v/>
      </c>
      <c r="C35" s="129">
        <f>IF(A35="","",$B$5+A35)</f>
        <v/>
      </c>
      <c r="D35" s="51">
        <f>IF(A35="","",$B$8*(1+$B$9)^(A35-1))</f>
        <v/>
      </c>
      <c r="E35" s="51">
        <f>IF(A35="","",IF($B$21="Yes",MIN(D35*$B$10,ROUND($B$17*(1+$B$20)^(A35-1)/500,0)*500+IF(AND(C35&gt;=60,C35&lt;=63),ROUND($B$19*(1+$B$20)^(A35-1)/500,0)*500,IF(C35&gt;=50,ROUND($B$18*(1+$B$20)^(A35-1)/500,0)*500,0))),D35*$B$10))</f>
        <v/>
      </c>
      <c r="F35" s="51">
        <f>IF(A35="","",MIN(E35,D35*$B$12)*$B$11+D35*$B$13)</f>
        <v/>
      </c>
      <c r="G35" s="51">
        <f>IF(A35="","",E35+F35)</f>
        <v/>
      </c>
      <c r="H35" s="51">
        <f>IF(A35="","",H34*(1+$H$14)+G35*(1+$H$14)^0.5)</f>
        <v/>
      </c>
      <c r="I35" s="130">
        <f>IF(A35="","",I34*(1+$H$15)+G35*(1+$H$15)^0.5)</f>
        <v/>
      </c>
      <c r="J35" s="51">
        <f>IF(A35="","",J34*(1+$H$16)+G35*(1+$H$16)^0.5)</f>
        <v/>
      </c>
      <c r="K35" s="51">
        <f>IF(A35="","",K34*(1+IF($H$6=0,$H$15,INDEX($E$6:$E$25,MOD(A35-1,$H$6)+1)-$B$14))+G35*(1+IF($H$6=0,$H$15,INDEX($E$6:$E$25,MOD(A35-1,$H$6)+1)-$B$14))^0.5)</f>
        <v/>
      </c>
      <c r="L35" s="51">
        <f>IF(A35="","",I35/(1+$B$15)^A35)</f>
        <v/>
      </c>
      <c r="N35">
        <f>IF(A35="",NA(),C35)</f>
        <v/>
      </c>
      <c r="O35">
        <f>IF(A35="",NA(),H35)</f>
        <v/>
      </c>
      <c r="P35">
        <f>IF(A35="",NA(),I35)</f>
        <v/>
      </c>
      <c r="Q35">
        <f>IF(A35="",NA(),J35)</f>
        <v/>
      </c>
      <c r="R35">
        <f>IF(A35="",NA(),K35)</f>
        <v/>
      </c>
    </row>
    <row r="36">
      <c r="A36" s="129">
        <f>IF(A35="","",IF($B$5+A35+1&gt;$B$6,"",A35+1))</f>
        <v/>
      </c>
      <c r="B36" s="129">
        <f>IF(A36="","",$B$16+A36)</f>
        <v/>
      </c>
      <c r="C36" s="129">
        <f>IF(A36="","",$B$5+A36)</f>
        <v/>
      </c>
      <c r="D36" s="51">
        <f>IF(A36="","",$B$8*(1+$B$9)^(A36-1))</f>
        <v/>
      </c>
      <c r="E36" s="51">
        <f>IF(A36="","",IF($B$21="Yes",MIN(D36*$B$10,ROUND($B$17*(1+$B$20)^(A36-1)/500,0)*500+IF(AND(C36&gt;=60,C36&lt;=63),ROUND($B$19*(1+$B$20)^(A36-1)/500,0)*500,IF(C36&gt;=50,ROUND($B$18*(1+$B$20)^(A36-1)/500,0)*500,0))),D36*$B$10))</f>
        <v/>
      </c>
      <c r="F36" s="51">
        <f>IF(A36="","",MIN(E36,D36*$B$12)*$B$11+D36*$B$13)</f>
        <v/>
      </c>
      <c r="G36" s="51">
        <f>IF(A36="","",E36+F36)</f>
        <v/>
      </c>
      <c r="H36" s="51">
        <f>IF(A36="","",H35*(1+$H$14)+G36*(1+$H$14)^0.5)</f>
        <v/>
      </c>
      <c r="I36" s="130">
        <f>IF(A36="","",I35*(1+$H$15)+G36*(1+$H$15)^0.5)</f>
        <v/>
      </c>
      <c r="J36" s="51">
        <f>IF(A36="","",J35*(1+$H$16)+G36*(1+$H$16)^0.5)</f>
        <v/>
      </c>
      <c r="K36" s="51">
        <f>IF(A36="","",K35*(1+IF($H$6=0,$H$15,INDEX($E$6:$E$25,MOD(A36-1,$H$6)+1)-$B$14))+G36*(1+IF($H$6=0,$H$15,INDEX($E$6:$E$25,MOD(A36-1,$H$6)+1)-$B$14))^0.5)</f>
        <v/>
      </c>
      <c r="L36" s="51">
        <f>IF(A36="","",I36/(1+$B$15)^A36)</f>
        <v/>
      </c>
      <c r="N36">
        <f>IF(A36="",NA(),C36)</f>
        <v/>
      </c>
      <c r="O36">
        <f>IF(A36="",NA(),H36)</f>
        <v/>
      </c>
      <c r="P36">
        <f>IF(A36="",NA(),I36)</f>
        <v/>
      </c>
      <c r="Q36">
        <f>IF(A36="",NA(),J36)</f>
        <v/>
      </c>
      <c r="R36">
        <f>IF(A36="",NA(),K36)</f>
        <v/>
      </c>
    </row>
    <row r="37">
      <c r="A37" s="129">
        <f>IF(A36="","",IF($B$5+A36+1&gt;$B$6,"",A36+1))</f>
        <v/>
      </c>
      <c r="B37" s="129">
        <f>IF(A37="","",$B$16+A37)</f>
        <v/>
      </c>
      <c r="C37" s="129">
        <f>IF(A37="","",$B$5+A37)</f>
        <v/>
      </c>
      <c r="D37" s="51">
        <f>IF(A37="","",$B$8*(1+$B$9)^(A37-1))</f>
        <v/>
      </c>
      <c r="E37" s="51">
        <f>IF(A37="","",IF($B$21="Yes",MIN(D37*$B$10,ROUND($B$17*(1+$B$20)^(A37-1)/500,0)*500+IF(AND(C37&gt;=60,C37&lt;=63),ROUND($B$19*(1+$B$20)^(A37-1)/500,0)*500,IF(C37&gt;=50,ROUND($B$18*(1+$B$20)^(A37-1)/500,0)*500,0))),D37*$B$10))</f>
        <v/>
      </c>
      <c r="F37" s="51">
        <f>IF(A37="","",MIN(E37,D37*$B$12)*$B$11+D37*$B$13)</f>
        <v/>
      </c>
      <c r="G37" s="51">
        <f>IF(A37="","",E37+F37)</f>
        <v/>
      </c>
      <c r="H37" s="51">
        <f>IF(A37="","",H36*(1+$H$14)+G37*(1+$H$14)^0.5)</f>
        <v/>
      </c>
      <c r="I37" s="130">
        <f>IF(A37="","",I36*(1+$H$15)+G37*(1+$H$15)^0.5)</f>
        <v/>
      </c>
      <c r="J37" s="51">
        <f>IF(A37="","",J36*(1+$H$16)+G37*(1+$H$16)^0.5)</f>
        <v/>
      </c>
      <c r="K37" s="51">
        <f>IF(A37="","",K36*(1+IF($H$6=0,$H$15,INDEX($E$6:$E$25,MOD(A37-1,$H$6)+1)-$B$14))+G37*(1+IF($H$6=0,$H$15,INDEX($E$6:$E$25,MOD(A37-1,$H$6)+1)-$B$14))^0.5)</f>
        <v/>
      </c>
      <c r="L37" s="51">
        <f>IF(A37="","",I37/(1+$B$15)^A37)</f>
        <v/>
      </c>
      <c r="N37">
        <f>IF(A37="",NA(),C37)</f>
        <v/>
      </c>
      <c r="O37">
        <f>IF(A37="",NA(),H37)</f>
        <v/>
      </c>
      <c r="P37">
        <f>IF(A37="",NA(),I37)</f>
        <v/>
      </c>
      <c r="Q37">
        <f>IF(A37="",NA(),J37)</f>
        <v/>
      </c>
      <c r="R37">
        <f>IF(A37="",NA(),K37)</f>
        <v/>
      </c>
    </row>
    <row r="38">
      <c r="A38" s="129">
        <f>IF(A37="","",IF($B$5+A37+1&gt;$B$6,"",A37+1))</f>
        <v/>
      </c>
      <c r="B38" s="129">
        <f>IF(A38="","",$B$16+A38)</f>
        <v/>
      </c>
      <c r="C38" s="129">
        <f>IF(A38="","",$B$5+A38)</f>
        <v/>
      </c>
      <c r="D38" s="51">
        <f>IF(A38="","",$B$8*(1+$B$9)^(A38-1))</f>
        <v/>
      </c>
      <c r="E38" s="51">
        <f>IF(A38="","",IF($B$21="Yes",MIN(D38*$B$10,ROUND($B$17*(1+$B$20)^(A38-1)/500,0)*500+IF(AND(C38&gt;=60,C38&lt;=63),ROUND($B$19*(1+$B$20)^(A38-1)/500,0)*500,IF(C38&gt;=50,ROUND($B$18*(1+$B$20)^(A38-1)/500,0)*500,0))),D38*$B$10))</f>
        <v/>
      </c>
      <c r="F38" s="51">
        <f>IF(A38="","",MIN(E38,D38*$B$12)*$B$11+D38*$B$13)</f>
        <v/>
      </c>
      <c r="G38" s="51">
        <f>IF(A38="","",E38+F38)</f>
        <v/>
      </c>
      <c r="H38" s="51">
        <f>IF(A38="","",H37*(1+$H$14)+G38*(1+$H$14)^0.5)</f>
        <v/>
      </c>
      <c r="I38" s="130">
        <f>IF(A38="","",I37*(1+$H$15)+G38*(1+$H$15)^0.5)</f>
        <v/>
      </c>
      <c r="J38" s="51">
        <f>IF(A38="","",J37*(1+$H$16)+G38*(1+$H$16)^0.5)</f>
        <v/>
      </c>
      <c r="K38" s="51">
        <f>IF(A38="","",K37*(1+IF($H$6=0,$H$15,INDEX($E$6:$E$25,MOD(A38-1,$H$6)+1)-$B$14))+G38*(1+IF($H$6=0,$H$15,INDEX($E$6:$E$25,MOD(A38-1,$H$6)+1)-$B$14))^0.5)</f>
        <v/>
      </c>
      <c r="L38" s="51">
        <f>IF(A38="","",I38/(1+$B$15)^A38)</f>
        <v/>
      </c>
      <c r="N38">
        <f>IF(A38="",NA(),C38)</f>
        <v/>
      </c>
      <c r="O38">
        <f>IF(A38="",NA(),H38)</f>
        <v/>
      </c>
      <c r="P38">
        <f>IF(A38="",NA(),I38)</f>
        <v/>
      </c>
      <c r="Q38">
        <f>IF(A38="",NA(),J38)</f>
        <v/>
      </c>
      <c r="R38">
        <f>IF(A38="",NA(),K38)</f>
        <v/>
      </c>
    </row>
    <row r="39">
      <c r="A39" s="129">
        <f>IF(A38="","",IF($B$5+A38+1&gt;$B$6,"",A38+1))</f>
        <v/>
      </c>
      <c r="B39" s="129">
        <f>IF(A39="","",$B$16+A39)</f>
        <v/>
      </c>
      <c r="C39" s="129">
        <f>IF(A39="","",$B$5+A39)</f>
        <v/>
      </c>
      <c r="D39" s="51">
        <f>IF(A39="","",$B$8*(1+$B$9)^(A39-1))</f>
        <v/>
      </c>
      <c r="E39" s="51">
        <f>IF(A39="","",IF($B$21="Yes",MIN(D39*$B$10,ROUND($B$17*(1+$B$20)^(A39-1)/500,0)*500+IF(AND(C39&gt;=60,C39&lt;=63),ROUND($B$19*(1+$B$20)^(A39-1)/500,0)*500,IF(C39&gt;=50,ROUND($B$18*(1+$B$20)^(A39-1)/500,0)*500,0))),D39*$B$10))</f>
        <v/>
      </c>
      <c r="F39" s="51">
        <f>IF(A39="","",MIN(E39,D39*$B$12)*$B$11+D39*$B$13)</f>
        <v/>
      </c>
      <c r="G39" s="51">
        <f>IF(A39="","",E39+F39)</f>
        <v/>
      </c>
      <c r="H39" s="51">
        <f>IF(A39="","",H38*(1+$H$14)+G39*(1+$H$14)^0.5)</f>
        <v/>
      </c>
      <c r="I39" s="130">
        <f>IF(A39="","",I38*(1+$H$15)+G39*(1+$H$15)^0.5)</f>
        <v/>
      </c>
      <c r="J39" s="51">
        <f>IF(A39="","",J38*(1+$H$16)+G39*(1+$H$16)^0.5)</f>
        <v/>
      </c>
      <c r="K39" s="51">
        <f>IF(A39="","",K38*(1+IF($H$6=0,$H$15,INDEX($E$6:$E$25,MOD(A39-1,$H$6)+1)-$B$14))+G39*(1+IF($H$6=0,$H$15,INDEX($E$6:$E$25,MOD(A39-1,$H$6)+1)-$B$14))^0.5)</f>
        <v/>
      </c>
      <c r="L39" s="51">
        <f>IF(A39="","",I39/(1+$B$15)^A39)</f>
        <v/>
      </c>
      <c r="N39">
        <f>IF(A39="",NA(),C39)</f>
        <v/>
      </c>
      <c r="O39">
        <f>IF(A39="",NA(),H39)</f>
        <v/>
      </c>
      <c r="P39">
        <f>IF(A39="",NA(),I39)</f>
        <v/>
      </c>
      <c r="Q39">
        <f>IF(A39="",NA(),J39)</f>
        <v/>
      </c>
      <c r="R39">
        <f>IF(A39="",NA(),K39)</f>
        <v/>
      </c>
    </row>
    <row r="40">
      <c r="A40" s="129">
        <f>IF(A39="","",IF($B$5+A39+1&gt;$B$6,"",A39+1))</f>
        <v/>
      </c>
      <c r="B40" s="129">
        <f>IF(A40="","",$B$16+A40)</f>
        <v/>
      </c>
      <c r="C40" s="129">
        <f>IF(A40="","",$B$5+A40)</f>
        <v/>
      </c>
      <c r="D40" s="51">
        <f>IF(A40="","",$B$8*(1+$B$9)^(A40-1))</f>
        <v/>
      </c>
      <c r="E40" s="51">
        <f>IF(A40="","",IF($B$21="Yes",MIN(D40*$B$10,ROUND($B$17*(1+$B$20)^(A40-1)/500,0)*500+IF(AND(C40&gt;=60,C40&lt;=63),ROUND($B$19*(1+$B$20)^(A40-1)/500,0)*500,IF(C40&gt;=50,ROUND($B$18*(1+$B$20)^(A40-1)/500,0)*500,0))),D40*$B$10))</f>
        <v/>
      </c>
      <c r="F40" s="51">
        <f>IF(A40="","",MIN(E40,D40*$B$12)*$B$11+D40*$B$13)</f>
        <v/>
      </c>
      <c r="G40" s="51">
        <f>IF(A40="","",E40+F40)</f>
        <v/>
      </c>
      <c r="H40" s="51">
        <f>IF(A40="","",H39*(1+$H$14)+G40*(1+$H$14)^0.5)</f>
        <v/>
      </c>
      <c r="I40" s="130">
        <f>IF(A40="","",I39*(1+$H$15)+G40*(1+$H$15)^0.5)</f>
        <v/>
      </c>
      <c r="J40" s="51">
        <f>IF(A40="","",J39*(1+$H$16)+G40*(1+$H$16)^0.5)</f>
        <v/>
      </c>
      <c r="K40" s="51">
        <f>IF(A40="","",K39*(1+IF($H$6=0,$H$15,INDEX($E$6:$E$25,MOD(A40-1,$H$6)+1)-$B$14))+G40*(1+IF($H$6=0,$H$15,INDEX($E$6:$E$25,MOD(A40-1,$H$6)+1)-$B$14))^0.5)</f>
        <v/>
      </c>
      <c r="L40" s="51">
        <f>IF(A40="","",I40/(1+$B$15)^A40)</f>
        <v/>
      </c>
      <c r="N40">
        <f>IF(A40="",NA(),C40)</f>
        <v/>
      </c>
      <c r="O40">
        <f>IF(A40="",NA(),H40)</f>
        <v/>
      </c>
      <c r="P40">
        <f>IF(A40="",NA(),I40)</f>
        <v/>
      </c>
      <c r="Q40">
        <f>IF(A40="",NA(),J40)</f>
        <v/>
      </c>
      <c r="R40">
        <f>IF(A40="",NA(),K40)</f>
        <v/>
      </c>
    </row>
    <row r="41">
      <c r="A41" s="129">
        <f>IF(A40="","",IF($B$5+A40+1&gt;$B$6,"",A40+1))</f>
        <v/>
      </c>
      <c r="B41" s="129">
        <f>IF(A41="","",$B$16+A41)</f>
        <v/>
      </c>
      <c r="C41" s="129">
        <f>IF(A41="","",$B$5+A41)</f>
        <v/>
      </c>
      <c r="D41" s="51">
        <f>IF(A41="","",$B$8*(1+$B$9)^(A41-1))</f>
        <v/>
      </c>
      <c r="E41" s="51">
        <f>IF(A41="","",IF($B$21="Yes",MIN(D41*$B$10,ROUND($B$17*(1+$B$20)^(A41-1)/500,0)*500+IF(AND(C41&gt;=60,C41&lt;=63),ROUND($B$19*(1+$B$20)^(A41-1)/500,0)*500,IF(C41&gt;=50,ROUND($B$18*(1+$B$20)^(A41-1)/500,0)*500,0))),D41*$B$10))</f>
        <v/>
      </c>
      <c r="F41" s="51">
        <f>IF(A41="","",MIN(E41,D41*$B$12)*$B$11+D41*$B$13)</f>
        <v/>
      </c>
      <c r="G41" s="51">
        <f>IF(A41="","",E41+F41)</f>
        <v/>
      </c>
      <c r="H41" s="51">
        <f>IF(A41="","",H40*(1+$H$14)+G41*(1+$H$14)^0.5)</f>
        <v/>
      </c>
      <c r="I41" s="130">
        <f>IF(A41="","",I40*(1+$H$15)+G41*(1+$H$15)^0.5)</f>
        <v/>
      </c>
      <c r="J41" s="51">
        <f>IF(A41="","",J40*(1+$H$16)+G41*(1+$H$16)^0.5)</f>
        <v/>
      </c>
      <c r="K41" s="51">
        <f>IF(A41="","",K40*(1+IF($H$6=0,$H$15,INDEX($E$6:$E$25,MOD(A41-1,$H$6)+1)-$B$14))+G41*(1+IF($H$6=0,$H$15,INDEX($E$6:$E$25,MOD(A41-1,$H$6)+1)-$B$14))^0.5)</f>
        <v/>
      </c>
      <c r="L41" s="51">
        <f>IF(A41="","",I41/(1+$B$15)^A41)</f>
        <v/>
      </c>
      <c r="N41">
        <f>IF(A41="",NA(),C41)</f>
        <v/>
      </c>
      <c r="O41">
        <f>IF(A41="",NA(),H41)</f>
        <v/>
      </c>
      <c r="P41">
        <f>IF(A41="",NA(),I41)</f>
        <v/>
      </c>
      <c r="Q41">
        <f>IF(A41="",NA(),J41)</f>
        <v/>
      </c>
      <c r="R41">
        <f>IF(A41="",NA(),K41)</f>
        <v/>
      </c>
    </row>
    <row r="42">
      <c r="A42" s="129">
        <f>IF(A41="","",IF($B$5+A41+1&gt;$B$6,"",A41+1))</f>
        <v/>
      </c>
      <c r="B42" s="129">
        <f>IF(A42="","",$B$16+A42)</f>
        <v/>
      </c>
      <c r="C42" s="129">
        <f>IF(A42="","",$B$5+A42)</f>
        <v/>
      </c>
      <c r="D42" s="51">
        <f>IF(A42="","",$B$8*(1+$B$9)^(A42-1))</f>
        <v/>
      </c>
      <c r="E42" s="51">
        <f>IF(A42="","",IF($B$21="Yes",MIN(D42*$B$10,ROUND($B$17*(1+$B$20)^(A42-1)/500,0)*500+IF(AND(C42&gt;=60,C42&lt;=63),ROUND($B$19*(1+$B$20)^(A42-1)/500,0)*500,IF(C42&gt;=50,ROUND($B$18*(1+$B$20)^(A42-1)/500,0)*500,0))),D42*$B$10))</f>
        <v/>
      </c>
      <c r="F42" s="51">
        <f>IF(A42="","",MIN(E42,D42*$B$12)*$B$11+D42*$B$13)</f>
        <v/>
      </c>
      <c r="G42" s="51">
        <f>IF(A42="","",E42+F42)</f>
        <v/>
      </c>
      <c r="H42" s="51">
        <f>IF(A42="","",H41*(1+$H$14)+G42*(1+$H$14)^0.5)</f>
        <v/>
      </c>
      <c r="I42" s="130">
        <f>IF(A42="","",I41*(1+$H$15)+G42*(1+$H$15)^0.5)</f>
        <v/>
      </c>
      <c r="J42" s="51">
        <f>IF(A42="","",J41*(1+$H$16)+G42*(1+$H$16)^0.5)</f>
        <v/>
      </c>
      <c r="K42" s="51">
        <f>IF(A42="","",K41*(1+IF($H$6=0,$H$15,INDEX($E$6:$E$25,MOD(A42-1,$H$6)+1)-$B$14))+G42*(1+IF($H$6=0,$H$15,INDEX($E$6:$E$25,MOD(A42-1,$H$6)+1)-$B$14))^0.5)</f>
        <v/>
      </c>
      <c r="L42" s="51">
        <f>IF(A42="","",I42/(1+$B$15)^A42)</f>
        <v/>
      </c>
      <c r="N42">
        <f>IF(A42="",NA(),C42)</f>
        <v/>
      </c>
      <c r="O42">
        <f>IF(A42="",NA(),H42)</f>
        <v/>
      </c>
      <c r="P42">
        <f>IF(A42="",NA(),I42)</f>
        <v/>
      </c>
      <c r="Q42">
        <f>IF(A42="",NA(),J42)</f>
        <v/>
      </c>
      <c r="R42">
        <f>IF(A42="",NA(),K42)</f>
        <v/>
      </c>
    </row>
    <row r="43">
      <c r="A43" s="129">
        <f>IF(A42="","",IF($B$5+A42+1&gt;$B$6,"",A42+1))</f>
        <v/>
      </c>
      <c r="B43" s="129">
        <f>IF(A43="","",$B$16+A43)</f>
        <v/>
      </c>
      <c r="C43" s="129">
        <f>IF(A43="","",$B$5+A43)</f>
        <v/>
      </c>
      <c r="D43" s="51">
        <f>IF(A43="","",$B$8*(1+$B$9)^(A43-1))</f>
        <v/>
      </c>
      <c r="E43" s="51">
        <f>IF(A43="","",IF($B$21="Yes",MIN(D43*$B$10,ROUND($B$17*(1+$B$20)^(A43-1)/500,0)*500+IF(AND(C43&gt;=60,C43&lt;=63),ROUND($B$19*(1+$B$20)^(A43-1)/500,0)*500,IF(C43&gt;=50,ROUND($B$18*(1+$B$20)^(A43-1)/500,0)*500,0))),D43*$B$10))</f>
        <v/>
      </c>
      <c r="F43" s="51">
        <f>IF(A43="","",MIN(E43,D43*$B$12)*$B$11+D43*$B$13)</f>
        <v/>
      </c>
      <c r="G43" s="51">
        <f>IF(A43="","",E43+F43)</f>
        <v/>
      </c>
      <c r="H43" s="51">
        <f>IF(A43="","",H42*(1+$H$14)+G43*(1+$H$14)^0.5)</f>
        <v/>
      </c>
      <c r="I43" s="130">
        <f>IF(A43="","",I42*(1+$H$15)+G43*(1+$H$15)^0.5)</f>
        <v/>
      </c>
      <c r="J43" s="51">
        <f>IF(A43="","",J42*(1+$H$16)+G43*(1+$H$16)^0.5)</f>
        <v/>
      </c>
      <c r="K43" s="51">
        <f>IF(A43="","",K42*(1+IF($H$6=0,$H$15,INDEX($E$6:$E$25,MOD(A43-1,$H$6)+1)-$B$14))+G43*(1+IF($H$6=0,$H$15,INDEX($E$6:$E$25,MOD(A43-1,$H$6)+1)-$B$14))^0.5)</f>
        <v/>
      </c>
      <c r="L43" s="51">
        <f>IF(A43="","",I43/(1+$B$15)^A43)</f>
        <v/>
      </c>
      <c r="N43">
        <f>IF(A43="",NA(),C43)</f>
        <v/>
      </c>
      <c r="O43">
        <f>IF(A43="",NA(),H43)</f>
        <v/>
      </c>
      <c r="P43">
        <f>IF(A43="",NA(),I43)</f>
        <v/>
      </c>
      <c r="Q43">
        <f>IF(A43="",NA(),J43)</f>
        <v/>
      </c>
      <c r="R43">
        <f>IF(A43="",NA(),K43)</f>
        <v/>
      </c>
    </row>
    <row r="44">
      <c r="A44" s="129">
        <f>IF(A43="","",IF($B$5+A43+1&gt;$B$6,"",A43+1))</f>
        <v/>
      </c>
      <c r="B44" s="129">
        <f>IF(A44="","",$B$16+A44)</f>
        <v/>
      </c>
      <c r="C44" s="129">
        <f>IF(A44="","",$B$5+A44)</f>
        <v/>
      </c>
      <c r="D44" s="51">
        <f>IF(A44="","",$B$8*(1+$B$9)^(A44-1))</f>
        <v/>
      </c>
      <c r="E44" s="51">
        <f>IF(A44="","",IF($B$21="Yes",MIN(D44*$B$10,ROUND($B$17*(1+$B$20)^(A44-1)/500,0)*500+IF(AND(C44&gt;=60,C44&lt;=63),ROUND($B$19*(1+$B$20)^(A44-1)/500,0)*500,IF(C44&gt;=50,ROUND($B$18*(1+$B$20)^(A44-1)/500,0)*500,0))),D44*$B$10))</f>
        <v/>
      </c>
      <c r="F44" s="51">
        <f>IF(A44="","",MIN(E44,D44*$B$12)*$B$11+D44*$B$13)</f>
        <v/>
      </c>
      <c r="G44" s="51">
        <f>IF(A44="","",E44+F44)</f>
        <v/>
      </c>
      <c r="H44" s="51">
        <f>IF(A44="","",H43*(1+$H$14)+G44*(1+$H$14)^0.5)</f>
        <v/>
      </c>
      <c r="I44" s="130">
        <f>IF(A44="","",I43*(1+$H$15)+G44*(1+$H$15)^0.5)</f>
        <v/>
      </c>
      <c r="J44" s="51">
        <f>IF(A44="","",J43*(1+$H$16)+G44*(1+$H$16)^0.5)</f>
        <v/>
      </c>
      <c r="K44" s="51">
        <f>IF(A44="","",K43*(1+IF($H$6=0,$H$15,INDEX($E$6:$E$25,MOD(A44-1,$H$6)+1)-$B$14))+G44*(1+IF($H$6=0,$H$15,INDEX($E$6:$E$25,MOD(A44-1,$H$6)+1)-$B$14))^0.5)</f>
        <v/>
      </c>
      <c r="L44" s="51">
        <f>IF(A44="","",I44/(1+$B$15)^A44)</f>
        <v/>
      </c>
      <c r="N44">
        <f>IF(A44="",NA(),C44)</f>
        <v/>
      </c>
      <c r="O44">
        <f>IF(A44="",NA(),H44)</f>
        <v/>
      </c>
      <c r="P44">
        <f>IF(A44="",NA(),I44)</f>
        <v/>
      </c>
      <c r="Q44">
        <f>IF(A44="",NA(),J44)</f>
        <v/>
      </c>
      <c r="R44">
        <f>IF(A44="",NA(),K44)</f>
        <v/>
      </c>
    </row>
    <row r="45">
      <c r="A45" s="129">
        <f>IF(A44="","",IF($B$5+A44+1&gt;$B$6,"",A44+1))</f>
        <v/>
      </c>
      <c r="B45" s="129">
        <f>IF(A45="","",$B$16+A45)</f>
        <v/>
      </c>
      <c r="C45" s="129">
        <f>IF(A45="","",$B$5+A45)</f>
        <v/>
      </c>
      <c r="D45" s="51">
        <f>IF(A45="","",$B$8*(1+$B$9)^(A45-1))</f>
        <v/>
      </c>
      <c r="E45" s="51">
        <f>IF(A45="","",IF($B$21="Yes",MIN(D45*$B$10,ROUND($B$17*(1+$B$20)^(A45-1)/500,0)*500+IF(AND(C45&gt;=60,C45&lt;=63),ROUND($B$19*(1+$B$20)^(A45-1)/500,0)*500,IF(C45&gt;=50,ROUND($B$18*(1+$B$20)^(A45-1)/500,0)*500,0))),D45*$B$10))</f>
        <v/>
      </c>
      <c r="F45" s="51">
        <f>IF(A45="","",MIN(E45,D45*$B$12)*$B$11+D45*$B$13)</f>
        <v/>
      </c>
      <c r="G45" s="51">
        <f>IF(A45="","",E45+F45)</f>
        <v/>
      </c>
      <c r="H45" s="51">
        <f>IF(A45="","",H44*(1+$H$14)+G45*(1+$H$14)^0.5)</f>
        <v/>
      </c>
      <c r="I45" s="130">
        <f>IF(A45="","",I44*(1+$H$15)+G45*(1+$H$15)^0.5)</f>
        <v/>
      </c>
      <c r="J45" s="51">
        <f>IF(A45="","",J44*(1+$H$16)+G45*(1+$H$16)^0.5)</f>
        <v/>
      </c>
      <c r="K45" s="51">
        <f>IF(A45="","",K44*(1+IF($H$6=0,$H$15,INDEX($E$6:$E$25,MOD(A45-1,$H$6)+1)-$B$14))+G45*(1+IF($H$6=0,$H$15,INDEX($E$6:$E$25,MOD(A45-1,$H$6)+1)-$B$14))^0.5)</f>
        <v/>
      </c>
      <c r="L45" s="51">
        <f>IF(A45="","",I45/(1+$B$15)^A45)</f>
        <v/>
      </c>
      <c r="N45">
        <f>IF(A45="",NA(),C45)</f>
        <v/>
      </c>
      <c r="O45">
        <f>IF(A45="",NA(),H45)</f>
        <v/>
      </c>
      <c r="P45">
        <f>IF(A45="",NA(),I45)</f>
        <v/>
      </c>
      <c r="Q45">
        <f>IF(A45="",NA(),J45)</f>
        <v/>
      </c>
      <c r="R45">
        <f>IF(A45="",NA(),K45)</f>
        <v/>
      </c>
    </row>
    <row r="46">
      <c r="A46" s="129">
        <f>IF(A45="","",IF($B$5+A45+1&gt;$B$6,"",A45+1))</f>
        <v/>
      </c>
      <c r="B46" s="129">
        <f>IF(A46="","",$B$16+A46)</f>
        <v/>
      </c>
      <c r="C46" s="129">
        <f>IF(A46="","",$B$5+A46)</f>
        <v/>
      </c>
      <c r="D46" s="51">
        <f>IF(A46="","",$B$8*(1+$B$9)^(A46-1))</f>
        <v/>
      </c>
      <c r="E46" s="51">
        <f>IF(A46="","",IF($B$21="Yes",MIN(D46*$B$10,ROUND($B$17*(1+$B$20)^(A46-1)/500,0)*500+IF(AND(C46&gt;=60,C46&lt;=63),ROUND($B$19*(1+$B$20)^(A46-1)/500,0)*500,IF(C46&gt;=50,ROUND($B$18*(1+$B$20)^(A46-1)/500,0)*500,0))),D46*$B$10))</f>
        <v/>
      </c>
      <c r="F46" s="51">
        <f>IF(A46="","",MIN(E46,D46*$B$12)*$B$11+D46*$B$13)</f>
        <v/>
      </c>
      <c r="G46" s="51">
        <f>IF(A46="","",E46+F46)</f>
        <v/>
      </c>
      <c r="H46" s="51">
        <f>IF(A46="","",H45*(1+$H$14)+G46*(1+$H$14)^0.5)</f>
        <v/>
      </c>
      <c r="I46" s="130">
        <f>IF(A46="","",I45*(1+$H$15)+G46*(1+$H$15)^0.5)</f>
        <v/>
      </c>
      <c r="J46" s="51">
        <f>IF(A46="","",J45*(1+$H$16)+G46*(1+$H$16)^0.5)</f>
        <v/>
      </c>
      <c r="K46" s="51">
        <f>IF(A46="","",K45*(1+IF($H$6=0,$H$15,INDEX($E$6:$E$25,MOD(A46-1,$H$6)+1)-$B$14))+G46*(1+IF($H$6=0,$H$15,INDEX($E$6:$E$25,MOD(A46-1,$H$6)+1)-$B$14))^0.5)</f>
        <v/>
      </c>
      <c r="L46" s="51">
        <f>IF(A46="","",I46/(1+$B$15)^A46)</f>
        <v/>
      </c>
      <c r="N46">
        <f>IF(A46="",NA(),C46)</f>
        <v/>
      </c>
      <c r="O46">
        <f>IF(A46="",NA(),H46)</f>
        <v/>
      </c>
      <c r="P46">
        <f>IF(A46="",NA(),I46)</f>
        <v/>
      </c>
      <c r="Q46">
        <f>IF(A46="",NA(),J46)</f>
        <v/>
      </c>
      <c r="R46">
        <f>IF(A46="",NA(),K46)</f>
        <v/>
      </c>
    </row>
    <row r="47">
      <c r="A47" s="129">
        <f>IF(A46="","",IF($B$5+A46+1&gt;$B$6,"",A46+1))</f>
        <v/>
      </c>
      <c r="B47" s="129">
        <f>IF(A47="","",$B$16+A47)</f>
        <v/>
      </c>
      <c r="C47" s="129">
        <f>IF(A47="","",$B$5+A47)</f>
        <v/>
      </c>
      <c r="D47" s="51">
        <f>IF(A47="","",$B$8*(1+$B$9)^(A47-1))</f>
        <v/>
      </c>
      <c r="E47" s="51">
        <f>IF(A47="","",IF($B$21="Yes",MIN(D47*$B$10,ROUND($B$17*(1+$B$20)^(A47-1)/500,0)*500+IF(AND(C47&gt;=60,C47&lt;=63),ROUND($B$19*(1+$B$20)^(A47-1)/500,0)*500,IF(C47&gt;=50,ROUND($B$18*(1+$B$20)^(A47-1)/500,0)*500,0))),D47*$B$10))</f>
        <v/>
      </c>
      <c r="F47" s="51">
        <f>IF(A47="","",MIN(E47,D47*$B$12)*$B$11+D47*$B$13)</f>
        <v/>
      </c>
      <c r="G47" s="51">
        <f>IF(A47="","",E47+F47)</f>
        <v/>
      </c>
      <c r="H47" s="51">
        <f>IF(A47="","",H46*(1+$H$14)+G47*(1+$H$14)^0.5)</f>
        <v/>
      </c>
      <c r="I47" s="130">
        <f>IF(A47="","",I46*(1+$H$15)+G47*(1+$H$15)^0.5)</f>
        <v/>
      </c>
      <c r="J47" s="51">
        <f>IF(A47="","",J46*(1+$H$16)+G47*(1+$H$16)^0.5)</f>
        <v/>
      </c>
      <c r="K47" s="51">
        <f>IF(A47="","",K46*(1+IF($H$6=0,$H$15,INDEX($E$6:$E$25,MOD(A47-1,$H$6)+1)-$B$14))+G47*(1+IF($H$6=0,$H$15,INDEX($E$6:$E$25,MOD(A47-1,$H$6)+1)-$B$14))^0.5)</f>
        <v/>
      </c>
      <c r="L47" s="51">
        <f>IF(A47="","",I47/(1+$B$15)^A47)</f>
        <v/>
      </c>
      <c r="N47">
        <f>IF(A47="",NA(),C47)</f>
        <v/>
      </c>
      <c r="O47">
        <f>IF(A47="",NA(),H47)</f>
        <v/>
      </c>
      <c r="P47">
        <f>IF(A47="",NA(),I47)</f>
        <v/>
      </c>
      <c r="Q47">
        <f>IF(A47="",NA(),J47)</f>
        <v/>
      </c>
      <c r="R47">
        <f>IF(A47="",NA(),K47)</f>
        <v/>
      </c>
    </row>
    <row r="48">
      <c r="A48" s="129">
        <f>IF(A47="","",IF($B$5+A47+1&gt;$B$6,"",A47+1))</f>
        <v/>
      </c>
      <c r="B48" s="129">
        <f>IF(A48="","",$B$16+A48)</f>
        <v/>
      </c>
      <c r="C48" s="129">
        <f>IF(A48="","",$B$5+A48)</f>
        <v/>
      </c>
      <c r="D48" s="51">
        <f>IF(A48="","",$B$8*(1+$B$9)^(A48-1))</f>
        <v/>
      </c>
      <c r="E48" s="51">
        <f>IF(A48="","",IF($B$21="Yes",MIN(D48*$B$10,ROUND($B$17*(1+$B$20)^(A48-1)/500,0)*500+IF(AND(C48&gt;=60,C48&lt;=63),ROUND($B$19*(1+$B$20)^(A48-1)/500,0)*500,IF(C48&gt;=50,ROUND($B$18*(1+$B$20)^(A48-1)/500,0)*500,0))),D48*$B$10))</f>
        <v/>
      </c>
      <c r="F48" s="51">
        <f>IF(A48="","",MIN(E48,D48*$B$12)*$B$11+D48*$B$13)</f>
        <v/>
      </c>
      <c r="G48" s="51">
        <f>IF(A48="","",E48+F48)</f>
        <v/>
      </c>
      <c r="H48" s="51">
        <f>IF(A48="","",H47*(1+$H$14)+G48*(1+$H$14)^0.5)</f>
        <v/>
      </c>
      <c r="I48" s="130">
        <f>IF(A48="","",I47*(1+$H$15)+G48*(1+$H$15)^0.5)</f>
        <v/>
      </c>
      <c r="J48" s="51">
        <f>IF(A48="","",J47*(1+$H$16)+G48*(1+$H$16)^0.5)</f>
        <v/>
      </c>
      <c r="K48" s="51">
        <f>IF(A48="","",K47*(1+IF($H$6=0,$H$15,INDEX($E$6:$E$25,MOD(A48-1,$H$6)+1)-$B$14))+G48*(1+IF($H$6=0,$H$15,INDEX($E$6:$E$25,MOD(A48-1,$H$6)+1)-$B$14))^0.5)</f>
        <v/>
      </c>
      <c r="L48" s="51">
        <f>IF(A48="","",I48/(1+$B$15)^A48)</f>
        <v/>
      </c>
      <c r="N48">
        <f>IF(A48="",NA(),C48)</f>
        <v/>
      </c>
      <c r="O48">
        <f>IF(A48="",NA(),H48)</f>
        <v/>
      </c>
      <c r="P48">
        <f>IF(A48="",NA(),I48)</f>
        <v/>
      </c>
      <c r="Q48">
        <f>IF(A48="",NA(),J48)</f>
        <v/>
      </c>
      <c r="R48">
        <f>IF(A48="",NA(),K48)</f>
        <v/>
      </c>
    </row>
    <row r="49">
      <c r="A49" s="129">
        <f>IF(A48="","",IF($B$5+A48+1&gt;$B$6,"",A48+1))</f>
        <v/>
      </c>
      <c r="B49" s="129">
        <f>IF(A49="","",$B$16+A49)</f>
        <v/>
      </c>
      <c r="C49" s="129">
        <f>IF(A49="","",$B$5+A49)</f>
        <v/>
      </c>
      <c r="D49" s="51">
        <f>IF(A49="","",$B$8*(1+$B$9)^(A49-1))</f>
        <v/>
      </c>
      <c r="E49" s="51">
        <f>IF(A49="","",IF($B$21="Yes",MIN(D49*$B$10,ROUND($B$17*(1+$B$20)^(A49-1)/500,0)*500+IF(AND(C49&gt;=60,C49&lt;=63),ROUND($B$19*(1+$B$20)^(A49-1)/500,0)*500,IF(C49&gt;=50,ROUND($B$18*(1+$B$20)^(A49-1)/500,0)*500,0))),D49*$B$10))</f>
        <v/>
      </c>
      <c r="F49" s="51">
        <f>IF(A49="","",MIN(E49,D49*$B$12)*$B$11+D49*$B$13)</f>
        <v/>
      </c>
      <c r="G49" s="51">
        <f>IF(A49="","",E49+F49)</f>
        <v/>
      </c>
      <c r="H49" s="51">
        <f>IF(A49="","",H48*(1+$H$14)+G49*(1+$H$14)^0.5)</f>
        <v/>
      </c>
      <c r="I49" s="130">
        <f>IF(A49="","",I48*(1+$H$15)+G49*(1+$H$15)^0.5)</f>
        <v/>
      </c>
      <c r="J49" s="51">
        <f>IF(A49="","",J48*(1+$H$16)+G49*(1+$H$16)^0.5)</f>
        <v/>
      </c>
      <c r="K49" s="51">
        <f>IF(A49="","",K48*(1+IF($H$6=0,$H$15,INDEX($E$6:$E$25,MOD(A49-1,$H$6)+1)-$B$14))+G49*(1+IF($H$6=0,$H$15,INDEX($E$6:$E$25,MOD(A49-1,$H$6)+1)-$B$14))^0.5)</f>
        <v/>
      </c>
      <c r="L49" s="51">
        <f>IF(A49="","",I49/(1+$B$15)^A49)</f>
        <v/>
      </c>
      <c r="N49">
        <f>IF(A49="",NA(),C49)</f>
        <v/>
      </c>
      <c r="O49">
        <f>IF(A49="",NA(),H49)</f>
        <v/>
      </c>
      <c r="P49">
        <f>IF(A49="",NA(),I49)</f>
        <v/>
      </c>
      <c r="Q49">
        <f>IF(A49="",NA(),J49)</f>
        <v/>
      </c>
      <c r="R49">
        <f>IF(A49="",NA(),K49)</f>
        <v/>
      </c>
    </row>
    <row r="50">
      <c r="A50" s="129">
        <f>IF(A49="","",IF($B$5+A49+1&gt;$B$6,"",A49+1))</f>
        <v/>
      </c>
      <c r="B50" s="129">
        <f>IF(A50="","",$B$16+A50)</f>
        <v/>
      </c>
      <c r="C50" s="129">
        <f>IF(A50="","",$B$5+A50)</f>
        <v/>
      </c>
      <c r="D50" s="51">
        <f>IF(A50="","",$B$8*(1+$B$9)^(A50-1))</f>
        <v/>
      </c>
      <c r="E50" s="51">
        <f>IF(A50="","",IF($B$21="Yes",MIN(D50*$B$10,ROUND($B$17*(1+$B$20)^(A50-1)/500,0)*500+IF(AND(C50&gt;=60,C50&lt;=63),ROUND($B$19*(1+$B$20)^(A50-1)/500,0)*500,IF(C50&gt;=50,ROUND($B$18*(1+$B$20)^(A50-1)/500,0)*500,0))),D50*$B$10))</f>
        <v/>
      </c>
      <c r="F50" s="51">
        <f>IF(A50="","",MIN(E50,D50*$B$12)*$B$11+D50*$B$13)</f>
        <v/>
      </c>
      <c r="G50" s="51">
        <f>IF(A50="","",E50+F50)</f>
        <v/>
      </c>
      <c r="H50" s="51">
        <f>IF(A50="","",H49*(1+$H$14)+G50*(1+$H$14)^0.5)</f>
        <v/>
      </c>
      <c r="I50" s="130">
        <f>IF(A50="","",I49*(1+$H$15)+G50*(1+$H$15)^0.5)</f>
        <v/>
      </c>
      <c r="J50" s="51">
        <f>IF(A50="","",J49*(1+$H$16)+G50*(1+$H$16)^0.5)</f>
        <v/>
      </c>
      <c r="K50" s="51">
        <f>IF(A50="","",K49*(1+IF($H$6=0,$H$15,INDEX($E$6:$E$25,MOD(A50-1,$H$6)+1)-$B$14))+G50*(1+IF($H$6=0,$H$15,INDEX($E$6:$E$25,MOD(A50-1,$H$6)+1)-$B$14))^0.5)</f>
        <v/>
      </c>
      <c r="L50" s="51">
        <f>IF(A50="","",I50/(1+$B$15)^A50)</f>
        <v/>
      </c>
      <c r="N50">
        <f>IF(A50="",NA(),C50)</f>
        <v/>
      </c>
      <c r="O50">
        <f>IF(A50="",NA(),H50)</f>
        <v/>
      </c>
      <c r="P50">
        <f>IF(A50="",NA(),I50)</f>
        <v/>
      </c>
      <c r="Q50">
        <f>IF(A50="",NA(),J50)</f>
        <v/>
      </c>
      <c r="R50">
        <f>IF(A50="",NA(),K50)</f>
        <v/>
      </c>
    </row>
    <row r="51">
      <c r="A51" s="129">
        <f>IF(A50="","",IF($B$5+A50+1&gt;$B$6,"",A50+1))</f>
        <v/>
      </c>
      <c r="B51" s="129">
        <f>IF(A51="","",$B$16+A51)</f>
        <v/>
      </c>
      <c r="C51" s="129">
        <f>IF(A51="","",$B$5+A51)</f>
        <v/>
      </c>
      <c r="D51" s="51">
        <f>IF(A51="","",$B$8*(1+$B$9)^(A51-1))</f>
        <v/>
      </c>
      <c r="E51" s="51">
        <f>IF(A51="","",IF($B$21="Yes",MIN(D51*$B$10,ROUND($B$17*(1+$B$20)^(A51-1)/500,0)*500+IF(AND(C51&gt;=60,C51&lt;=63),ROUND($B$19*(1+$B$20)^(A51-1)/500,0)*500,IF(C51&gt;=50,ROUND($B$18*(1+$B$20)^(A51-1)/500,0)*500,0))),D51*$B$10))</f>
        <v/>
      </c>
      <c r="F51" s="51">
        <f>IF(A51="","",MIN(E51,D51*$B$12)*$B$11+D51*$B$13)</f>
        <v/>
      </c>
      <c r="G51" s="51">
        <f>IF(A51="","",E51+F51)</f>
        <v/>
      </c>
      <c r="H51" s="51">
        <f>IF(A51="","",H50*(1+$H$14)+G51*(1+$H$14)^0.5)</f>
        <v/>
      </c>
      <c r="I51" s="130">
        <f>IF(A51="","",I50*(1+$H$15)+G51*(1+$H$15)^0.5)</f>
        <v/>
      </c>
      <c r="J51" s="51">
        <f>IF(A51="","",J50*(1+$H$16)+G51*(1+$H$16)^0.5)</f>
        <v/>
      </c>
      <c r="K51" s="51">
        <f>IF(A51="","",K50*(1+IF($H$6=0,$H$15,INDEX($E$6:$E$25,MOD(A51-1,$H$6)+1)-$B$14))+G51*(1+IF($H$6=0,$H$15,INDEX($E$6:$E$25,MOD(A51-1,$H$6)+1)-$B$14))^0.5)</f>
        <v/>
      </c>
      <c r="L51" s="51">
        <f>IF(A51="","",I51/(1+$B$15)^A51)</f>
        <v/>
      </c>
      <c r="N51">
        <f>IF(A51="",NA(),C51)</f>
        <v/>
      </c>
      <c r="O51">
        <f>IF(A51="",NA(),H51)</f>
        <v/>
      </c>
      <c r="P51">
        <f>IF(A51="",NA(),I51)</f>
        <v/>
      </c>
      <c r="Q51">
        <f>IF(A51="",NA(),J51)</f>
        <v/>
      </c>
      <c r="R51">
        <f>IF(A51="",NA(),K51)</f>
        <v/>
      </c>
    </row>
    <row r="52">
      <c r="A52" s="129">
        <f>IF(A51="","",IF($B$5+A51+1&gt;$B$6,"",A51+1))</f>
        <v/>
      </c>
      <c r="B52" s="129">
        <f>IF(A52="","",$B$16+A52)</f>
        <v/>
      </c>
      <c r="C52" s="129">
        <f>IF(A52="","",$B$5+A52)</f>
        <v/>
      </c>
      <c r="D52" s="51">
        <f>IF(A52="","",$B$8*(1+$B$9)^(A52-1))</f>
        <v/>
      </c>
      <c r="E52" s="51">
        <f>IF(A52="","",IF($B$21="Yes",MIN(D52*$B$10,ROUND($B$17*(1+$B$20)^(A52-1)/500,0)*500+IF(AND(C52&gt;=60,C52&lt;=63),ROUND($B$19*(1+$B$20)^(A52-1)/500,0)*500,IF(C52&gt;=50,ROUND($B$18*(1+$B$20)^(A52-1)/500,0)*500,0))),D52*$B$10))</f>
        <v/>
      </c>
      <c r="F52" s="51">
        <f>IF(A52="","",MIN(E52,D52*$B$12)*$B$11+D52*$B$13)</f>
        <v/>
      </c>
      <c r="G52" s="51">
        <f>IF(A52="","",E52+F52)</f>
        <v/>
      </c>
      <c r="H52" s="51">
        <f>IF(A52="","",H51*(1+$H$14)+G52*(1+$H$14)^0.5)</f>
        <v/>
      </c>
      <c r="I52" s="130">
        <f>IF(A52="","",I51*(1+$H$15)+G52*(1+$H$15)^0.5)</f>
        <v/>
      </c>
      <c r="J52" s="51">
        <f>IF(A52="","",J51*(1+$H$16)+G52*(1+$H$16)^0.5)</f>
        <v/>
      </c>
      <c r="K52" s="51">
        <f>IF(A52="","",K51*(1+IF($H$6=0,$H$15,INDEX($E$6:$E$25,MOD(A52-1,$H$6)+1)-$B$14))+G52*(1+IF($H$6=0,$H$15,INDEX($E$6:$E$25,MOD(A52-1,$H$6)+1)-$B$14))^0.5)</f>
        <v/>
      </c>
      <c r="L52" s="51">
        <f>IF(A52="","",I52/(1+$B$15)^A52)</f>
        <v/>
      </c>
      <c r="N52">
        <f>IF(A52="",NA(),C52)</f>
        <v/>
      </c>
      <c r="O52">
        <f>IF(A52="",NA(),H52)</f>
        <v/>
      </c>
      <c r="P52">
        <f>IF(A52="",NA(),I52)</f>
        <v/>
      </c>
      <c r="Q52">
        <f>IF(A52="",NA(),J52)</f>
        <v/>
      </c>
      <c r="R52">
        <f>IF(A52="",NA(),K52)</f>
        <v/>
      </c>
    </row>
    <row r="53">
      <c r="A53" s="129">
        <f>IF(A52="","",IF($B$5+A52+1&gt;$B$6,"",A52+1))</f>
        <v/>
      </c>
      <c r="B53" s="129">
        <f>IF(A53="","",$B$16+A53)</f>
        <v/>
      </c>
      <c r="C53" s="129">
        <f>IF(A53="","",$B$5+A53)</f>
        <v/>
      </c>
      <c r="D53" s="51">
        <f>IF(A53="","",$B$8*(1+$B$9)^(A53-1))</f>
        <v/>
      </c>
      <c r="E53" s="51">
        <f>IF(A53="","",IF($B$21="Yes",MIN(D53*$B$10,ROUND($B$17*(1+$B$20)^(A53-1)/500,0)*500+IF(AND(C53&gt;=60,C53&lt;=63),ROUND($B$19*(1+$B$20)^(A53-1)/500,0)*500,IF(C53&gt;=50,ROUND($B$18*(1+$B$20)^(A53-1)/500,0)*500,0))),D53*$B$10))</f>
        <v/>
      </c>
      <c r="F53" s="51">
        <f>IF(A53="","",MIN(E53,D53*$B$12)*$B$11+D53*$B$13)</f>
        <v/>
      </c>
      <c r="G53" s="51">
        <f>IF(A53="","",E53+F53)</f>
        <v/>
      </c>
      <c r="H53" s="51">
        <f>IF(A53="","",H52*(1+$H$14)+G53*(1+$H$14)^0.5)</f>
        <v/>
      </c>
      <c r="I53" s="130">
        <f>IF(A53="","",I52*(1+$H$15)+G53*(1+$H$15)^0.5)</f>
        <v/>
      </c>
      <c r="J53" s="51">
        <f>IF(A53="","",J52*(1+$H$16)+G53*(1+$H$16)^0.5)</f>
        <v/>
      </c>
      <c r="K53" s="51">
        <f>IF(A53="","",K52*(1+IF($H$6=0,$H$15,INDEX($E$6:$E$25,MOD(A53-1,$H$6)+1)-$B$14))+G53*(1+IF($H$6=0,$H$15,INDEX($E$6:$E$25,MOD(A53-1,$H$6)+1)-$B$14))^0.5)</f>
        <v/>
      </c>
      <c r="L53" s="51">
        <f>IF(A53="","",I53/(1+$B$15)^A53)</f>
        <v/>
      </c>
      <c r="N53">
        <f>IF(A53="",NA(),C53)</f>
        <v/>
      </c>
      <c r="O53">
        <f>IF(A53="",NA(),H53)</f>
        <v/>
      </c>
      <c r="P53">
        <f>IF(A53="",NA(),I53)</f>
        <v/>
      </c>
      <c r="Q53">
        <f>IF(A53="",NA(),J53)</f>
        <v/>
      </c>
      <c r="R53">
        <f>IF(A53="",NA(),K53)</f>
        <v/>
      </c>
    </row>
    <row r="54">
      <c r="A54" s="129">
        <f>IF(A53="","",IF($B$5+A53+1&gt;$B$6,"",A53+1))</f>
        <v/>
      </c>
      <c r="B54" s="129">
        <f>IF(A54="","",$B$16+A54)</f>
        <v/>
      </c>
      <c r="C54" s="129">
        <f>IF(A54="","",$B$5+A54)</f>
        <v/>
      </c>
      <c r="D54" s="51">
        <f>IF(A54="","",$B$8*(1+$B$9)^(A54-1))</f>
        <v/>
      </c>
      <c r="E54" s="51">
        <f>IF(A54="","",IF($B$21="Yes",MIN(D54*$B$10,ROUND($B$17*(1+$B$20)^(A54-1)/500,0)*500+IF(AND(C54&gt;=60,C54&lt;=63),ROUND($B$19*(1+$B$20)^(A54-1)/500,0)*500,IF(C54&gt;=50,ROUND($B$18*(1+$B$20)^(A54-1)/500,0)*500,0))),D54*$B$10))</f>
        <v/>
      </c>
      <c r="F54" s="51">
        <f>IF(A54="","",MIN(E54,D54*$B$12)*$B$11+D54*$B$13)</f>
        <v/>
      </c>
      <c r="G54" s="51">
        <f>IF(A54="","",E54+F54)</f>
        <v/>
      </c>
      <c r="H54" s="51">
        <f>IF(A54="","",H53*(1+$H$14)+G54*(1+$H$14)^0.5)</f>
        <v/>
      </c>
      <c r="I54" s="130">
        <f>IF(A54="","",I53*(1+$H$15)+G54*(1+$H$15)^0.5)</f>
        <v/>
      </c>
      <c r="J54" s="51">
        <f>IF(A54="","",J53*(1+$H$16)+G54*(1+$H$16)^0.5)</f>
        <v/>
      </c>
      <c r="K54" s="51">
        <f>IF(A54="","",K53*(1+IF($H$6=0,$H$15,INDEX($E$6:$E$25,MOD(A54-1,$H$6)+1)-$B$14))+G54*(1+IF($H$6=0,$H$15,INDEX($E$6:$E$25,MOD(A54-1,$H$6)+1)-$B$14))^0.5)</f>
        <v/>
      </c>
      <c r="L54" s="51">
        <f>IF(A54="","",I54/(1+$B$15)^A54)</f>
        <v/>
      </c>
      <c r="N54">
        <f>IF(A54="",NA(),C54)</f>
        <v/>
      </c>
      <c r="O54">
        <f>IF(A54="",NA(),H54)</f>
        <v/>
      </c>
      <c r="P54">
        <f>IF(A54="",NA(),I54)</f>
        <v/>
      </c>
      <c r="Q54">
        <f>IF(A54="",NA(),J54)</f>
        <v/>
      </c>
      <c r="R54">
        <f>IF(A54="",NA(),K54)</f>
        <v/>
      </c>
    </row>
    <row r="55">
      <c r="A55" s="129">
        <f>IF(A54="","",IF($B$5+A54+1&gt;$B$6,"",A54+1))</f>
        <v/>
      </c>
      <c r="B55" s="129">
        <f>IF(A55="","",$B$16+A55)</f>
        <v/>
      </c>
      <c r="C55" s="129">
        <f>IF(A55="","",$B$5+A55)</f>
        <v/>
      </c>
      <c r="D55" s="51">
        <f>IF(A55="","",$B$8*(1+$B$9)^(A55-1))</f>
        <v/>
      </c>
      <c r="E55" s="51">
        <f>IF(A55="","",IF($B$21="Yes",MIN(D55*$B$10,ROUND($B$17*(1+$B$20)^(A55-1)/500,0)*500+IF(AND(C55&gt;=60,C55&lt;=63),ROUND($B$19*(1+$B$20)^(A55-1)/500,0)*500,IF(C55&gt;=50,ROUND($B$18*(1+$B$20)^(A55-1)/500,0)*500,0))),D55*$B$10))</f>
        <v/>
      </c>
      <c r="F55" s="51">
        <f>IF(A55="","",MIN(E55,D55*$B$12)*$B$11+D55*$B$13)</f>
        <v/>
      </c>
      <c r="G55" s="51">
        <f>IF(A55="","",E55+F55)</f>
        <v/>
      </c>
      <c r="H55" s="51">
        <f>IF(A55="","",H54*(1+$H$14)+G55*(1+$H$14)^0.5)</f>
        <v/>
      </c>
      <c r="I55" s="130">
        <f>IF(A55="","",I54*(1+$H$15)+G55*(1+$H$15)^0.5)</f>
        <v/>
      </c>
      <c r="J55" s="51">
        <f>IF(A55="","",J54*(1+$H$16)+G55*(1+$H$16)^0.5)</f>
        <v/>
      </c>
      <c r="K55" s="51">
        <f>IF(A55="","",K54*(1+IF($H$6=0,$H$15,INDEX($E$6:$E$25,MOD(A55-1,$H$6)+1)-$B$14))+G55*(1+IF($H$6=0,$H$15,INDEX($E$6:$E$25,MOD(A55-1,$H$6)+1)-$B$14))^0.5)</f>
        <v/>
      </c>
      <c r="L55" s="51">
        <f>IF(A55="","",I55/(1+$B$15)^A55)</f>
        <v/>
      </c>
      <c r="N55">
        <f>IF(A55="",NA(),C55)</f>
        <v/>
      </c>
      <c r="O55">
        <f>IF(A55="",NA(),H55)</f>
        <v/>
      </c>
      <c r="P55">
        <f>IF(A55="",NA(),I55)</f>
        <v/>
      </c>
      <c r="Q55">
        <f>IF(A55="",NA(),J55)</f>
        <v/>
      </c>
      <c r="R55">
        <f>IF(A55="",NA(),K55)</f>
        <v/>
      </c>
    </row>
    <row r="56">
      <c r="A56" s="129">
        <f>IF(A55="","",IF($B$5+A55+1&gt;$B$6,"",A55+1))</f>
        <v/>
      </c>
      <c r="B56" s="129">
        <f>IF(A56="","",$B$16+A56)</f>
        <v/>
      </c>
      <c r="C56" s="129">
        <f>IF(A56="","",$B$5+A56)</f>
        <v/>
      </c>
      <c r="D56" s="51">
        <f>IF(A56="","",$B$8*(1+$B$9)^(A56-1))</f>
        <v/>
      </c>
      <c r="E56" s="51">
        <f>IF(A56="","",IF($B$21="Yes",MIN(D56*$B$10,ROUND($B$17*(1+$B$20)^(A56-1)/500,0)*500+IF(AND(C56&gt;=60,C56&lt;=63),ROUND($B$19*(1+$B$20)^(A56-1)/500,0)*500,IF(C56&gt;=50,ROUND($B$18*(1+$B$20)^(A56-1)/500,0)*500,0))),D56*$B$10))</f>
        <v/>
      </c>
      <c r="F56" s="51">
        <f>IF(A56="","",MIN(E56,D56*$B$12)*$B$11+D56*$B$13)</f>
        <v/>
      </c>
      <c r="G56" s="51">
        <f>IF(A56="","",E56+F56)</f>
        <v/>
      </c>
      <c r="H56" s="51">
        <f>IF(A56="","",H55*(1+$H$14)+G56*(1+$H$14)^0.5)</f>
        <v/>
      </c>
      <c r="I56" s="130">
        <f>IF(A56="","",I55*(1+$H$15)+G56*(1+$H$15)^0.5)</f>
        <v/>
      </c>
      <c r="J56" s="51">
        <f>IF(A56="","",J55*(1+$H$16)+G56*(1+$H$16)^0.5)</f>
        <v/>
      </c>
      <c r="K56" s="51">
        <f>IF(A56="","",K55*(1+IF($H$6=0,$H$15,INDEX($E$6:$E$25,MOD(A56-1,$H$6)+1)-$B$14))+G56*(1+IF($H$6=0,$H$15,INDEX($E$6:$E$25,MOD(A56-1,$H$6)+1)-$B$14))^0.5)</f>
        <v/>
      </c>
      <c r="L56" s="51">
        <f>IF(A56="","",I56/(1+$B$15)^A56)</f>
        <v/>
      </c>
      <c r="N56">
        <f>IF(A56="",NA(),C56)</f>
        <v/>
      </c>
      <c r="O56">
        <f>IF(A56="",NA(),H56)</f>
        <v/>
      </c>
      <c r="P56">
        <f>IF(A56="",NA(),I56)</f>
        <v/>
      </c>
      <c r="Q56">
        <f>IF(A56="",NA(),J56)</f>
        <v/>
      </c>
      <c r="R56">
        <f>IF(A56="",NA(),K56)</f>
        <v/>
      </c>
    </row>
    <row r="57">
      <c r="A57" s="129">
        <f>IF(A56="","",IF($B$5+A56+1&gt;$B$6,"",A56+1))</f>
        <v/>
      </c>
      <c r="B57" s="129">
        <f>IF(A57="","",$B$16+A57)</f>
        <v/>
      </c>
      <c r="C57" s="129">
        <f>IF(A57="","",$B$5+A57)</f>
        <v/>
      </c>
      <c r="D57" s="51">
        <f>IF(A57="","",$B$8*(1+$B$9)^(A57-1))</f>
        <v/>
      </c>
      <c r="E57" s="51">
        <f>IF(A57="","",IF($B$21="Yes",MIN(D57*$B$10,ROUND($B$17*(1+$B$20)^(A57-1)/500,0)*500+IF(AND(C57&gt;=60,C57&lt;=63),ROUND($B$19*(1+$B$20)^(A57-1)/500,0)*500,IF(C57&gt;=50,ROUND($B$18*(1+$B$20)^(A57-1)/500,0)*500,0))),D57*$B$10))</f>
        <v/>
      </c>
      <c r="F57" s="51">
        <f>IF(A57="","",MIN(E57,D57*$B$12)*$B$11+D57*$B$13)</f>
        <v/>
      </c>
      <c r="G57" s="51">
        <f>IF(A57="","",E57+F57)</f>
        <v/>
      </c>
      <c r="H57" s="51">
        <f>IF(A57="","",H56*(1+$H$14)+G57*(1+$H$14)^0.5)</f>
        <v/>
      </c>
      <c r="I57" s="130">
        <f>IF(A57="","",I56*(1+$H$15)+G57*(1+$H$15)^0.5)</f>
        <v/>
      </c>
      <c r="J57" s="51">
        <f>IF(A57="","",J56*(1+$H$16)+G57*(1+$H$16)^0.5)</f>
        <v/>
      </c>
      <c r="K57" s="51">
        <f>IF(A57="","",K56*(1+IF($H$6=0,$H$15,INDEX($E$6:$E$25,MOD(A57-1,$H$6)+1)-$B$14))+G57*(1+IF($H$6=0,$H$15,INDEX($E$6:$E$25,MOD(A57-1,$H$6)+1)-$B$14))^0.5)</f>
        <v/>
      </c>
      <c r="L57" s="51">
        <f>IF(A57="","",I57/(1+$B$15)^A57)</f>
        <v/>
      </c>
      <c r="N57">
        <f>IF(A57="",NA(),C57)</f>
        <v/>
      </c>
      <c r="O57">
        <f>IF(A57="",NA(),H57)</f>
        <v/>
      </c>
      <c r="P57">
        <f>IF(A57="",NA(),I57)</f>
        <v/>
      </c>
      <c r="Q57">
        <f>IF(A57="",NA(),J57)</f>
        <v/>
      </c>
      <c r="R57">
        <f>IF(A57="",NA(),K57)</f>
        <v/>
      </c>
    </row>
    <row r="58">
      <c r="A58" s="129">
        <f>IF(A57="","",IF($B$5+A57+1&gt;$B$6,"",A57+1))</f>
        <v/>
      </c>
      <c r="B58" s="129">
        <f>IF(A58="","",$B$16+A58)</f>
        <v/>
      </c>
      <c r="C58" s="129">
        <f>IF(A58="","",$B$5+A58)</f>
        <v/>
      </c>
      <c r="D58" s="51">
        <f>IF(A58="","",$B$8*(1+$B$9)^(A58-1))</f>
        <v/>
      </c>
      <c r="E58" s="51">
        <f>IF(A58="","",IF($B$21="Yes",MIN(D58*$B$10,ROUND($B$17*(1+$B$20)^(A58-1)/500,0)*500+IF(AND(C58&gt;=60,C58&lt;=63),ROUND($B$19*(1+$B$20)^(A58-1)/500,0)*500,IF(C58&gt;=50,ROUND($B$18*(1+$B$20)^(A58-1)/500,0)*500,0))),D58*$B$10))</f>
        <v/>
      </c>
      <c r="F58" s="51">
        <f>IF(A58="","",MIN(E58,D58*$B$12)*$B$11+D58*$B$13)</f>
        <v/>
      </c>
      <c r="G58" s="51">
        <f>IF(A58="","",E58+F58)</f>
        <v/>
      </c>
      <c r="H58" s="51">
        <f>IF(A58="","",H57*(1+$H$14)+G58*(1+$H$14)^0.5)</f>
        <v/>
      </c>
      <c r="I58" s="130">
        <f>IF(A58="","",I57*(1+$H$15)+G58*(1+$H$15)^0.5)</f>
        <v/>
      </c>
      <c r="J58" s="51">
        <f>IF(A58="","",J57*(1+$H$16)+G58*(1+$H$16)^0.5)</f>
        <v/>
      </c>
      <c r="K58" s="51">
        <f>IF(A58="","",K57*(1+IF($H$6=0,$H$15,INDEX($E$6:$E$25,MOD(A58-1,$H$6)+1)-$B$14))+G58*(1+IF($H$6=0,$H$15,INDEX($E$6:$E$25,MOD(A58-1,$H$6)+1)-$B$14))^0.5)</f>
        <v/>
      </c>
      <c r="L58" s="51">
        <f>IF(A58="","",I58/(1+$B$15)^A58)</f>
        <v/>
      </c>
      <c r="N58">
        <f>IF(A58="",NA(),C58)</f>
        <v/>
      </c>
      <c r="O58">
        <f>IF(A58="",NA(),H58)</f>
        <v/>
      </c>
      <c r="P58">
        <f>IF(A58="",NA(),I58)</f>
        <v/>
      </c>
      <c r="Q58">
        <f>IF(A58="",NA(),J58)</f>
        <v/>
      </c>
      <c r="R58">
        <f>IF(A58="",NA(),K58)</f>
        <v/>
      </c>
    </row>
    <row r="59">
      <c r="A59" s="129">
        <f>IF(A58="","",IF($B$5+A58+1&gt;$B$6,"",A58+1))</f>
        <v/>
      </c>
      <c r="B59" s="129">
        <f>IF(A59="","",$B$16+A59)</f>
        <v/>
      </c>
      <c r="C59" s="129">
        <f>IF(A59="","",$B$5+A59)</f>
        <v/>
      </c>
      <c r="D59" s="51">
        <f>IF(A59="","",$B$8*(1+$B$9)^(A59-1))</f>
        <v/>
      </c>
      <c r="E59" s="51">
        <f>IF(A59="","",IF($B$21="Yes",MIN(D59*$B$10,ROUND($B$17*(1+$B$20)^(A59-1)/500,0)*500+IF(AND(C59&gt;=60,C59&lt;=63),ROUND($B$19*(1+$B$20)^(A59-1)/500,0)*500,IF(C59&gt;=50,ROUND($B$18*(1+$B$20)^(A59-1)/500,0)*500,0))),D59*$B$10))</f>
        <v/>
      </c>
      <c r="F59" s="51">
        <f>IF(A59="","",MIN(E59,D59*$B$12)*$B$11+D59*$B$13)</f>
        <v/>
      </c>
      <c r="G59" s="51">
        <f>IF(A59="","",E59+F59)</f>
        <v/>
      </c>
      <c r="H59" s="51">
        <f>IF(A59="","",H58*(1+$H$14)+G59*(1+$H$14)^0.5)</f>
        <v/>
      </c>
      <c r="I59" s="130">
        <f>IF(A59="","",I58*(1+$H$15)+G59*(1+$H$15)^0.5)</f>
        <v/>
      </c>
      <c r="J59" s="51">
        <f>IF(A59="","",J58*(1+$H$16)+G59*(1+$H$16)^0.5)</f>
        <v/>
      </c>
      <c r="K59" s="51">
        <f>IF(A59="","",K58*(1+IF($H$6=0,$H$15,INDEX($E$6:$E$25,MOD(A59-1,$H$6)+1)-$B$14))+G59*(1+IF($H$6=0,$H$15,INDEX($E$6:$E$25,MOD(A59-1,$H$6)+1)-$B$14))^0.5)</f>
        <v/>
      </c>
      <c r="L59" s="51">
        <f>IF(A59="","",I59/(1+$B$15)^A59)</f>
        <v/>
      </c>
      <c r="N59">
        <f>IF(A59="",NA(),C59)</f>
        <v/>
      </c>
      <c r="O59">
        <f>IF(A59="",NA(),H59)</f>
        <v/>
      </c>
      <c r="P59">
        <f>IF(A59="",NA(),I59)</f>
        <v/>
      </c>
      <c r="Q59">
        <f>IF(A59="",NA(),J59)</f>
        <v/>
      </c>
      <c r="R59">
        <f>IF(A59="",NA(),K59)</f>
        <v/>
      </c>
    </row>
    <row r="60">
      <c r="A60" s="129">
        <f>IF(A59="","",IF($B$5+A59+1&gt;$B$6,"",A59+1))</f>
        <v/>
      </c>
      <c r="B60" s="129">
        <f>IF(A60="","",$B$16+A60)</f>
        <v/>
      </c>
      <c r="C60" s="129">
        <f>IF(A60="","",$B$5+A60)</f>
        <v/>
      </c>
      <c r="D60" s="51">
        <f>IF(A60="","",$B$8*(1+$B$9)^(A60-1))</f>
        <v/>
      </c>
      <c r="E60" s="51">
        <f>IF(A60="","",IF($B$21="Yes",MIN(D60*$B$10,ROUND($B$17*(1+$B$20)^(A60-1)/500,0)*500+IF(AND(C60&gt;=60,C60&lt;=63),ROUND($B$19*(1+$B$20)^(A60-1)/500,0)*500,IF(C60&gt;=50,ROUND($B$18*(1+$B$20)^(A60-1)/500,0)*500,0))),D60*$B$10))</f>
        <v/>
      </c>
      <c r="F60" s="51">
        <f>IF(A60="","",MIN(E60,D60*$B$12)*$B$11+D60*$B$13)</f>
        <v/>
      </c>
      <c r="G60" s="51">
        <f>IF(A60="","",E60+F60)</f>
        <v/>
      </c>
      <c r="H60" s="51">
        <f>IF(A60="","",H59*(1+$H$14)+G60*(1+$H$14)^0.5)</f>
        <v/>
      </c>
      <c r="I60" s="130">
        <f>IF(A60="","",I59*(1+$H$15)+G60*(1+$H$15)^0.5)</f>
        <v/>
      </c>
      <c r="J60" s="51">
        <f>IF(A60="","",J59*(1+$H$16)+G60*(1+$H$16)^0.5)</f>
        <v/>
      </c>
      <c r="K60" s="51">
        <f>IF(A60="","",K59*(1+IF($H$6=0,$H$15,INDEX($E$6:$E$25,MOD(A60-1,$H$6)+1)-$B$14))+G60*(1+IF($H$6=0,$H$15,INDEX($E$6:$E$25,MOD(A60-1,$H$6)+1)-$B$14))^0.5)</f>
        <v/>
      </c>
      <c r="L60" s="51">
        <f>IF(A60="","",I60/(1+$B$15)^A60)</f>
        <v/>
      </c>
      <c r="N60">
        <f>IF(A60="",NA(),C60)</f>
        <v/>
      </c>
      <c r="O60">
        <f>IF(A60="",NA(),H60)</f>
        <v/>
      </c>
      <c r="P60">
        <f>IF(A60="",NA(),I60)</f>
        <v/>
      </c>
      <c r="Q60">
        <f>IF(A60="",NA(),J60)</f>
        <v/>
      </c>
      <c r="R60">
        <f>IF(A60="",NA(),K60)</f>
        <v/>
      </c>
    </row>
    <row r="61">
      <c r="A61" s="129">
        <f>IF(A60="","",IF($B$5+A60+1&gt;$B$6,"",A60+1))</f>
        <v/>
      </c>
      <c r="B61" s="129">
        <f>IF(A61="","",$B$16+A61)</f>
        <v/>
      </c>
      <c r="C61" s="129">
        <f>IF(A61="","",$B$5+A61)</f>
        <v/>
      </c>
      <c r="D61" s="51">
        <f>IF(A61="","",$B$8*(1+$B$9)^(A61-1))</f>
        <v/>
      </c>
      <c r="E61" s="51">
        <f>IF(A61="","",IF($B$21="Yes",MIN(D61*$B$10,ROUND($B$17*(1+$B$20)^(A61-1)/500,0)*500+IF(AND(C61&gt;=60,C61&lt;=63),ROUND($B$19*(1+$B$20)^(A61-1)/500,0)*500,IF(C61&gt;=50,ROUND($B$18*(1+$B$20)^(A61-1)/500,0)*500,0))),D61*$B$10))</f>
        <v/>
      </c>
      <c r="F61" s="51">
        <f>IF(A61="","",MIN(E61,D61*$B$12)*$B$11+D61*$B$13)</f>
        <v/>
      </c>
      <c r="G61" s="51">
        <f>IF(A61="","",E61+F61)</f>
        <v/>
      </c>
      <c r="H61" s="51">
        <f>IF(A61="","",H60*(1+$H$14)+G61*(1+$H$14)^0.5)</f>
        <v/>
      </c>
      <c r="I61" s="130">
        <f>IF(A61="","",I60*(1+$H$15)+G61*(1+$H$15)^0.5)</f>
        <v/>
      </c>
      <c r="J61" s="51">
        <f>IF(A61="","",J60*(1+$H$16)+G61*(1+$H$16)^0.5)</f>
        <v/>
      </c>
      <c r="K61" s="51">
        <f>IF(A61="","",K60*(1+IF($H$6=0,$H$15,INDEX($E$6:$E$25,MOD(A61-1,$H$6)+1)-$B$14))+G61*(1+IF($H$6=0,$H$15,INDEX($E$6:$E$25,MOD(A61-1,$H$6)+1)-$B$14))^0.5)</f>
        <v/>
      </c>
      <c r="L61" s="51">
        <f>IF(A61="","",I61/(1+$B$15)^A61)</f>
        <v/>
      </c>
      <c r="N61">
        <f>IF(A61="",NA(),C61)</f>
        <v/>
      </c>
      <c r="O61">
        <f>IF(A61="",NA(),H61)</f>
        <v/>
      </c>
      <c r="P61">
        <f>IF(A61="",NA(),I61)</f>
        <v/>
      </c>
      <c r="Q61">
        <f>IF(A61="",NA(),J61)</f>
        <v/>
      </c>
      <c r="R61">
        <f>IF(A61="",NA(),K61)</f>
        <v/>
      </c>
    </row>
    <row r="62">
      <c r="A62" s="129">
        <f>IF(A61="","",IF($B$5+A61+1&gt;$B$6,"",A61+1))</f>
        <v/>
      </c>
      <c r="B62" s="129">
        <f>IF(A62="","",$B$16+A62)</f>
        <v/>
      </c>
      <c r="C62" s="129">
        <f>IF(A62="","",$B$5+A62)</f>
        <v/>
      </c>
      <c r="D62" s="51">
        <f>IF(A62="","",$B$8*(1+$B$9)^(A62-1))</f>
        <v/>
      </c>
      <c r="E62" s="51">
        <f>IF(A62="","",IF($B$21="Yes",MIN(D62*$B$10,ROUND($B$17*(1+$B$20)^(A62-1)/500,0)*500+IF(AND(C62&gt;=60,C62&lt;=63),ROUND($B$19*(1+$B$20)^(A62-1)/500,0)*500,IF(C62&gt;=50,ROUND($B$18*(1+$B$20)^(A62-1)/500,0)*500,0))),D62*$B$10))</f>
        <v/>
      </c>
      <c r="F62" s="51">
        <f>IF(A62="","",MIN(E62,D62*$B$12)*$B$11+D62*$B$13)</f>
        <v/>
      </c>
      <c r="G62" s="51">
        <f>IF(A62="","",E62+F62)</f>
        <v/>
      </c>
      <c r="H62" s="51">
        <f>IF(A62="","",H61*(1+$H$14)+G62*(1+$H$14)^0.5)</f>
        <v/>
      </c>
      <c r="I62" s="130">
        <f>IF(A62="","",I61*(1+$H$15)+G62*(1+$H$15)^0.5)</f>
        <v/>
      </c>
      <c r="J62" s="51">
        <f>IF(A62="","",J61*(1+$H$16)+G62*(1+$H$16)^0.5)</f>
        <v/>
      </c>
      <c r="K62" s="51">
        <f>IF(A62="","",K61*(1+IF($H$6=0,$H$15,INDEX($E$6:$E$25,MOD(A62-1,$H$6)+1)-$B$14))+G62*(1+IF($H$6=0,$H$15,INDEX($E$6:$E$25,MOD(A62-1,$H$6)+1)-$B$14))^0.5)</f>
        <v/>
      </c>
      <c r="L62" s="51">
        <f>IF(A62="","",I62/(1+$B$15)^A62)</f>
        <v/>
      </c>
      <c r="N62">
        <f>IF(A62="",NA(),C62)</f>
        <v/>
      </c>
      <c r="O62">
        <f>IF(A62="",NA(),H62)</f>
        <v/>
      </c>
      <c r="P62">
        <f>IF(A62="",NA(),I62)</f>
        <v/>
      </c>
      <c r="Q62">
        <f>IF(A62="",NA(),J62)</f>
        <v/>
      </c>
      <c r="R62">
        <f>IF(A62="",NA(),K62)</f>
        <v/>
      </c>
    </row>
    <row r="63">
      <c r="A63" s="129">
        <f>IF(A62="","",IF($B$5+A62+1&gt;$B$6,"",A62+1))</f>
        <v/>
      </c>
      <c r="B63" s="129">
        <f>IF(A63="","",$B$16+A63)</f>
        <v/>
      </c>
      <c r="C63" s="129">
        <f>IF(A63="","",$B$5+A63)</f>
        <v/>
      </c>
      <c r="D63" s="51">
        <f>IF(A63="","",$B$8*(1+$B$9)^(A63-1))</f>
        <v/>
      </c>
      <c r="E63" s="51">
        <f>IF(A63="","",IF($B$21="Yes",MIN(D63*$B$10,ROUND($B$17*(1+$B$20)^(A63-1)/500,0)*500+IF(AND(C63&gt;=60,C63&lt;=63),ROUND($B$19*(1+$B$20)^(A63-1)/500,0)*500,IF(C63&gt;=50,ROUND($B$18*(1+$B$20)^(A63-1)/500,0)*500,0))),D63*$B$10))</f>
        <v/>
      </c>
      <c r="F63" s="51">
        <f>IF(A63="","",MIN(E63,D63*$B$12)*$B$11+D63*$B$13)</f>
        <v/>
      </c>
      <c r="G63" s="51">
        <f>IF(A63="","",E63+F63)</f>
        <v/>
      </c>
      <c r="H63" s="51">
        <f>IF(A63="","",H62*(1+$H$14)+G63*(1+$H$14)^0.5)</f>
        <v/>
      </c>
      <c r="I63" s="130">
        <f>IF(A63="","",I62*(1+$H$15)+G63*(1+$H$15)^0.5)</f>
        <v/>
      </c>
      <c r="J63" s="51">
        <f>IF(A63="","",J62*(1+$H$16)+G63*(1+$H$16)^0.5)</f>
        <v/>
      </c>
      <c r="K63" s="51">
        <f>IF(A63="","",K62*(1+IF($H$6=0,$H$15,INDEX($E$6:$E$25,MOD(A63-1,$H$6)+1)-$B$14))+G63*(1+IF($H$6=0,$H$15,INDEX($E$6:$E$25,MOD(A63-1,$H$6)+1)-$B$14))^0.5)</f>
        <v/>
      </c>
      <c r="L63" s="51">
        <f>IF(A63="","",I63/(1+$B$15)^A63)</f>
        <v/>
      </c>
      <c r="N63">
        <f>IF(A63="",NA(),C63)</f>
        <v/>
      </c>
      <c r="O63">
        <f>IF(A63="",NA(),H63)</f>
        <v/>
      </c>
      <c r="P63">
        <f>IF(A63="",NA(),I63)</f>
        <v/>
      </c>
      <c r="Q63">
        <f>IF(A63="",NA(),J63)</f>
        <v/>
      </c>
      <c r="R63">
        <f>IF(A63="",NA(),K63)</f>
        <v/>
      </c>
    </row>
    <row r="64">
      <c r="A64" s="129">
        <f>IF(A63="","",IF($B$5+A63+1&gt;$B$6,"",A63+1))</f>
        <v/>
      </c>
      <c r="B64" s="129">
        <f>IF(A64="","",$B$16+A64)</f>
        <v/>
      </c>
      <c r="C64" s="129">
        <f>IF(A64="","",$B$5+A64)</f>
        <v/>
      </c>
      <c r="D64" s="51">
        <f>IF(A64="","",$B$8*(1+$B$9)^(A64-1))</f>
        <v/>
      </c>
      <c r="E64" s="51">
        <f>IF(A64="","",IF($B$21="Yes",MIN(D64*$B$10,ROUND($B$17*(1+$B$20)^(A64-1)/500,0)*500+IF(AND(C64&gt;=60,C64&lt;=63),ROUND($B$19*(1+$B$20)^(A64-1)/500,0)*500,IF(C64&gt;=50,ROUND($B$18*(1+$B$20)^(A64-1)/500,0)*500,0))),D64*$B$10))</f>
        <v/>
      </c>
      <c r="F64" s="51">
        <f>IF(A64="","",MIN(E64,D64*$B$12)*$B$11+D64*$B$13)</f>
        <v/>
      </c>
      <c r="G64" s="51">
        <f>IF(A64="","",E64+F64)</f>
        <v/>
      </c>
      <c r="H64" s="51">
        <f>IF(A64="","",H63*(1+$H$14)+G64*(1+$H$14)^0.5)</f>
        <v/>
      </c>
      <c r="I64" s="130">
        <f>IF(A64="","",I63*(1+$H$15)+G64*(1+$H$15)^0.5)</f>
        <v/>
      </c>
      <c r="J64" s="51">
        <f>IF(A64="","",J63*(1+$H$16)+G64*(1+$H$16)^0.5)</f>
        <v/>
      </c>
      <c r="K64" s="51">
        <f>IF(A64="","",K63*(1+IF($H$6=0,$H$15,INDEX($E$6:$E$25,MOD(A64-1,$H$6)+1)-$B$14))+G64*(1+IF($H$6=0,$H$15,INDEX($E$6:$E$25,MOD(A64-1,$H$6)+1)-$B$14))^0.5)</f>
        <v/>
      </c>
      <c r="L64" s="51">
        <f>IF(A64="","",I64/(1+$B$15)^A64)</f>
        <v/>
      </c>
      <c r="N64">
        <f>IF(A64="",NA(),C64)</f>
        <v/>
      </c>
      <c r="O64">
        <f>IF(A64="",NA(),H64)</f>
        <v/>
      </c>
      <c r="P64">
        <f>IF(A64="",NA(),I64)</f>
        <v/>
      </c>
      <c r="Q64">
        <f>IF(A64="",NA(),J64)</f>
        <v/>
      </c>
      <c r="R64">
        <f>IF(A64="",NA(),K64)</f>
        <v/>
      </c>
    </row>
    <row r="65">
      <c r="A65" s="129">
        <f>IF(A64="","",IF($B$5+A64+1&gt;$B$6,"",A64+1))</f>
        <v/>
      </c>
      <c r="B65" s="129">
        <f>IF(A65="","",$B$16+A65)</f>
        <v/>
      </c>
      <c r="C65" s="129">
        <f>IF(A65="","",$B$5+A65)</f>
        <v/>
      </c>
      <c r="D65" s="51">
        <f>IF(A65="","",$B$8*(1+$B$9)^(A65-1))</f>
        <v/>
      </c>
      <c r="E65" s="51">
        <f>IF(A65="","",IF($B$21="Yes",MIN(D65*$B$10,ROUND($B$17*(1+$B$20)^(A65-1)/500,0)*500+IF(AND(C65&gt;=60,C65&lt;=63),ROUND($B$19*(1+$B$20)^(A65-1)/500,0)*500,IF(C65&gt;=50,ROUND($B$18*(1+$B$20)^(A65-1)/500,0)*500,0))),D65*$B$10))</f>
        <v/>
      </c>
      <c r="F65" s="51">
        <f>IF(A65="","",MIN(E65,D65*$B$12)*$B$11+D65*$B$13)</f>
        <v/>
      </c>
      <c r="G65" s="51">
        <f>IF(A65="","",E65+F65)</f>
        <v/>
      </c>
      <c r="H65" s="51">
        <f>IF(A65="","",H64*(1+$H$14)+G65*(1+$H$14)^0.5)</f>
        <v/>
      </c>
      <c r="I65" s="130">
        <f>IF(A65="","",I64*(1+$H$15)+G65*(1+$H$15)^0.5)</f>
        <v/>
      </c>
      <c r="J65" s="51">
        <f>IF(A65="","",J64*(1+$H$16)+G65*(1+$H$16)^0.5)</f>
        <v/>
      </c>
      <c r="K65" s="51">
        <f>IF(A65="","",K64*(1+IF($H$6=0,$H$15,INDEX($E$6:$E$25,MOD(A65-1,$H$6)+1)-$B$14))+G65*(1+IF($H$6=0,$H$15,INDEX($E$6:$E$25,MOD(A65-1,$H$6)+1)-$B$14))^0.5)</f>
        <v/>
      </c>
      <c r="L65" s="51">
        <f>IF(A65="","",I65/(1+$B$15)^A65)</f>
        <v/>
      </c>
      <c r="N65">
        <f>IF(A65="",NA(),C65)</f>
        <v/>
      </c>
      <c r="O65">
        <f>IF(A65="",NA(),H65)</f>
        <v/>
      </c>
      <c r="P65">
        <f>IF(A65="",NA(),I65)</f>
        <v/>
      </c>
      <c r="Q65">
        <f>IF(A65="",NA(),J65)</f>
        <v/>
      </c>
      <c r="R65">
        <f>IF(A65="",NA(),K65)</f>
        <v/>
      </c>
    </row>
    <row r="66">
      <c r="A66" s="129">
        <f>IF(A65="","",IF($B$5+A65+1&gt;$B$6,"",A65+1))</f>
        <v/>
      </c>
      <c r="B66" s="129">
        <f>IF(A66="","",$B$16+A66)</f>
        <v/>
      </c>
      <c r="C66" s="129">
        <f>IF(A66="","",$B$5+A66)</f>
        <v/>
      </c>
      <c r="D66" s="51">
        <f>IF(A66="","",$B$8*(1+$B$9)^(A66-1))</f>
        <v/>
      </c>
      <c r="E66" s="51">
        <f>IF(A66="","",IF($B$21="Yes",MIN(D66*$B$10,ROUND($B$17*(1+$B$20)^(A66-1)/500,0)*500+IF(AND(C66&gt;=60,C66&lt;=63),ROUND($B$19*(1+$B$20)^(A66-1)/500,0)*500,IF(C66&gt;=50,ROUND($B$18*(1+$B$20)^(A66-1)/500,0)*500,0))),D66*$B$10))</f>
        <v/>
      </c>
      <c r="F66" s="51">
        <f>IF(A66="","",MIN(E66,D66*$B$12)*$B$11+D66*$B$13)</f>
        <v/>
      </c>
      <c r="G66" s="51">
        <f>IF(A66="","",E66+F66)</f>
        <v/>
      </c>
      <c r="H66" s="51">
        <f>IF(A66="","",H65*(1+$H$14)+G66*(1+$H$14)^0.5)</f>
        <v/>
      </c>
      <c r="I66" s="130">
        <f>IF(A66="","",I65*(1+$H$15)+G66*(1+$H$15)^0.5)</f>
        <v/>
      </c>
      <c r="J66" s="51">
        <f>IF(A66="","",J65*(1+$H$16)+G66*(1+$H$16)^0.5)</f>
        <v/>
      </c>
      <c r="K66" s="51">
        <f>IF(A66="","",K65*(1+IF($H$6=0,$H$15,INDEX($E$6:$E$25,MOD(A66-1,$H$6)+1)-$B$14))+G66*(1+IF($H$6=0,$H$15,INDEX($E$6:$E$25,MOD(A66-1,$H$6)+1)-$B$14))^0.5)</f>
        <v/>
      </c>
      <c r="L66" s="51">
        <f>IF(A66="","",I66/(1+$B$15)^A66)</f>
        <v/>
      </c>
      <c r="N66">
        <f>IF(A66="",NA(),C66)</f>
        <v/>
      </c>
      <c r="O66">
        <f>IF(A66="",NA(),H66)</f>
        <v/>
      </c>
      <c r="P66">
        <f>IF(A66="",NA(),I66)</f>
        <v/>
      </c>
      <c r="Q66">
        <f>IF(A66="",NA(),J66)</f>
        <v/>
      </c>
      <c r="R66">
        <f>IF(A66="",NA(),K66)</f>
        <v/>
      </c>
    </row>
    <row r="67">
      <c r="A67" s="129">
        <f>IF(A66="","",IF($B$5+A66+1&gt;$B$6,"",A66+1))</f>
        <v/>
      </c>
      <c r="B67" s="129">
        <f>IF(A67="","",$B$16+A67)</f>
        <v/>
      </c>
      <c r="C67" s="129">
        <f>IF(A67="","",$B$5+A67)</f>
        <v/>
      </c>
      <c r="D67" s="51">
        <f>IF(A67="","",$B$8*(1+$B$9)^(A67-1))</f>
        <v/>
      </c>
      <c r="E67" s="51">
        <f>IF(A67="","",IF($B$21="Yes",MIN(D67*$B$10,ROUND($B$17*(1+$B$20)^(A67-1)/500,0)*500+IF(AND(C67&gt;=60,C67&lt;=63),ROUND($B$19*(1+$B$20)^(A67-1)/500,0)*500,IF(C67&gt;=50,ROUND($B$18*(1+$B$20)^(A67-1)/500,0)*500,0))),D67*$B$10))</f>
        <v/>
      </c>
      <c r="F67" s="51">
        <f>IF(A67="","",MIN(E67,D67*$B$12)*$B$11+D67*$B$13)</f>
        <v/>
      </c>
      <c r="G67" s="51">
        <f>IF(A67="","",E67+F67)</f>
        <v/>
      </c>
      <c r="H67" s="51">
        <f>IF(A67="","",H66*(1+$H$14)+G67*(1+$H$14)^0.5)</f>
        <v/>
      </c>
      <c r="I67" s="130">
        <f>IF(A67="","",I66*(1+$H$15)+G67*(1+$H$15)^0.5)</f>
        <v/>
      </c>
      <c r="J67" s="51">
        <f>IF(A67="","",J66*(1+$H$16)+G67*(1+$H$16)^0.5)</f>
        <v/>
      </c>
      <c r="K67" s="51">
        <f>IF(A67="","",K66*(1+IF($H$6=0,$H$15,INDEX($E$6:$E$25,MOD(A67-1,$H$6)+1)-$B$14))+G67*(1+IF($H$6=0,$H$15,INDEX($E$6:$E$25,MOD(A67-1,$H$6)+1)-$B$14))^0.5)</f>
        <v/>
      </c>
      <c r="L67" s="51">
        <f>IF(A67="","",I67/(1+$B$15)^A67)</f>
        <v/>
      </c>
      <c r="N67">
        <f>IF(A67="",NA(),C67)</f>
        <v/>
      </c>
      <c r="O67">
        <f>IF(A67="",NA(),H67)</f>
        <v/>
      </c>
      <c r="P67">
        <f>IF(A67="",NA(),I67)</f>
        <v/>
      </c>
      <c r="Q67">
        <f>IF(A67="",NA(),J67)</f>
        <v/>
      </c>
      <c r="R67">
        <f>IF(A67="",NA(),K67)</f>
        <v/>
      </c>
    </row>
    <row r="68">
      <c r="A68" s="129">
        <f>IF(A67="","",IF($B$5+A67+1&gt;$B$6,"",A67+1))</f>
        <v/>
      </c>
      <c r="B68" s="129">
        <f>IF(A68="","",$B$16+A68)</f>
        <v/>
      </c>
      <c r="C68" s="129">
        <f>IF(A68="","",$B$5+A68)</f>
        <v/>
      </c>
      <c r="D68" s="51">
        <f>IF(A68="","",$B$8*(1+$B$9)^(A68-1))</f>
        <v/>
      </c>
      <c r="E68" s="51">
        <f>IF(A68="","",IF($B$21="Yes",MIN(D68*$B$10,ROUND($B$17*(1+$B$20)^(A68-1)/500,0)*500+IF(AND(C68&gt;=60,C68&lt;=63),ROUND($B$19*(1+$B$20)^(A68-1)/500,0)*500,IF(C68&gt;=50,ROUND($B$18*(1+$B$20)^(A68-1)/500,0)*500,0))),D68*$B$10))</f>
        <v/>
      </c>
      <c r="F68" s="51">
        <f>IF(A68="","",MIN(E68,D68*$B$12)*$B$11+D68*$B$13)</f>
        <v/>
      </c>
      <c r="G68" s="51">
        <f>IF(A68="","",E68+F68)</f>
        <v/>
      </c>
      <c r="H68" s="51">
        <f>IF(A68="","",H67*(1+$H$14)+G68*(1+$H$14)^0.5)</f>
        <v/>
      </c>
      <c r="I68" s="130">
        <f>IF(A68="","",I67*(1+$H$15)+G68*(1+$H$15)^0.5)</f>
        <v/>
      </c>
      <c r="J68" s="51">
        <f>IF(A68="","",J67*(1+$H$16)+G68*(1+$H$16)^0.5)</f>
        <v/>
      </c>
      <c r="K68" s="51">
        <f>IF(A68="","",K67*(1+IF($H$6=0,$H$15,INDEX($E$6:$E$25,MOD(A68-1,$H$6)+1)-$B$14))+G68*(1+IF($H$6=0,$H$15,INDEX($E$6:$E$25,MOD(A68-1,$H$6)+1)-$B$14))^0.5)</f>
        <v/>
      </c>
      <c r="L68" s="51">
        <f>IF(A68="","",I68/(1+$B$15)^A68)</f>
        <v/>
      </c>
      <c r="N68">
        <f>IF(A68="",NA(),C68)</f>
        <v/>
      </c>
      <c r="O68">
        <f>IF(A68="",NA(),H68)</f>
        <v/>
      </c>
      <c r="P68">
        <f>IF(A68="",NA(),I68)</f>
        <v/>
      </c>
      <c r="Q68">
        <f>IF(A68="",NA(),J68)</f>
        <v/>
      </c>
      <c r="R68">
        <f>IF(A68="",NA(),K68)</f>
        <v/>
      </c>
    </row>
    <row r="69">
      <c r="A69" s="129">
        <f>IF(A68="","",IF($B$5+A68+1&gt;$B$6,"",A68+1))</f>
        <v/>
      </c>
      <c r="B69" s="129">
        <f>IF(A69="","",$B$16+A69)</f>
        <v/>
      </c>
      <c r="C69" s="129">
        <f>IF(A69="","",$B$5+A69)</f>
        <v/>
      </c>
      <c r="D69" s="51">
        <f>IF(A69="","",$B$8*(1+$B$9)^(A69-1))</f>
        <v/>
      </c>
      <c r="E69" s="51">
        <f>IF(A69="","",IF($B$21="Yes",MIN(D69*$B$10,ROUND($B$17*(1+$B$20)^(A69-1)/500,0)*500+IF(AND(C69&gt;=60,C69&lt;=63),ROUND($B$19*(1+$B$20)^(A69-1)/500,0)*500,IF(C69&gt;=50,ROUND($B$18*(1+$B$20)^(A69-1)/500,0)*500,0))),D69*$B$10))</f>
        <v/>
      </c>
      <c r="F69" s="51">
        <f>IF(A69="","",MIN(E69,D69*$B$12)*$B$11+D69*$B$13)</f>
        <v/>
      </c>
      <c r="G69" s="51">
        <f>IF(A69="","",E69+F69)</f>
        <v/>
      </c>
      <c r="H69" s="51">
        <f>IF(A69="","",H68*(1+$H$14)+G69*(1+$H$14)^0.5)</f>
        <v/>
      </c>
      <c r="I69" s="130">
        <f>IF(A69="","",I68*(1+$H$15)+G69*(1+$H$15)^0.5)</f>
        <v/>
      </c>
      <c r="J69" s="51">
        <f>IF(A69="","",J68*(1+$H$16)+G69*(1+$H$16)^0.5)</f>
        <v/>
      </c>
      <c r="K69" s="51">
        <f>IF(A69="","",K68*(1+IF($H$6=0,$H$15,INDEX($E$6:$E$25,MOD(A69-1,$H$6)+1)-$B$14))+G69*(1+IF($H$6=0,$H$15,INDEX($E$6:$E$25,MOD(A69-1,$H$6)+1)-$B$14))^0.5)</f>
        <v/>
      </c>
      <c r="L69" s="51">
        <f>IF(A69="","",I69/(1+$B$15)^A69)</f>
        <v/>
      </c>
      <c r="N69">
        <f>IF(A69="",NA(),C69)</f>
        <v/>
      </c>
      <c r="O69">
        <f>IF(A69="",NA(),H69)</f>
        <v/>
      </c>
      <c r="P69">
        <f>IF(A69="",NA(),I69)</f>
        <v/>
      </c>
      <c r="Q69">
        <f>IF(A69="",NA(),J69)</f>
        <v/>
      </c>
      <c r="R69">
        <f>IF(A69="",NA(),K69)</f>
        <v/>
      </c>
    </row>
    <row r="70">
      <c r="A70" s="129">
        <f>IF(A69="","",IF($B$5+A69+1&gt;$B$6,"",A69+1))</f>
        <v/>
      </c>
      <c r="B70" s="129">
        <f>IF(A70="","",$B$16+A70)</f>
        <v/>
      </c>
      <c r="C70" s="129">
        <f>IF(A70="","",$B$5+A70)</f>
        <v/>
      </c>
      <c r="D70" s="51">
        <f>IF(A70="","",$B$8*(1+$B$9)^(A70-1))</f>
        <v/>
      </c>
      <c r="E70" s="51">
        <f>IF(A70="","",IF($B$21="Yes",MIN(D70*$B$10,ROUND($B$17*(1+$B$20)^(A70-1)/500,0)*500+IF(AND(C70&gt;=60,C70&lt;=63),ROUND($B$19*(1+$B$20)^(A70-1)/500,0)*500,IF(C70&gt;=50,ROUND($B$18*(1+$B$20)^(A70-1)/500,0)*500,0))),D70*$B$10))</f>
        <v/>
      </c>
      <c r="F70" s="51">
        <f>IF(A70="","",MIN(E70,D70*$B$12)*$B$11+D70*$B$13)</f>
        <v/>
      </c>
      <c r="G70" s="51">
        <f>IF(A70="","",E70+F70)</f>
        <v/>
      </c>
      <c r="H70" s="51">
        <f>IF(A70="","",H69*(1+$H$14)+G70*(1+$H$14)^0.5)</f>
        <v/>
      </c>
      <c r="I70" s="130">
        <f>IF(A70="","",I69*(1+$H$15)+G70*(1+$H$15)^0.5)</f>
        <v/>
      </c>
      <c r="J70" s="51">
        <f>IF(A70="","",J69*(1+$H$16)+G70*(1+$H$16)^0.5)</f>
        <v/>
      </c>
      <c r="K70" s="51">
        <f>IF(A70="","",K69*(1+IF($H$6=0,$H$15,INDEX($E$6:$E$25,MOD(A70-1,$H$6)+1)-$B$14))+G70*(1+IF($H$6=0,$H$15,INDEX($E$6:$E$25,MOD(A70-1,$H$6)+1)-$B$14))^0.5)</f>
        <v/>
      </c>
      <c r="L70" s="51">
        <f>IF(A70="","",I70/(1+$B$15)^A70)</f>
        <v/>
      </c>
      <c r="N70">
        <f>IF(A70="",NA(),C70)</f>
        <v/>
      </c>
      <c r="O70">
        <f>IF(A70="",NA(),H70)</f>
        <v/>
      </c>
      <c r="P70">
        <f>IF(A70="",NA(),I70)</f>
        <v/>
      </c>
      <c r="Q70">
        <f>IF(A70="",NA(),J70)</f>
        <v/>
      </c>
      <c r="R70">
        <f>IF(A70="",NA(),K70)</f>
        <v/>
      </c>
    </row>
    <row r="71">
      <c r="A71" s="129">
        <f>IF(A70="","",IF($B$5+A70+1&gt;$B$6,"",A70+1))</f>
        <v/>
      </c>
      <c r="B71" s="129">
        <f>IF(A71="","",$B$16+A71)</f>
        <v/>
      </c>
      <c r="C71" s="129">
        <f>IF(A71="","",$B$5+A71)</f>
        <v/>
      </c>
      <c r="D71" s="51">
        <f>IF(A71="","",$B$8*(1+$B$9)^(A71-1))</f>
        <v/>
      </c>
      <c r="E71" s="51">
        <f>IF(A71="","",IF($B$21="Yes",MIN(D71*$B$10,ROUND($B$17*(1+$B$20)^(A71-1)/500,0)*500+IF(AND(C71&gt;=60,C71&lt;=63),ROUND($B$19*(1+$B$20)^(A71-1)/500,0)*500,IF(C71&gt;=50,ROUND($B$18*(1+$B$20)^(A71-1)/500,0)*500,0))),D71*$B$10))</f>
        <v/>
      </c>
      <c r="F71" s="51">
        <f>IF(A71="","",MIN(E71,D71*$B$12)*$B$11+D71*$B$13)</f>
        <v/>
      </c>
      <c r="G71" s="51">
        <f>IF(A71="","",E71+F71)</f>
        <v/>
      </c>
      <c r="H71" s="51">
        <f>IF(A71="","",H70*(1+$H$14)+G71*(1+$H$14)^0.5)</f>
        <v/>
      </c>
      <c r="I71" s="130">
        <f>IF(A71="","",I70*(1+$H$15)+G71*(1+$H$15)^0.5)</f>
        <v/>
      </c>
      <c r="J71" s="51">
        <f>IF(A71="","",J70*(1+$H$16)+G71*(1+$H$16)^0.5)</f>
        <v/>
      </c>
      <c r="K71" s="51">
        <f>IF(A71="","",K70*(1+IF($H$6=0,$H$15,INDEX($E$6:$E$25,MOD(A71-1,$H$6)+1)-$B$14))+G71*(1+IF($H$6=0,$H$15,INDEX($E$6:$E$25,MOD(A71-1,$H$6)+1)-$B$14))^0.5)</f>
        <v/>
      </c>
      <c r="L71" s="51">
        <f>IF(A71="","",I71/(1+$B$15)^A71)</f>
        <v/>
      </c>
      <c r="N71">
        <f>IF(A71="",NA(),C71)</f>
        <v/>
      </c>
      <c r="O71">
        <f>IF(A71="",NA(),H71)</f>
        <v/>
      </c>
      <c r="P71">
        <f>IF(A71="",NA(),I71)</f>
        <v/>
      </c>
      <c r="Q71">
        <f>IF(A71="",NA(),J71)</f>
        <v/>
      </c>
      <c r="R71">
        <f>IF(A71="",NA(),K71)</f>
        <v/>
      </c>
    </row>
    <row r="72">
      <c r="A72" s="129">
        <f>IF(A71="","",IF($B$5+A71+1&gt;$B$6,"",A71+1))</f>
        <v/>
      </c>
      <c r="B72" s="129">
        <f>IF(A72="","",$B$16+A72)</f>
        <v/>
      </c>
      <c r="C72" s="129">
        <f>IF(A72="","",$B$5+A72)</f>
        <v/>
      </c>
      <c r="D72" s="51">
        <f>IF(A72="","",$B$8*(1+$B$9)^(A72-1))</f>
        <v/>
      </c>
      <c r="E72" s="51">
        <f>IF(A72="","",IF($B$21="Yes",MIN(D72*$B$10,ROUND($B$17*(1+$B$20)^(A72-1)/500,0)*500+IF(AND(C72&gt;=60,C72&lt;=63),ROUND($B$19*(1+$B$20)^(A72-1)/500,0)*500,IF(C72&gt;=50,ROUND($B$18*(1+$B$20)^(A72-1)/500,0)*500,0))),D72*$B$10))</f>
        <v/>
      </c>
      <c r="F72" s="51">
        <f>IF(A72="","",MIN(E72,D72*$B$12)*$B$11+D72*$B$13)</f>
        <v/>
      </c>
      <c r="G72" s="51">
        <f>IF(A72="","",E72+F72)</f>
        <v/>
      </c>
      <c r="H72" s="51">
        <f>IF(A72="","",H71*(1+$H$14)+G72*(1+$H$14)^0.5)</f>
        <v/>
      </c>
      <c r="I72" s="130">
        <f>IF(A72="","",I71*(1+$H$15)+G72*(1+$H$15)^0.5)</f>
        <v/>
      </c>
      <c r="J72" s="51">
        <f>IF(A72="","",J71*(1+$H$16)+G72*(1+$H$16)^0.5)</f>
        <v/>
      </c>
      <c r="K72" s="51">
        <f>IF(A72="","",K71*(1+IF($H$6=0,$H$15,INDEX($E$6:$E$25,MOD(A72-1,$H$6)+1)-$B$14))+G72*(1+IF($H$6=0,$H$15,INDEX($E$6:$E$25,MOD(A72-1,$H$6)+1)-$B$14))^0.5)</f>
        <v/>
      </c>
      <c r="L72" s="51">
        <f>IF(A72="","",I72/(1+$B$15)^A72)</f>
        <v/>
      </c>
      <c r="N72">
        <f>IF(A72="",NA(),C72)</f>
        <v/>
      </c>
      <c r="O72">
        <f>IF(A72="",NA(),H72)</f>
        <v/>
      </c>
      <c r="P72">
        <f>IF(A72="",NA(),I72)</f>
        <v/>
      </c>
      <c r="Q72">
        <f>IF(A72="",NA(),J72)</f>
        <v/>
      </c>
      <c r="R72">
        <f>IF(A72="",NA(),K72)</f>
        <v/>
      </c>
    </row>
    <row r="73">
      <c r="A73" s="129">
        <f>IF(A72="","",IF($B$5+A72+1&gt;$B$6,"",A72+1))</f>
        <v/>
      </c>
      <c r="B73" s="129">
        <f>IF(A73="","",$B$16+A73)</f>
        <v/>
      </c>
      <c r="C73" s="129">
        <f>IF(A73="","",$B$5+A73)</f>
        <v/>
      </c>
      <c r="D73" s="51">
        <f>IF(A73="","",$B$8*(1+$B$9)^(A73-1))</f>
        <v/>
      </c>
      <c r="E73" s="51">
        <f>IF(A73="","",IF($B$21="Yes",MIN(D73*$B$10,ROUND($B$17*(1+$B$20)^(A73-1)/500,0)*500+IF(AND(C73&gt;=60,C73&lt;=63),ROUND($B$19*(1+$B$20)^(A73-1)/500,0)*500,IF(C73&gt;=50,ROUND($B$18*(1+$B$20)^(A73-1)/500,0)*500,0))),D73*$B$10))</f>
        <v/>
      </c>
      <c r="F73" s="51">
        <f>IF(A73="","",MIN(E73,D73*$B$12)*$B$11+D73*$B$13)</f>
        <v/>
      </c>
      <c r="G73" s="51">
        <f>IF(A73="","",E73+F73)</f>
        <v/>
      </c>
      <c r="H73" s="51">
        <f>IF(A73="","",H72*(1+$H$14)+G73*(1+$H$14)^0.5)</f>
        <v/>
      </c>
      <c r="I73" s="130">
        <f>IF(A73="","",I72*(1+$H$15)+G73*(1+$H$15)^0.5)</f>
        <v/>
      </c>
      <c r="J73" s="51">
        <f>IF(A73="","",J72*(1+$H$16)+G73*(1+$H$16)^0.5)</f>
        <v/>
      </c>
      <c r="K73" s="51">
        <f>IF(A73="","",K72*(1+IF($H$6=0,$H$15,INDEX($E$6:$E$25,MOD(A73-1,$H$6)+1)-$B$14))+G73*(1+IF($H$6=0,$H$15,INDEX($E$6:$E$25,MOD(A73-1,$H$6)+1)-$B$14))^0.5)</f>
        <v/>
      </c>
      <c r="L73" s="51">
        <f>IF(A73="","",I73/(1+$B$15)^A73)</f>
        <v/>
      </c>
      <c r="N73">
        <f>IF(A73="",NA(),C73)</f>
        <v/>
      </c>
      <c r="O73">
        <f>IF(A73="",NA(),H73)</f>
        <v/>
      </c>
      <c r="P73">
        <f>IF(A73="",NA(),I73)</f>
        <v/>
      </c>
      <c r="Q73">
        <f>IF(A73="",NA(),J73)</f>
        <v/>
      </c>
      <c r="R73">
        <f>IF(A73="",NA(),K73)</f>
        <v/>
      </c>
    </row>
    <row r="74">
      <c r="A74" s="129">
        <f>IF(A73="","",IF($B$5+A73+1&gt;$B$6,"",A73+1))</f>
        <v/>
      </c>
      <c r="B74" s="129">
        <f>IF(A74="","",$B$16+A74)</f>
        <v/>
      </c>
      <c r="C74" s="129">
        <f>IF(A74="","",$B$5+A74)</f>
        <v/>
      </c>
      <c r="D74" s="51">
        <f>IF(A74="","",$B$8*(1+$B$9)^(A74-1))</f>
        <v/>
      </c>
      <c r="E74" s="51">
        <f>IF(A74="","",IF($B$21="Yes",MIN(D74*$B$10,ROUND($B$17*(1+$B$20)^(A74-1)/500,0)*500+IF(AND(C74&gt;=60,C74&lt;=63),ROUND($B$19*(1+$B$20)^(A74-1)/500,0)*500,IF(C74&gt;=50,ROUND($B$18*(1+$B$20)^(A74-1)/500,0)*500,0))),D74*$B$10))</f>
        <v/>
      </c>
      <c r="F74" s="51">
        <f>IF(A74="","",MIN(E74,D74*$B$12)*$B$11+D74*$B$13)</f>
        <v/>
      </c>
      <c r="G74" s="51">
        <f>IF(A74="","",E74+F74)</f>
        <v/>
      </c>
      <c r="H74" s="51">
        <f>IF(A74="","",H73*(1+$H$14)+G74*(1+$H$14)^0.5)</f>
        <v/>
      </c>
      <c r="I74" s="130">
        <f>IF(A74="","",I73*(1+$H$15)+G74*(1+$H$15)^0.5)</f>
        <v/>
      </c>
      <c r="J74" s="51">
        <f>IF(A74="","",J73*(1+$H$16)+G74*(1+$H$16)^0.5)</f>
        <v/>
      </c>
      <c r="K74" s="51">
        <f>IF(A74="","",K73*(1+IF($H$6=0,$H$15,INDEX($E$6:$E$25,MOD(A74-1,$H$6)+1)-$B$14))+G74*(1+IF($H$6=0,$H$15,INDEX($E$6:$E$25,MOD(A74-1,$H$6)+1)-$B$14))^0.5)</f>
        <v/>
      </c>
      <c r="L74" s="51">
        <f>IF(A74="","",I74/(1+$B$15)^A74)</f>
        <v/>
      </c>
      <c r="N74">
        <f>IF(A74="",NA(),C74)</f>
        <v/>
      </c>
      <c r="O74">
        <f>IF(A74="",NA(),H74)</f>
        <v/>
      </c>
      <c r="P74">
        <f>IF(A74="",NA(),I74)</f>
        <v/>
      </c>
      <c r="Q74">
        <f>IF(A74="",NA(),J74)</f>
        <v/>
      </c>
      <c r="R74">
        <f>IF(A74="",NA(),K74)</f>
        <v/>
      </c>
    </row>
    <row r="75">
      <c r="A75" s="129">
        <f>IF(A74="","",IF($B$5+A74+1&gt;$B$6,"",A74+1))</f>
        <v/>
      </c>
      <c r="B75" s="129">
        <f>IF(A75="","",$B$16+A75)</f>
        <v/>
      </c>
      <c r="C75" s="129">
        <f>IF(A75="","",$B$5+A75)</f>
        <v/>
      </c>
      <c r="D75" s="51">
        <f>IF(A75="","",$B$8*(1+$B$9)^(A75-1))</f>
        <v/>
      </c>
      <c r="E75" s="51">
        <f>IF(A75="","",IF($B$21="Yes",MIN(D75*$B$10,ROUND($B$17*(1+$B$20)^(A75-1)/500,0)*500+IF(AND(C75&gt;=60,C75&lt;=63),ROUND($B$19*(1+$B$20)^(A75-1)/500,0)*500,IF(C75&gt;=50,ROUND($B$18*(1+$B$20)^(A75-1)/500,0)*500,0))),D75*$B$10))</f>
        <v/>
      </c>
      <c r="F75" s="51">
        <f>IF(A75="","",MIN(E75,D75*$B$12)*$B$11+D75*$B$13)</f>
        <v/>
      </c>
      <c r="G75" s="51">
        <f>IF(A75="","",E75+F75)</f>
        <v/>
      </c>
      <c r="H75" s="51">
        <f>IF(A75="","",H74*(1+$H$14)+G75*(1+$H$14)^0.5)</f>
        <v/>
      </c>
      <c r="I75" s="130">
        <f>IF(A75="","",I74*(1+$H$15)+G75*(1+$H$15)^0.5)</f>
        <v/>
      </c>
      <c r="J75" s="51">
        <f>IF(A75="","",J74*(1+$H$16)+G75*(1+$H$16)^0.5)</f>
        <v/>
      </c>
      <c r="K75" s="51">
        <f>IF(A75="","",K74*(1+IF($H$6=0,$H$15,INDEX($E$6:$E$25,MOD(A75-1,$H$6)+1)-$B$14))+G75*(1+IF($H$6=0,$H$15,INDEX($E$6:$E$25,MOD(A75-1,$H$6)+1)-$B$14))^0.5)</f>
        <v/>
      </c>
      <c r="L75" s="51">
        <f>IF(A75="","",I75/(1+$B$15)^A75)</f>
        <v/>
      </c>
      <c r="N75">
        <f>IF(A75="",NA(),C75)</f>
        <v/>
      </c>
      <c r="O75">
        <f>IF(A75="",NA(),H75)</f>
        <v/>
      </c>
      <c r="P75">
        <f>IF(A75="",NA(),I75)</f>
        <v/>
      </c>
      <c r="Q75">
        <f>IF(A75="",NA(),J75)</f>
        <v/>
      </c>
      <c r="R75">
        <f>IF(A75="",NA(),K75)</f>
        <v/>
      </c>
    </row>
    <row r="76">
      <c r="A76" s="129">
        <f>IF(A75="","",IF($B$5+A75+1&gt;$B$6,"",A75+1))</f>
        <v/>
      </c>
      <c r="B76" s="129">
        <f>IF(A76="","",$B$16+A76)</f>
        <v/>
      </c>
      <c r="C76" s="129">
        <f>IF(A76="","",$B$5+A76)</f>
        <v/>
      </c>
      <c r="D76" s="51">
        <f>IF(A76="","",$B$8*(1+$B$9)^(A76-1))</f>
        <v/>
      </c>
      <c r="E76" s="51">
        <f>IF(A76="","",IF($B$21="Yes",MIN(D76*$B$10,ROUND($B$17*(1+$B$20)^(A76-1)/500,0)*500+IF(AND(C76&gt;=60,C76&lt;=63),ROUND($B$19*(1+$B$20)^(A76-1)/500,0)*500,IF(C76&gt;=50,ROUND($B$18*(1+$B$20)^(A76-1)/500,0)*500,0))),D76*$B$10))</f>
        <v/>
      </c>
      <c r="F76" s="51">
        <f>IF(A76="","",MIN(E76,D76*$B$12)*$B$11+D76*$B$13)</f>
        <v/>
      </c>
      <c r="G76" s="51">
        <f>IF(A76="","",E76+F76)</f>
        <v/>
      </c>
      <c r="H76" s="51">
        <f>IF(A76="","",H75*(1+$H$14)+G76*(1+$H$14)^0.5)</f>
        <v/>
      </c>
      <c r="I76" s="130">
        <f>IF(A76="","",I75*(1+$H$15)+G76*(1+$H$15)^0.5)</f>
        <v/>
      </c>
      <c r="J76" s="51">
        <f>IF(A76="","",J75*(1+$H$16)+G76*(1+$H$16)^0.5)</f>
        <v/>
      </c>
      <c r="K76" s="51">
        <f>IF(A76="","",K75*(1+IF($H$6=0,$H$15,INDEX($E$6:$E$25,MOD(A76-1,$H$6)+1)-$B$14))+G76*(1+IF($H$6=0,$H$15,INDEX($E$6:$E$25,MOD(A76-1,$H$6)+1)-$B$14))^0.5)</f>
        <v/>
      </c>
      <c r="L76" s="51">
        <f>IF(A76="","",I76/(1+$B$15)^A76)</f>
        <v/>
      </c>
      <c r="N76">
        <f>IF(A76="",NA(),C76)</f>
        <v/>
      </c>
      <c r="O76">
        <f>IF(A76="",NA(),H76)</f>
        <v/>
      </c>
      <c r="P76">
        <f>IF(A76="",NA(),I76)</f>
        <v/>
      </c>
      <c r="Q76">
        <f>IF(A76="",NA(),J76)</f>
        <v/>
      </c>
      <c r="R76">
        <f>IF(A76="",NA(),K76)</f>
        <v/>
      </c>
    </row>
    <row r="77">
      <c r="A77" s="129">
        <f>IF(A76="","",IF($B$5+A76+1&gt;$B$6,"",A76+1))</f>
        <v/>
      </c>
      <c r="B77" s="129">
        <f>IF(A77="","",$B$16+A77)</f>
        <v/>
      </c>
      <c r="C77" s="129">
        <f>IF(A77="","",$B$5+A77)</f>
        <v/>
      </c>
      <c r="D77" s="51">
        <f>IF(A77="","",$B$8*(1+$B$9)^(A77-1))</f>
        <v/>
      </c>
      <c r="E77" s="51">
        <f>IF(A77="","",IF($B$21="Yes",MIN(D77*$B$10,ROUND($B$17*(1+$B$20)^(A77-1)/500,0)*500+IF(AND(C77&gt;=60,C77&lt;=63),ROUND($B$19*(1+$B$20)^(A77-1)/500,0)*500,IF(C77&gt;=50,ROUND($B$18*(1+$B$20)^(A77-1)/500,0)*500,0))),D77*$B$10))</f>
        <v/>
      </c>
      <c r="F77" s="51">
        <f>IF(A77="","",MIN(E77,D77*$B$12)*$B$11+D77*$B$13)</f>
        <v/>
      </c>
      <c r="G77" s="51">
        <f>IF(A77="","",E77+F77)</f>
        <v/>
      </c>
      <c r="H77" s="51">
        <f>IF(A77="","",H76*(1+$H$14)+G77*(1+$H$14)^0.5)</f>
        <v/>
      </c>
      <c r="I77" s="130">
        <f>IF(A77="","",I76*(1+$H$15)+G77*(1+$H$15)^0.5)</f>
        <v/>
      </c>
      <c r="J77" s="51">
        <f>IF(A77="","",J76*(1+$H$16)+G77*(1+$H$16)^0.5)</f>
        <v/>
      </c>
      <c r="K77" s="51">
        <f>IF(A77="","",K76*(1+IF($H$6=0,$H$15,INDEX($E$6:$E$25,MOD(A77-1,$H$6)+1)-$B$14))+G77*(1+IF($H$6=0,$H$15,INDEX($E$6:$E$25,MOD(A77-1,$H$6)+1)-$B$14))^0.5)</f>
        <v/>
      </c>
      <c r="L77" s="51">
        <f>IF(A77="","",I77/(1+$B$15)^A77)</f>
        <v/>
      </c>
      <c r="N77">
        <f>IF(A77="",NA(),C77)</f>
        <v/>
      </c>
      <c r="O77">
        <f>IF(A77="",NA(),H77)</f>
        <v/>
      </c>
      <c r="P77">
        <f>IF(A77="",NA(),I77)</f>
        <v/>
      </c>
      <c r="Q77">
        <f>IF(A77="",NA(),J77)</f>
        <v/>
      </c>
      <c r="R77">
        <f>IF(A77="",NA(),K77)</f>
        <v/>
      </c>
    </row>
    <row r="78">
      <c r="A78" s="129">
        <f>IF(A77="","",IF($B$5+A77+1&gt;$B$6,"",A77+1))</f>
        <v/>
      </c>
      <c r="B78" s="129">
        <f>IF(A78="","",$B$16+A78)</f>
        <v/>
      </c>
      <c r="C78" s="129">
        <f>IF(A78="","",$B$5+A78)</f>
        <v/>
      </c>
      <c r="D78" s="51">
        <f>IF(A78="","",$B$8*(1+$B$9)^(A78-1))</f>
        <v/>
      </c>
      <c r="E78" s="51">
        <f>IF(A78="","",IF($B$21="Yes",MIN(D78*$B$10,ROUND($B$17*(1+$B$20)^(A78-1)/500,0)*500+IF(AND(C78&gt;=60,C78&lt;=63),ROUND($B$19*(1+$B$20)^(A78-1)/500,0)*500,IF(C78&gt;=50,ROUND($B$18*(1+$B$20)^(A78-1)/500,0)*500,0))),D78*$B$10))</f>
        <v/>
      </c>
      <c r="F78" s="51">
        <f>IF(A78="","",MIN(E78,D78*$B$12)*$B$11+D78*$B$13)</f>
        <v/>
      </c>
      <c r="G78" s="51">
        <f>IF(A78="","",E78+F78)</f>
        <v/>
      </c>
      <c r="H78" s="51">
        <f>IF(A78="","",H77*(1+$H$14)+G78*(1+$H$14)^0.5)</f>
        <v/>
      </c>
      <c r="I78" s="130">
        <f>IF(A78="","",I77*(1+$H$15)+G78*(1+$H$15)^0.5)</f>
        <v/>
      </c>
      <c r="J78" s="51">
        <f>IF(A78="","",J77*(1+$H$16)+G78*(1+$H$16)^0.5)</f>
        <v/>
      </c>
      <c r="K78" s="51">
        <f>IF(A78="","",K77*(1+IF($H$6=0,$H$15,INDEX($E$6:$E$25,MOD(A78-1,$H$6)+1)-$B$14))+G78*(1+IF($H$6=0,$H$15,INDEX($E$6:$E$25,MOD(A78-1,$H$6)+1)-$B$14))^0.5)</f>
        <v/>
      </c>
      <c r="L78" s="51">
        <f>IF(A78="","",I78/(1+$B$15)^A78)</f>
        <v/>
      </c>
      <c r="N78">
        <f>IF(A78="",NA(),C78)</f>
        <v/>
      </c>
      <c r="O78">
        <f>IF(A78="",NA(),H78)</f>
        <v/>
      </c>
      <c r="P78">
        <f>IF(A78="",NA(),I78)</f>
        <v/>
      </c>
      <c r="Q78">
        <f>IF(A78="",NA(),J78)</f>
        <v/>
      </c>
      <c r="R78">
        <f>IF(A78="",NA(),K78)</f>
        <v/>
      </c>
    </row>
    <row r="79">
      <c r="A79" s="129">
        <f>IF(A78="","",IF($B$5+A78+1&gt;$B$6,"",A78+1))</f>
        <v/>
      </c>
      <c r="B79" s="129">
        <f>IF(A79="","",$B$16+A79)</f>
        <v/>
      </c>
      <c r="C79" s="129">
        <f>IF(A79="","",$B$5+A79)</f>
        <v/>
      </c>
      <c r="D79" s="51">
        <f>IF(A79="","",$B$8*(1+$B$9)^(A79-1))</f>
        <v/>
      </c>
      <c r="E79" s="51">
        <f>IF(A79="","",IF($B$21="Yes",MIN(D79*$B$10,ROUND($B$17*(1+$B$20)^(A79-1)/500,0)*500+IF(AND(C79&gt;=60,C79&lt;=63),ROUND($B$19*(1+$B$20)^(A79-1)/500,0)*500,IF(C79&gt;=50,ROUND($B$18*(1+$B$20)^(A79-1)/500,0)*500,0))),D79*$B$10))</f>
        <v/>
      </c>
      <c r="F79" s="51">
        <f>IF(A79="","",MIN(E79,D79*$B$12)*$B$11+D79*$B$13)</f>
        <v/>
      </c>
      <c r="G79" s="51">
        <f>IF(A79="","",E79+F79)</f>
        <v/>
      </c>
      <c r="H79" s="51">
        <f>IF(A79="","",H78*(1+$H$14)+G79*(1+$H$14)^0.5)</f>
        <v/>
      </c>
      <c r="I79" s="130">
        <f>IF(A79="","",I78*(1+$H$15)+G79*(1+$H$15)^0.5)</f>
        <v/>
      </c>
      <c r="J79" s="51">
        <f>IF(A79="","",J78*(1+$H$16)+G79*(1+$H$16)^0.5)</f>
        <v/>
      </c>
      <c r="K79" s="51">
        <f>IF(A79="","",K78*(1+IF($H$6=0,$H$15,INDEX($E$6:$E$25,MOD(A79-1,$H$6)+1)-$B$14))+G79*(1+IF($H$6=0,$H$15,INDEX($E$6:$E$25,MOD(A79-1,$H$6)+1)-$B$14))^0.5)</f>
        <v/>
      </c>
      <c r="L79" s="51">
        <f>IF(A79="","",I79/(1+$B$15)^A79)</f>
        <v/>
      </c>
      <c r="N79">
        <f>IF(A79="",NA(),C79)</f>
        <v/>
      </c>
      <c r="O79">
        <f>IF(A79="",NA(),H79)</f>
        <v/>
      </c>
      <c r="P79">
        <f>IF(A79="",NA(),I79)</f>
        <v/>
      </c>
      <c r="Q79">
        <f>IF(A79="",NA(),J79)</f>
        <v/>
      </c>
      <c r="R79">
        <f>IF(A79="",NA(),K79)</f>
        <v/>
      </c>
    </row>
    <row r="80">
      <c r="A80" s="129">
        <f>IF(A79="","",IF($B$5+A79+1&gt;$B$6,"",A79+1))</f>
        <v/>
      </c>
      <c r="B80" s="129">
        <f>IF(A80="","",$B$16+A80)</f>
        <v/>
      </c>
      <c r="C80" s="129">
        <f>IF(A80="","",$B$5+A80)</f>
        <v/>
      </c>
      <c r="D80" s="51">
        <f>IF(A80="","",$B$8*(1+$B$9)^(A80-1))</f>
        <v/>
      </c>
      <c r="E80" s="51">
        <f>IF(A80="","",IF($B$21="Yes",MIN(D80*$B$10,ROUND($B$17*(1+$B$20)^(A80-1)/500,0)*500+IF(AND(C80&gt;=60,C80&lt;=63),ROUND($B$19*(1+$B$20)^(A80-1)/500,0)*500,IF(C80&gt;=50,ROUND($B$18*(1+$B$20)^(A80-1)/500,0)*500,0))),D80*$B$10))</f>
        <v/>
      </c>
      <c r="F80" s="51">
        <f>IF(A80="","",MIN(E80,D80*$B$12)*$B$11+D80*$B$13)</f>
        <v/>
      </c>
      <c r="G80" s="51">
        <f>IF(A80="","",E80+F80)</f>
        <v/>
      </c>
      <c r="H80" s="51">
        <f>IF(A80="","",H79*(1+$H$14)+G80*(1+$H$14)^0.5)</f>
        <v/>
      </c>
      <c r="I80" s="130">
        <f>IF(A80="","",I79*(1+$H$15)+G80*(1+$H$15)^0.5)</f>
        <v/>
      </c>
      <c r="J80" s="51">
        <f>IF(A80="","",J79*(1+$H$16)+G80*(1+$H$16)^0.5)</f>
        <v/>
      </c>
      <c r="K80" s="51">
        <f>IF(A80="","",K79*(1+IF($H$6=0,$H$15,INDEX($E$6:$E$25,MOD(A80-1,$H$6)+1)-$B$14))+G80*(1+IF($H$6=0,$H$15,INDEX($E$6:$E$25,MOD(A80-1,$H$6)+1)-$B$14))^0.5)</f>
        <v/>
      </c>
      <c r="L80" s="51">
        <f>IF(A80="","",I80/(1+$B$15)^A80)</f>
        <v/>
      </c>
      <c r="N80">
        <f>IF(A80="",NA(),C80)</f>
        <v/>
      </c>
      <c r="O80">
        <f>IF(A80="",NA(),H80)</f>
        <v/>
      </c>
      <c r="P80">
        <f>IF(A80="",NA(),I80)</f>
        <v/>
      </c>
      <c r="Q80">
        <f>IF(A80="",NA(),J80)</f>
        <v/>
      </c>
      <c r="R80">
        <f>IF(A80="",NA(),K80)</f>
        <v/>
      </c>
    </row>
    <row r="81">
      <c r="A81" s="129">
        <f>IF(A80="","",IF($B$5+A80+1&gt;$B$6,"",A80+1))</f>
        <v/>
      </c>
      <c r="B81" s="129">
        <f>IF(A81="","",$B$16+A81)</f>
        <v/>
      </c>
      <c r="C81" s="129">
        <f>IF(A81="","",$B$5+A81)</f>
        <v/>
      </c>
      <c r="D81" s="51">
        <f>IF(A81="","",$B$8*(1+$B$9)^(A81-1))</f>
        <v/>
      </c>
      <c r="E81" s="51">
        <f>IF(A81="","",IF($B$21="Yes",MIN(D81*$B$10,ROUND($B$17*(1+$B$20)^(A81-1)/500,0)*500+IF(AND(C81&gt;=60,C81&lt;=63),ROUND($B$19*(1+$B$20)^(A81-1)/500,0)*500,IF(C81&gt;=50,ROUND($B$18*(1+$B$20)^(A81-1)/500,0)*500,0))),D81*$B$10))</f>
        <v/>
      </c>
      <c r="F81" s="51">
        <f>IF(A81="","",MIN(E81,D81*$B$12)*$B$11+D81*$B$13)</f>
        <v/>
      </c>
      <c r="G81" s="51">
        <f>IF(A81="","",E81+F81)</f>
        <v/>
      </c>
      <c r="H81" s="51">
        <f>IF(A81="","",H80*(1+$H$14)+G81*(1+$H$14)^0.5)</f>
        <v/>
      </c>
      <c r="I81" s="130">
        <f>IF(A81="","",I80*(1+$H$15)+G81*(1+$H$15)^0.5)</f>
        <v/>
      </c>
      <c r="J81" s="51">
        <f>IF(A81="","",J80*(1+$H$16)+G81*(1+$H$16)^0.5)</f>
        <v/>
      </c>
      <c r="K81" s="51">
        <f>IF(A81="","",K80*(1+IF($H$6=0,$H$15,INDEX($E$6:$E$25,MOD(A81-1,$H$6)+1)-$B$14))+G81*(1+IF($H$6=0,$H$15,INDEX($E$6:$E$25,MOD(A81-1,$H$6)+1)-$B$14))^0.5)</f>
        <v/>
      </c>
      <c r="L81" s="51">
        <f>IF(A81="","",I81/(1+$B$15)^A81)</f>
        <v/>
      </c>
      <c r="N81">
        <f>IF(A81="",NA(),C81)</f>
        <v/>
      </c>
      <c r="O81">
        <f>IF(A81="",NA(),H81)</f>
        <v/>
      </c>
      <c r="P81">
        <f>IF(A81="",NA(),I81)</f>
        <v/>
      </c>
      <c r="Q81">
        <f>IF(A81="",NA(),J81)</f>
        <v/>
      </c>
      <c r="R81">
        <f>IF(A81="",NA(),K81)</f>
        <v/>
      </c>
    </row>
    <row r="82">
      <c r="A82" s="129">
        <f>IF(A81="","",IF($B$5+A81+1&gt;$B$6,"",A81+1))</f>
        <v/>
      </c>
      <c r="B82" s="129">
        <f>IF(A82="","",$B$16+A82)</f>
        <v/>
      </c>
      <c r="C82" s="129">
        <f>IF(A82="","",$B$5+A82)</f>
        <v/>
      </c>
      <c r="D82" s="51">
        <f>IF(A82="","",$B$8*(1+$B$9)^(A82-1))</f>
        <v/>
      </c>
      <c r="E82" s="51">
        <f>IF(A82="","",IF($B$21="Yes",MIN(D82*$B$10,ROUND($B$17*(1+$B$20)^(A82-1)/500,0)*500+IF(AND(C82&gt;=60,C82&lt;=63),ROUND($B$19*(1+$B$20)^(A82-1)/500,0)*500,IF(C82&gt;=50,ROUND($B$18*(1+$B$20)^(A82-1)/500,0)*500,0))),D82*$B$10))</f>
        <v/>
      </c>
      <c r="F82" s="51">
        <f>IF(A82="","",MIN(E82,D82*$B$12)*$B$11+D82*$B$13)</f>
        <v/>
      </c>
      <c r="G82" s="51">
        <f>IF(A82="","",E82+F82)</f>
        <v/>
      </c>
      <c r="H82" s="51">
        <f>IF(A82="","",H81*(1+$H$14)+G82*(1+$H$14)^0.5)</f>
        <v/>
      </c>
      <c r="I82" s="130">
        <f>IF(A82="","",I81*(1+$H$15)+G82*(1+$H$15)^0.5)</f>
        <v/>
      </c>
      <c r="J82" s="51">
        <f>IF(A82="","",J81*(1+$H$16)+G82*(1+$H$16)^0.5)</f>
        <v/>
      </c>
      <c r="K82" s="51">
        <f>IF(A82="","",K81*(1+IF($H$6=0,$H$15,INDEX($E$6:$E$25,MOD(A82-1,$H$6)+1)-$B$14))+G82*(1+IF($H$6=0,$H$15,INDEX($E$6:$E$25,MOD(A82-1,$H$6)+1)-$B$14))^0.5)</f>
        <v/>
      </c>
      <c r="L82" s="51">
        <f>IF(A82="","",I82/(1+$B$15)^A82)</f>
        <v/>
      </c>
      <c r="N82">
        <f>IF(A82="",NA(),C82)</f>
        <v/>
      </c>
      <c r="O82">
        <f>IF(A82="",NA(),H82)</f>
        <v/>
      </c>
      <c r="P82">
        <f>IF(A82="",NA(),I82)</f>
        <v/>
      </c>
      <c r="Q82">
        <f>IF(A82="",NA(),J82)</f>
        <v/>
      </c>
      <c r="R82">
        <f>IF(A82="",NA(),K82)</f>
        <v/>
      </c>
    </row>
    <row r="83">
      <c r="A83" s="129">
        <f>IF(A82="","",IF($B$5+A82+1&gt;$B$6,"",A82+1))</f>
        <v/>
      </c>
      <c r="B83" s="129">
        <f>IF(A83="","",$B$16+A83)</f>
        <v/>
      </c>
      <c r="C83" s="129">
        <f>IF(A83="","",$B$5+A83)</f>
        <v/>
      </c>
      <c r="D83" s="51">
        <f>IF(A83="","",$B$8*(1+$B$9)^(A83-1))</f>
        <v/>
      </c>
      <c r="E83" s="51">
        <f>IF(A83="","",IF($B$21="Yes",MIN(D83*$B$10,ROUND($B$17*(1+$B$20)^(A83-1)/500,0)*500+IF(AND(C83&gt;=60,C83&lt;=63),ROUND($B$19*(1+$B$20)^(A83-1)/500,0)*500,IF(C83&gt;=50,ROUND($B$18*(1+$B$20)^(A83-1)/500,0)*500,0))),D83*$B$10))</f>
        <v/>
      </c>
      <c r="F83" s="51">
        <f>IF(A83="","",MIN(E83,D83*$B$12)*$B$11+D83*$B$13)</f>
        <v/>
      </c>
      <c r="G83" s="51">
        <f>IF(A83="","",E83+F83)</f>
        <v/>
      </c>
      <c r="H83" s="51">
        <f>IF(A83="","",H82*(1+$H$14)+G83*(1+$H$14)^0.5)</f>
        <v/>
      </c>
      <c r="I83" s="130">
        <f>IF(A83="","",I82*(1+$H$15)+G83*(1+$H$15)^0.5)</f>
        <v/>
      </c>
      <c r="J83" s="51">
        <f>IF(A83="","",J82*(1+$H$16)+G83*(1+$H$16)^0.5)</f>
        <v/>
      </c>
      <c r="K83" s="51">
        <f>IF(A83="","",K82*(1+IF($H$6=0,$H$15,INDEX($E$6:$E$25,MOD(A83-1,$H$6)+1)-$B$14))+G83*(1+IF($H$6=0,$H$15,INDEX($E$6:$E$25,MOD(A83-1,$H$6)+1)-$B$14))^0.5)</f>
        <v/>
      </c>
      <c r="L83" s="51">
        <f>IF(A83="","",I83/(1+$B$15)^A83)</f>
        <v/>
      </c>
      <c r="N83">
        <f>IF(A83="",NA(),C83)</f>
        <v/>
      </c>
      <c r="O83">
        <f>IF(A83="",NA(),H83)</f>
        <v/>
      </c>
      <c r="P83">
        <f>IF(A83="",NA(),I83)</f>
        <v/>
      </c>
      <c r="Q83">
        <f>IF(A83="",NA(),J83)</f>
        <v/>
      </c>
      <c r="R83">
        <f>IF(A83="",NA(),K83)</f>
        <v/>
      </c>
    </row>
    <row r="84">
      <c r="A84" s="129">
        <f>IF(A83="","",IF($B$5+A83+1&gt;$B$6,"",A83+1))</f>
        <v/>
      </c>
      <c r="B84" s="129">
        <f>IF(A84="","",$B$16+A84)</f>
        <v/>
      </c>
      <c r="C84" s="129">
        <f>IF(A84="","",$B$5+A84)</f>
        <v/>
      </c>
      <c r="D84" s="51">
        <f>IF(A84="","",$B$8*(1+$B$9)^(A84-1))</f>
        <v/>
      </c>
      <c r="E84" s="51">
        <f>IF(A84="","",IF($B$21="Yes",MIN(D84*$B$10,ROUND($B$17*(1+$B$20)^(A84-1)/500,0)*500+IF(AND(C84&gt;=60,C84&lt;=63),ROUND($B$19*(1+$B$20)^(A84-1)/500,0)*500,IF(C84&gt;=50,ROUND($B$18*(1+$B$20)^(A84-1)/500,0)*500,0))),D84*$B$10))</f>
        <v/>
      </c>
      <c r="F84" s="51">
        <f>IF(A84="","",MIN(E84,D84*$B$12)*$B$11+D84*$B$13)</f>
        <v/>
      </c>
      <c r="G84" s="51">
        <f>IF(A84="","",E84+F84)</f>
        <v/>
      </c>
      <c r="H84" s="51">
        <f>IF(A84="","",H83*(1+$H$14)+G84*(1+$H$14)^0.5)</f>
        <v/>
      </c>
      <c r="I84" s="130">
        <f>IF(A84="","",I83*(1+$H$15)+G84*(1+$H$15)^0.5)</f>
        <v/>
      </c>
      <c r="J84" s="51">
        <f>IF(A84="","",J83*(1+$H$16)+G84*(1+$H$16)^0.5)</f>
        <v/>
      </c>
      <c r="K84" s="51">
        <f>IF(A84="","",K83*(1+IF($H$6=0,$H$15,INDEX($E$6:$E$25,MOD(A84-1,$H$6)+1)-$B$14))+G84*(1+IF($H$6=0,$H$15,INDEX($E$6:$E$25,MOD(A84-1,$H$6)+1)-$B$14))^0.5)</f>
        <v/>
      </c>
      <c r="L84" s="51">
        <f>IF(A84="","",I84/(1+$B$15)^A84)</f>
        <v/>
      </c>
      <c r="N84">
        <f>IF(A84="",NA(),C84)</f>
        <v/>
      </c>
      <c r="O84">
        <f>IF(A84="",NA(),H84)</f>
        <v/>
      </c>
      <c r="P84">
        <f>IF(A84="",NA(),I84)</f>
        <v/>
      </c>
      <c r="Q84">
        <f>IF(A84="",NA(),J84)</f>
        <v/>
      </c>
      <c r="R84">
        <f>IF(A84="",NA(),K84)</f>
        <v/>
      </c>
    </row>
    <row r="85">
      <c r="A85" s="129">
        <f>IF(A84="","",IF($B$5+A84+1&gt;$B$6,"",A84+1))</f>
        <v/>
      </c>
      <c r="B85" s="129">
        <f>IF(A85="","",$B$16+A85)</f>
        <v/>
      </c>
      <c r="C85" s="129">
        <f>IF(A85="","",$B$5+A85)</f>
        <v/>
      </c>
      <c r="D85" s="51">
        <f>IF(A85="","",$B$8*(1+$B$9)^(A85-1))</f>
        <v/>
      </c>
      <c r="E85" s="51">
        <f>IF(A85="","",IF($B$21="Yes",MIN(D85*$B$10,ROUND($B$17*(1+$B$20)^(A85-1)/500,0)*500+IF(AND(C85&gt;=60,C85&lt;=63),ROUND($B$19*(1+$B$20)^(A85-1)/500,0)*500,IF(C85&gt;=50,ROUND($B$18*(1+$B$20)^(A85-1)/500,0)*500,0))),D85*$B$10))</f>
        <v/>
      </c>
      <c r="F85" s="51">
        <f>IF(A85="","",MIN(E85,D85*$B$12)*$B$11+D85*$B$13)</f>
        <v/>
      </c>
      <c r="G85" s="51">
        <f>IF(A85="","",E85+F85)</f>
        <v/>
      </c>
      <c r="H85" s="51">
        <f>IF(A85="","",H84*(1+$H$14)+G85*(1+$H$14)^0.5)</f>
        <v/>
      </c>
      <c r="I85" s="130">
        <f>IF(A85="","",I84*(1+$H$15)+G85*(1+$H$15)^0.5)</f>
        <v/>
      </c>
      <c r="J85" s="51">
        <f>IF(A85="","",J84*(1+$H$16)+G85*(1+$H$16)^0.5)</f>
        <v/>
      </c>
      <c r="K85" s="51">
        <f>IF(A85="","",K84*(1+IF($H$6=0,$H$15,INDEX($E$6:$E$25,MOD(A85-1,$H$6)+1)-$B$14))+G85*(1+IF($H$6=0,$H$15,INDEX($E$6:$E$25,MOD(A85-1,$H$6)+1)-$B$14))^0.5)</f>
        <v/>
      </c>
      <c r="L85" s="51">
        <f>IF(A85="","",I85/(1+$B$15)^A85)</f>
        <v/>
      </c>
      <c r="N85">
        <f>IF(A85="",NA(),C85)</f>
        <v/>
      </c>
      <c r="O85">
        <f>IF(A85="",NA(),H85)</f>
        <v/>
      </c>
      <c r="P85">
        <f>IF(A85="",NA(),I85)</f>
        <v/>
      </c>
      <c r="Q85">
        <f>IF(A85="",NA(),J85)</f>
        <v/>
      </c>
      <c r="R85">
        <f>IF(A85="",NA(),K85)</f>
        <v/>
      </c>
    </row>
    <row r="86">
      <c r="A86" s="129">
        <f>IF(A85="","",IF($B$5+A85+1&gt;$B$6,"",A85+1))</f>
        <v/>
      </c>
      <c r="B86" s="129">
        <f>IF(A86="","",$B$16+A86)</f>
        <v/>
      </c>
      <c r="C86" s="129">
        <f>IF(A86="","",$B$5+A86)</f>
        <v/>
      </c>
      <c r="D86" s="51">
        <f>IF(A86="","",$B$8*(1+$B$9)^(A86-1))</f>
        <v/>
      </c>
      <c r="E86" s="51">
        <f>IF(A86="","",IF($B$21="Yes",MIN(D86*$B$10,ROUND($B$17*(1+$B$20)^(A86-1)/500,0)*500+IF(AND(C86&gt;=60,C86&lt;=63),ROUND($B$19*(1+$B$20)^(A86-1)/500,0)*500,IF(C86&gt;=50,ROUND($B$18*(1+$B$20)^(A86-1)/500,0)*500,0))),D86*$B$10))</f>
        <v/>
      </c>
      <c r="F86" s="51">
        <f>IF(A86="","",MIN(E86,D86*$B$12)*$B$11+D86*$B$13)</f>
        <v/>
      </c>
      <c r="G86" s="51">
        <f>IF(A86="","",E86+F86)</f>
        <v/>
      </c>
      <c r="H86" s="51">
        <f>IF(A86="","",H85*(1+$H$14)+G86*(1+$H$14)^0.5)</f>
        <v/>
      </c>
      <c r="I86" s="130">
        <f>IF(A86="","",I85*(1+$H$15)+G86*(1+$H$15)^0.5)</f>
        <v/>
      </c>
      <c r="J86" s="51">
        <f>IF(A86="","",J85*(1+$H$16)+G86*(1+$H$16)^0.5)</f>
        <v/>
      </c>
      <c r="K86" s="51">
        <f>IF(A86="","",K85*(1+IF($H$6=0,$H$15,INDEX($E$6:$E$25,MOD(A86-1,$H$6)+1)-$B$14))+G86*(1+IF($H$6=0,$H$15,INDEX($E$6:$E$25,MOD(A86-1,$H$6)+1)-$B$14))^0.5)</f>
        <v/>
      </c>
      <c r="L86" s="51">
        <f>IF(A86="","",I86/(1+$B$15)^A86)</f>
        <v/>
      </c>
      <c r="N86">
        <f>IF(A86="",NA(),C86)</f>
        <v/>
      </c>
      <c r="O86">
        <f>IF(A86="",NA(),H86)</f>
        <v/>
      </c>
      <c r="P86">
        <f>IF(A86="",NA(),I86)</f>
        <v/>
      </c>
      <c r="Q86">
        <f>IF(A86="",NA(),J86)</f>
        <v/>
      </c>
      <c r="R86">
        <f>IF(A86="",NA(),K86)</f>
        <v/>
      </c>
    </row>
    <row r="87">
      <c r="A87" s="129">
        <f>IF(A86="","",IF($B$5+A86+1&gt;$B$6,"",A86+1))</f>
        <v/>
      </c>
      <c r="B87" s="129">
        <f>IF(A87="","",$B$16+A87)</f>
        <v/>
      </c>
      <c r="C87" s="129">
        <f>IF(A87="","",$B$5+A87)</f>
        <v/>
      </c>
      <c r="D87" s="51">
        <f>IF(A87="","",$B$8*(1+$B$9)^(A87-1))</f>
        <v/>
      </c>
      <c r="E87" s="51">
        <f>IF(A87="","",IF($B$21="Yes",MIN(D87*$B$10,ROUND($B$17*(1+$B$20)^(A87-1)/500,0)*500+IF(AND(C87&gt;=60,C87&lt;=63),ROUND($B$19*(1+$B$20)^(A87-1)/500,0)*500,IF(C87&gt;=50,ROUND($B$18*(1+$B$20)^(A87-1)/500,0)*500,0))),D87*$B$10))</f>
        <v/>
      </c>
      <c r="F87" s="51">
        <f>IF(A87="","",MIN(E87,D87*$B$12)*$B$11+D87*$B$13)</f>
        <v/>
      </c>
      <c r="G87" s="51">
        <f>IF(A87="","",E87+F87)</f>
        <v/>
      </c>
      <c r="H87" s="51">
        <f>IF(A87="","",H86*(1+$H$14)+G87*(1+$H$14)^0.5)</f>
        <v/>
      </c>
      <c r="I87" s="130">
        <f>IF(A87="","",I86*(1+$H$15)+G87*(1+$H$15)^0.5)</f>
        <v/>
      </c>
      <c r="J87" s="51">
        <f>IF(A87="","",J86*(1+$H$16)+G87*(1+$H$16)^0.5)</f>
        <v/>
      </c>
      <c r="K87" s="51">
        <f>IF(A87="","",K86*(1+IF($H$6=0,$H$15,INDEX($E$6:$E$25,MOD(A87-1,$H$6)+1)-$B$14))+G87*(1+IF($H$6=0,$H$15,INDEX($E$6:$E$25,MOD(A87-1,$H$6)+1)-$B$14))^0.5)</f>
        <v/>
      </c>
      <c r="L87" s="51">
        <f>IF(A87="","",I87/(1+$B$15)^A87)</f>
        <v/>
      </c>
      <c r="N87">
        <f>IF(A87="",NA(),C87)</f>
        <v/>
      </c>
      <c r="O87">
        <f>IF(A87="",NA(),H87)</f>
        <v/>
      </c>
      <c r="P87">
        <f>IF(A87="",NA(),I87)</f>
        <v/>
      </c>
      <c r="Q87">
        <f>IF(A87="",NA(),J87)</f>
        <v/>
      </c>
      <c r="R87">
        <f>IF(A87="",NA(),K87)</f>
        <v/>
      </c>
    </row>
    <row r="88">
      <c r="A88" s="129">
        <f>IF(A87="","",IF($B$5+A87+1&gt;$B$6,"",A87+1))</f>
        <v/>
      </c>
      <c r="B88" s="129">
        <f>IF(A88="","",$B$16+A88)</f>
        <v/>
      </c>
      <c r="C88" s="129">
        <f>IF(A88="","",$B$5+A88)</f>
        <v/>
      </c>
      <c r="D88" s="51">
        <f>IF(A88="","",$B$8*(1+$B$9)^(A88-1))</f>
        <v/>
      </c>
      <c r="E88" s="51">
        <f>IF(A88="","",IF($B$21="Yes",MIN(D88*$B$10,ROUND($B$17*(1+$B$20)^(A88-1)/500,0)*500+IF(AND(C88&gt;=60,C88&lt;=63),ROUND($B$19*(1+$B$20)^(A88-1)/500,0)*500,IF(C88&gt;=50,ROUND($B$18*(1+$B$20)^(A88-1)/500,0)*500,0))),D88*$B$10))</f>
        <v/>
      </c>
      <c r="F88" s="51">
        <f>IF(A88="","",MIN(E88,D88*$B$12)*$B$11+D88*$B$13)</f>
        <v/>
      </c>
      <c r="G88" s="51">
        <f>IF(A88="","",E88+F88)</f>
        <v/>
      </c>
      <c r="H88" s="51">
        <f>IF(A88="","",H87*(1+$H$14)+G88*(1+$H$14)^0.5)</f>
        <v/>
      </c>
      <c r="I88" s="130">
        <f>IF(A88="","",I87*(1+$H$15)+G88*(1+$H$15)^0.5)</f>
        <v/>
      </c>
      <c r="J88" s="51">
        <f>IF(A88="","",J87*(1+$H$16)+G88*(1+$H$16)^0.5)</f>
        <v/>
      </c>
      <c r="K88" s="51">
        <f>IF(A88="","",K87*(1+IF($H$6=0,$H$15,INDEX($E$6:$E$25,MOD(A88-1,$H$6)+1)-$B$14))+G88*(1+IF($H$6=0,$H$15,INDEX($E$6:$E$25,MOD(A88-1,$H$6)+1)-$B$14))^0.5)</f>
        <v/>
      </c>
      <c r="L88" s="51">
        <f>IF(A88="","",I88/(1+$B$15)^A88)</f>
        <v/>
      </c>
      <c r="N88">
        <f>IF(A88="",NA(),C88)</f>
        <v/>
      </c>
      <c r="O88">
        <f>IF(A88="",NA(),H88)</f>
        <v/>
      </c>
      <c r="P88">
        <f>IF(A88="",NA(),I88)</f>
        <v/>
      </c>
      <c r="Q88">
        <f>IF(A88="",NA(),J88)</f>
        <v/>
      </c>
      <c r="R88">
        <f>IF(A88="",NA(),K88)</f>
        <v/>
      </c>
    </row>
    <row r="89">
      <c r="A89" s="129">
        <f>IF(A88="","",IF($B$5+A88+1&gt;$B$6,"",A88+1))</f>
        <v/>
      </c>
      <c r="B89" s="129">
        <f>IF(A89="","",$B$16+A89)</f>
        <v/>
      </c>
      <c r="C89" s="129">
        <f>IF(A89="","",$B$5+A89)</f>
        <v/>
      </c>
      <c r="D89" s="51">
        <f>IF(A89="","",$B$8*(1+$B$9)^(A89-1))</f>
        <v/>
      </c>
      <c r="E89" s="51">
        <f>IF(A89="","",IF($B$21="Yes",MIN(D89*$B$10,ROUND($B$17*(1+$B$20)^(A89-1)/500,0)*500+IF(AND(C89&gt;=60,C89&lt;=63),ROUND($B$19*(1+$B$20)^(A89-1)/500,0)*500,IF(C89&gt;=50,ROUND($B$18*(1+$B$20)^(A89-1)/500,0)*500,0))),D89*$B$10))</f>
        <v/>
      </c>
      <c r="F89" s="51">
        <f>IF(A89="","",MIN(E89,D89*$B$12)*$B$11+D89*$B$13)</f>
        <v/>
      </c>
      <c r="G89" s="51">
        <f>IF(A89="","",E89+F89)</f>
        <v/>
      </c>
      <c r="H89" s="51">
        <f>IF(A89="","",H88*(1+$H$14)+G89*(1+$H$14)^0.5)</f>
        <v/>
      </c>
      <c r="I89" s="130">
        <f>IF(A89="","",I88*(1+$H$15)+G89*(1+$H$15)^0.5)</f>
        <v/>
      </c>
      <c r="J89" s="51">
        <f>IF(A89="","",J88*(1+$H$16)+G89*(1+$H$16)^0.5)</f>
        <v/>
      </c>
      <c r="K89" s="51">
        <f>IF(A89="","",K88*(1+IF($H$6=0,$H$15,INDEX($E$6:$E$25,MOD(A89-1,$H$6)+1)-$B$14))+G89*(1+IF($H$6=0,$H$15,INDEX($E$6:$E$25,MOD(A89-1,$H$6)+1)-$B$14))^0.5)</f>
        <v/>
      </c>
      <c r="L89" s="51">
        <f>IF(A89="","",I89/(1+$B$15)^A89)</f>
        <v/>
      </c>
      <c r="N89">
        <f>IF(A89="",NA(),C89)</f>
        <v/>
      </c>
      <c r="O89">
        <f>IF(A89="",NA(),H89)</f>
        <v/>
      </c>
      <c r="P89">
        <f>IF(A89="",NA(),I89)</f>
        <v/>
      </c>
      <c r="Q89">
        <f>IF(A89="",NA(),J89)</f>
        <v/>
      </c>
      <c r="R89">
        <f>IF(A89="",NA(),K89)</f>
        <v/>
      </c>
    </row>
    <row r="90">
      <c r="A90" s="129">
        <f>IF(A89="","",IF($B$5+A89+1&gt;$B$6,"",A89+1))</f>
        <v/>
      </c>
      <c r="B90" s="129">
        <f>IF(A90="","",$B$16+A90)</f>
        <v/>
      </c>
      <c r="C90" s="129">
        <f>IF(A90="","",$B$5+A90)</f>
        <v/>
      </c>
      <c r="D90" s="51">
        <f>IF(A90="","",$B$8*(1+$B$9)^(A90-1))</f>
        <v/>
      </c>
      <c r="E90" s="51">
        <f>IF(A90="","",IF($B$21="Yes",MIN(D90*$B$10,ROUND($B$17*(1+$B$20)^(A90-1)/500,0)*500+IF(AND(C90&gt;=60,C90&lt;=63),ROUND($B$19*(1+$B$20)^(A90-1)/500,0)*500,IF(C90&gt;=50,ROUND($B$18*(1+$B$20)^(A90-1)/500,0)*500,0))),D90*$B$10))</f>
        <v/>
      </c>
      <c r="F90" s="51">
        <f>IF(A90="","",MIN(E90,D90*$B$12)*$B$11+D90*$B$13)</f>
        <v/>
      </c>
      <c r="G90" s="51">
        <f>IF(A90="","",E90+F90)</f>
        <v/>
      </c>
      <c r="H90" s="51">
        <f>IF(A90="","",H89*(1+$H$14)+G90*(1+$H$14)^0.5)</f>
        <v/>
      </c>
      <c r="I90" s="130">
        <f>IF(A90="","",I89*(1+$H$15)+G90*(1+$H$15)^0.5)</f>
        <v/>
      </c>
      <c r="J90" s="51">
        <f>IF(A90="","",J89*(1+$H$16)+G90*(1+$H$16)^0.5)</f>
        <v/>
      </c>
      <c r="K90" s="51">
        <f>IF(A90="","",K89*(1+IF($H$6=0,$H$15,INDEX($E$6:$E$25,MOD(A90-1,$H$6)+1)-$B$14))+G90*(1+IF($H$6=0,$H$15,INDEX($E$6:$E$25,MOD(A90-1,$H$6)+1)-$B$14))^0.5)</f>
        <v/>
      </c>
      <c r="L90" s="51">
        <f>IF(A90="","",I90/(1+$B$15)^A90)</f>
        <v/>
      </c>
      <c r="N90">
        <f>IF(A90="",NA(),C90)</f>
        <v/>
      </c>
      <c r="O90">
        <f>IF(A90="",NA(),H90)</f>
        <v/>
      </c>
      <c r="P90">
        <f>IF(A90="",NA(),I90)</f>
        <v/>
      </c>
      <c r="Q90">
        <f>IF(A90="",NA(),J90)</f>
        <v/>
      </c>
      <c r="R90">
        <f>IF(A90="",NA(),K90)</f>
        <v/>
      </c>
    </row>
    <row r="91">
      <c r="A91" s="129">
        <f>IF(A90="","",IF($B$5+A90+1&gt;$B$6,"",A90+1))</f>
        <v/>
      </c>
      <c r="B91" s="129">
        <f>IF(A91="","",$B$16+A91)</f>
        <v/>
      </c>
      <c r="C91" s="129">
        <f>IF(A91="","",$B$5+A91)</f>
        <v/>
      </c>
      <c r="D91" s="51">
        <f>IF(A91="","",$B$8*(1+$B$9)^(A91-1))</f>
        <v/>
      </c>
      <c r="E91" s="51">
        <f>IF(A91="","",IF($B$21="Yes",MIN(D91*$B$10,ROUND($B$17*(1+$B$20)^(A91-1)/500,0)*500+IF(AND(C91&gt;=60,C91&lt;=63),ROUND($B$19*(1+$B$20)^(A91-1)/500,0)*500,IF(C91&gt;=50,ROUND($B$18*(1+$B$20)^(A91-1)/500,0)*500,0))),D91*$B$10))</f>
        <v/>
      </c>
      <c r="F91" s="51">
        <f>IF(A91="","",MIN(E91,D91*$B$12)*$B$11+D91*$B$13)</f>
        <v/>
      </c>
      <c r="G91" s="51">
        <f>IF(A91="","",E91+F91)</f>
        <v/>
      </c>
      <c r="H91" s="51">
        <f>IF(A91="","",H90*(1+$H$14)+G91*(1+$H$14)^0.5)</f>
        <v/>
      </c>
      <c r="I91" s="130">
        <f>IF(A91="","",I90*(1+$H$15)+G91*(1+$H$15)^0.5)</f>
        <v/>
      </c>
      <c r="J91" s="51">
        <f>IF(A91="","",J90*(1+$H$16)+G91*(1+$H$16)^0.5)</f>
        <v/>
      </c>
      <c r="K91" s="51">
        <f>IF(A91="","",K90*(1+IF($H$6=0,$H$15,INDEX($E$6:$E$25,MOD(A91-1,$H$6)+1)-$B$14))+G91*(1+IF($H$6=0,$H$15,INDEX($E$6:$E$25,MOD(A91-1,$H$6)+1)-$B$14))^0.5)</f>
        <v/>
      </c>
      <c r="L91" s="51">
        <f>IF(A91="","",I91/(1+$B$15)^A91)</f>
        <v/>
      </c>
      <c r="N91">
        <f>IF(A91="",NA(),C91)</f>
        <v/>
      </c>
      <c r="O91">
        <f>IF(A91="",NA(),H91)</f>
        <v/>
      </c>
      <c r="P91">
        <f>IF(A91="",NA(),I91)</f>
        <v/>
      </c>
      <c r="Q91">
        <f>IF(A91="",NA(),J91)</f>
        <v/>
      </c>
      <c r="R91">
        <f>IF(A91="",NA(),K91)</f>
        <v/>
      </c>
    </row>
    <row r="92">
      <c r="A92" s="129">
        <f>IF(A91="","",IF($B$5+A91+1&gt;$B$6,"",A91+1))</f>
        <v/>
      </c>
      <c r="B92" s="129">
        <f>IF(A92="","",$B$16+A92)</f>
        <v/>
      </c>
      <c r="C92" s="129">
        <f>IF(A92="","",$B$5+A92)</f>
        <v/>
      </c>
      <c r="D92" s="51">
        <f>IF(A92="","",$B$8*(1+$B$9)^(A92-1))</f>
        <v/>
      </c>
      <c r="E92" s="51">
        <f>IF(A92="","",IF($B$21="Yes",MIN(D92*$B$10,ROUND($B$17*(1+$B$20)^(A92-1)/500,0)*500+IF(AND(C92&gt;=60,C92&lt;=63),ROUND($B$19*(1+$B$20)^(A92-1)/500,0)*500,IF(C92&gt;=50,ROUND($B$18*(1+$B$20)^(A92-1)/500,0)*500,0))),D92*$B$10))</f>
        <v/>
      </c>
      <c r="F92" s="51">
        <f>IF(A92="","",MIN(E92,D92*$B$12)*$B$11+D92*$B$13)</f>
        <v/>
      </c>
      <c r="G92" s="51">
        <f>IF(A92="","",E92+F92)</f>
        <v/>
      </c>
      <c r="H92" s="51">
        <f>IF(A92="","",H91*(1+$H$14)+G92*(1+$H$14)^0.5)</f>
        <v/>
      </c>
      <c r="I92" s="130">
        <f>IF(A92="","",I91*(1+$H$15)+G92*(1+$H$15)^0.5)</f>
        <v/>
      </c>
      <c r="J92" s="51">
        <f>IF(A92="","",J91*(1+$H$16)+G92*(1+$H$16)^0.5)</f>
        <v/>
      </c>
      <c r="K92" s="51">
        <f>IF(A92="","",K91*(1+IF($H$6=0,$H$15,INDEX($E$6:$E$25,MOD(A92-1,$H$6)+1)-$B$14))+G92*(1+IF($H$6=0,$H$15,INDEX($E$6:$E$25,MOD(A92-1,$H$6)+1)-$B$14))^0.5)</f>
        <v/>
      </c>
      <c r="L92" s="51">
        <f>IF(A92="","",I92/(1+$B$15)^A92)</f>
        <v/>
      </c>
      <c r="N92">
        <f>IF(A92="",NA(),C92)</f>
        <v/>
      </c>
      <c r="O92">
        <f>IF(A92="",NA(),H92)</f>
        <v/>
      </c>
      <c r="P92">
        <f>IF(A92="",NA(),I92)</f>
        <v/>
      </c>
      <c r="Q92">
        <f>IF(A92="",NA(),J92)</f>
        <v/>
      </c>
      <c r="R92">
        <f>IF(A92="",NA(),K92)</f>
        <v/>
      </c>
    </row>
    <row r="93">
      <c r="A93" s="129">
        <f>IF(A92="","",IF($B$5+A92+1&gt;$B$6,"",A92+1))</f>
        <v/>
      </c>
      <c r="B93" s="129">
        <f>IF(A93="","",$B$16+A93)</f>
        <v/>
      </c>
      <c r="C93" s="129">
        <f>IF(A93="","",$B$5+A93)</f>
        <v/>
      </c>
      <c r="D93" s="51">
        <f>IF(A93="","",$B$8*(1+$B$9)^(A93-1))</f>
        <v/>
      </c>
      <c r="E93" s="51">
        <f>IF(A93="","",IF($B$21="Yes",MIN(D93*$B$10,ROUND($B$17*(1+$B$20)^(A93-1)/500,0)*500+IF(AND(C93&gt;=60,C93&lt;=63),ROUND($B$19*(1+$B$20)^(A93-1)/500,0)*500,IF(C93&gt;=50,ROUND($B$18*(1+$B$20)^(A93-1)/500,0)*500,0))),D93*$B$10))</f>
        <v/>
      </c>
      <c r="F93" s="51">
        <f>IF(A93="","",MIN(E93,D93*$B$12)*$B$11+D93*$B$13)</f>
        <v/>
      </c>
      <c r="G93" s="51">
        <f>IF(A93="","",E93+F93)</f>
        <v/>
      </c>
      <c r="H93" s="51">
        <f>IF(A93="","",H92*(1+$H$14)+G93*(1+$H$14)^0.5)</f>
        <v/>
      </c>
      <c r="I93" s="130">
        <f>IF(A93="","",I92*(1+$H$15)+G93*(1+$H$15)^0.5)</f>
        <v/>
      </c>
      <c r="J93" s="51">
        <f>IF(A93="","",J92*(1+$H$16)+G93*(1+$H$16)^0.5)</f>
        <v/>
      </c>
      <c r="K93" s="51">
        <f>IF(A93="","",K92*(1+IF($H$6=0,$H$15,INDEX($E$6:$E$25,MOD(A93-1,$H$6)+1)-$B$14))+G93*(1+IF($H$6=0,$H$15,INDEX($E$6:$E$25,MOD(A93-1,$H$6)+1)-$B$14))^0.5)</f>
        <v/>
      </c>
      <c r="L93" s="51">
        <f>IF(A93="","",I93/(1+$B$15)^A93)</f>
        <v/>
      </c>
      <c r="N93">
        <f>IF(A93="",NA(),C93)</f>
        <v/>
      </c>
      <c r="O93">
        <f>IF(A93="",NA(),H93)</f>
        <v/>
      </c>
      <c r="P93">
        <f>IF(A93="",NA(),I93)</f>
        <v/>
      </c>
      <c r="Q93">
        <f>IF(A93="",NA(),J93)</f>
        <v/>
      </c>
      <c r="R93">
        <f>IF(A93="",NA(),K93)</f>
        <v/>
      </c>
    </row>
    <row r="94">
      <c r="A94" s="129">
        <f>IF(A93="","",IF($B$5+A93+1&gt;$B$6,"",A93+1))</f>
        <v/>
      </c>
      <c r="B94" s="129">
        <f>IF(A94="","",$B$16+A94)</f>
        <v/>
      </c>
      <c r="C94" s="129">
        <f>IF(A94="","",$B$5+A94)</f>
        <v/>
      </c>
      <c r="D94" s="51">
        <f>IF(A94="","",$B$8*(1+$B$9)^(A94-1))</f>
        <v/>
      </c>
      <c r="E94" s="51">
        <f>IF(A94="","",IF($B$21="Yes",MIN(D94*$B$10,ROUND($B$17*(1+$B$20)^(A94-1)/500,0)*500+IF(AND(C94&gt;=60,C94&lt;=63),ROUND($B$19*(1+$B$20)^(A94-1)/500,0)*500,IF(C94&gt;=50,ROUND($B$18*(1+$B$20)^(A94-1)/500,0)*500,0))),D94*$B$10))</f>
        <v/>
      </c>
      <c r="F94" s="51">
        <f>IF(A94="","",MIN(E94,D94*$B$12)*$B$11+D94*$B$13)</f>
        <v/>
      </c>
      <c r="G94" s="51">
        <f>IF(A94="","",E94+F94)</f>
        <v/>
      </c>
      <c r="H94" s="51">
        <f>IF(A94="","",H93*(1+$H$14)+G94*(1+$H$14)^0.5)</f>
        <v/>
      </c>
      <c r="I94" s="130">
        <f>IF(A94="","",I93*(1+$H$15)+G94*(1+$H$15)^0.5)</f>
        <v/>
      </c>
      <c r="J94" s="51">
        <f>IF(A94="","",J93*(1+$H$16)+G94*(1+$H$16)^0.5)</f>
        <v/>
      </c>
      <c r="K94" s="51">
        <f>IF(A94="","",K93*(1+IF($H$6=0,$H$15,INDEX($E$6:$E$25,MOD(A94-1,$H$6)+1)-$B$14))+G94*(1+IF($H$6=0,$H$15,INDEX($E$6:$E$25,MOD(A94-1,$H$6)+1)-$B$14))^0.5)</f>
        <v/>
      </c>
      <c r="L94" s="51">
        <f>IF(A94="","",I94/(1+$B$15)^A94)</f>
        <v/>
      </c>
      <c r="N94">
        <f>IF(A94="",NA(),C94)</f>
        <v/>
      </c>
      <c r="O94">
        <f>IF(A94="",NA(),H94)</f>
        <v/>
      </c>
      <c r="P94">
        <f>IF(A94="",NA(),I94)</f>
        <v/>
      </c>
      <c r="Q94">
        <f>IF(A94="",NA(),J94)</f>
        <v/>
      </c>
      <c r="R94">
        <f>IF(A94="",NA(),K94)</f>
        <v/>
      </c>
    </row>
    <row r="95">
      <c r="A95" s="129">
        <f>IF(A94="","",IF($B$5+A94+1&gt;$B$6,"",A94+1))</f>
        <v/>
      </c>
      <c r="B95" s="129">
        <f>IF(A95="","",$B$16+A95)</f>
        <v/>
      </c>
      <c r="C95" s="129">
        <f>IF(A95="","",$B$5+A95)</f>
        <v/>
      </c>
      <c r="D95" s="51">
        <f>IF(A95="","",$B$8*(1+$B$9)^(A95-1))</f>
        <v/>
      </c>
      <c r="E95" s="51">
        <f>IF(A95="","",IF($B$21="Yes",MIN(D95*$B$10,ROUND($B$17*(1+$B$20)^(A95-1)/500,0)*500+IF(AND(C95&gt;=60,C95&lt;=63),ROUND($B$19*(1+$B$20)^(A95-1)/500,0)*500,IF(C95&gt;=50,ROUND($B$18*(1+$B$20)^(A95-1)/500,0)*500,0))),D95*$B$10))</f>
        <v/>
      </c>
      <c r="F95" s="51">
        <f>IF(A95="","",MIN(E95,D95*$B$12)*$B$11+D95*$B$13)</f>
        <v/>
      </c>
      <c r="G95" s="51">
        <f>IF(A95="","",E95+F95)</f>
        <v/>
      </c>
      <c r="H95" s="51">
        <f>IF(A95="","",H94*(1+$H$14)+G95*(1+$H$14)^0.5)</f>
        <v/>
      </c>
      <c r="I95" s="130">
        <f>IF(A95="","",I94*(1+$H$15)+G95*(1+$H$15)^0.5)</f>
        <v/>
      </c>
      <c r="J95" s="51">
        <f>IF(A95="","",J94*(1+$H$16)+G95*(1+$H$16)^0.5)</f>
        <v/>
      </c>
      <c r="K95" s="51">
        <f>IF(A95="","",K94*(1+IF($H$6=0,$H$15,INDEX($E$6:$E$25,MOD(A95-1,$H$6)+1)-$B$14))+G95*(1+IF($H$6=0,$H$15,INDEX($E$6:$E$25,MOD(A95-1,$H$6)+1)-$B$14))^0.5)</f>
        <v/>
      </c>
      <c r="L95" s="51">
        <f>IF(A95="","",I95/(1+$B$15)^A95)</f>
        <v/>
      </c>
      <c r="N95">
        <f>IF(A95="",NA(),C95)</f>
        <v/>
      </c>
      <c r="O95">
        <f>IF(A95="",NA(),H95)</f>
        <v/>
      </c>
      <c r="P95">
        <f>IF(A95="",NA(),I95)</f>
        <v/>
      </c>
      <c r="Q95">
        <f>IF(A95="",NA(),J95)</f>
        <v/>
      </c>
      <c r="R95">
        <f>IF(A95="",NA(),K95)</f>
        <v/>
      </c>
    </row>
    <row r="96">
      <c r="A96" s="129">
        <f>IF(A95="","",IF($B$5+A95+1&gt;$B$6,"",A95+1))</f>
        <v/>
      </c>
      <c r="B96" s="129">
        <f>IF(A96="","",$B$16+A96)</f>
        <v/>
      </c>
      <c r="C96" s="129">
        <f>IF(A96="","",$B$5+A96)</f>
        <v/>
      </c>
      <c r="D96" s="51">
        <f>IF(A96="","",$B$8*(1+$B$9)^(A96-1))</f>
        <v/>
      </c>
      <c r="E96" s="51">
        <f>IF(A96="","",IF($B$21="Yes",MIN(D96*$B$10,ROUND($B$17*(1+$B$20)^(A96-1)/500,0)*500+IF(AND(C96&gt;=60,C96&lt;=63),ROUND($B$19*(1+$B$20)^(A96-1)/500,0)*500,IF(C96&gt;=50,ROUND($B$18*(1+$B$20)^(A96-1)/500,0)*500,0))),D96*$B$10))</f>
        <v/>
      </c>
      <c r="F96" s="51">
        <f>IF(A96="","",MIN(E96,D96*$B$12)*$B$11+D96*$B$13)</f>
        <v/>
      </c>
      <c r="G96" s="51">
        <f>IF(A96="","",E96+F96)</f>
        <v/>
      </c>
      <c r="H96" s="51">
        <f>IF(A96="","",H95*(1+$H$14)+G96*(1+$H$14)^0.5)</f>
        <v/>
      </c>
      <c r="I96" s="130">
        <f>IF(A96="","",I95*(1+$H$15)+G96*(1+$H$15)^0.5)</f>
        <v/>
      </c>
      <c r="J96" s="51">
        <f>IF(A96="","",J95*(1+$H$16)+G96*(1+$H$16)^0.5)</f>
        <v/>
      </c>
      <c r="K96" s="51">
        <f>IF(A96="","",K95*(1+IF($H$6=0,$H$15,INDEX($E$6:$E$25,MOD(A96-1,$H$6)+1)-$B$14))+G96*(1+IF($H$6=0,$H$15,INDEX($E$6:$E$25,MOD(A96-1,$H$6)+1)-$B$14))^0.5)</f>
        <v/>
      </c>
      <c r="L96" s="51">
        <f>IF(A96="","",I96/(1+$B$15)^A96)</f>
        <v/>
      </c>
      <c r="N96">
        <f>IF(A96="",NA(),C96)</f>
        <v/>
      </c>
      <c r="O96">
        <f>IF(A96="",NA(),H96)</f>
        <v/>
      </c>
      <c r="P96">
        <f>IF(A96="",NA(),I96)</f>
        <v/>
      </c>
      <c r="Q96">
        <f>IF(A96="",NA(),J96)</f>
        <v/>
      </c>
      <c r="R96">
        <f>IF(A96="",NA(),K96)</f>
        <v/>
      </c>
    </row>
    <row r="97">
      <c r="A97" s="129">
        <f>IF(A96="","",IF($B$5+A96+1&gt;$B$6,"",A96+1))</f>
        <v/>
      </c>
      <c r="B97" s="129">
        <f>IF(A97="","",$B$16+A97)</f>
        <v/>
      </c>
      <c r="C97" s="129">
        <f>IF(A97="","",$B$5+A97)</f>
        <v/>
      </c>
      <c r="D97" s="51">
        <f>IF(A97="","",$B$8*(1+$B$9)^(A97-1))</f>
        <v/>
      </c>
      <c r="E97" s="51">
        <f>IF(A97="","",IF($B$21="Yes",MIN(D97*$B$10,ROUND($B$17*(1+$B$20)^(A97-1)/500,0)*500+IF(AND(C97&gt;=60,C97&lt;=63),ROUND($B$19*(1+$B$20)^(A97-1)/500,0)*500,IF(C97&gt;=50,ROUND($B$18*(1+$B$20)^(A97-1)/500,0)*500,0))),D97*$B$10))</f>
        <v/>
      </c>
      <c r="F97" s="51">
        <f>IF(A97="","",MIN(E97,D97*$B$12)*$B$11+D97*$B$13)</f>
        <v/>
      </c>
      <c r="G97" s="51">
        <f>IF(A97="","",E97+F97)</f>
        <v/>
      </c>
      <c r="H97" s="51">
        <f>IF(A97="","",H96*(1+$H$14)+G97*(1+$H$14)^0.5)</f>
        <v/>
      </c>
      <c r="I97" s="130">
        <f>IF(A97="","",I96*(1+$H$15)+G97*(1+$H$15)^0.5)</f>
        <v/>
      </c>
      <c r="J97" s="51">
        <f>IF(A97="","",J96*(1+$H$16)+G97*(1+$H$16)^0.5)</f>
        <v/>
      </c>
      <c r="K97" s="51">
        <f>IF(A97="","",K96*(1+IF($H$6=0,$H$15,INDEX($E$6:$E$25,MOD(A97-1,$H$6)+1)-$B$14))+G97*(1+IF($H$6=0,$H$15,INDEX($E$6:$E$25,MOD(A97-1,$H$6)+1)-$B$14))^0.5)</f>
        <v/>
      </c>
      <c r="L97" s="51">
        <f>IF(A97="","",I97/(1+$B$15)^A97)</f>
        <v/>
      </c>
      <c r="N97">
        <f>IF(A97="",NA(),C97)</f>
        <v/>
      </c>
      <c r="O97">
        <f>IF(A97="",NA(),H97)</f>
        <v/>
      </c>
      <c r="P97">
        <f>IF(A97="",NA(),I97)</f>
        <v/>
      </c>
      <c r="Q97">
        <f>IF(A97="",NA(),J97)</f>
        <v/>
      </c>
      <c r="R97">
        <f>IF(A97="",NA(),K97)</f>
        <v/>
      </c>
    </row>
    <row r="98">
      <c r="A98" s="129">
        <f>IF(A97="","",IF($B$5+A97+1&gt;$B$6,"",A97+1))</f>
        <v/>
      </c>
      <c r="B98" s="129">
        <f>IF(A98="","",$B$16+A98)</f>
        <v/>
      </c>
      <c r="C98" s="129">
        <f>IF(A98="","",$B$5+A98)</f>
        <v/>
      </c>
      <c r="D98" s="51">
        <f>IF(A98="","",$B$8*(1+$B$9)^(A98-1))</f>
        <v/>
      </c>
      <c r="E98" s="51">
        <f>IF(A98="","",IF($B$21="Yes",MIN(D98*$B$10,ROUND($B$17*(1+$B$20)^(A98-1)/500,0)*500+IF(AND(C98&gt;=60,C98&lt;=63),ROUND($B$19*(1+$B$20)^(A98-1)/500,0)*500,IF(C98&gt;=50,ROUND($B$18*(1+$B$20)^(A98-1)/500,0)*500,0))),D98*$B$10))</f>
        <v/>
      </c>
      <c r="F98" s="51">
        <f>IF(A98="","",MIN(E98,D98*$B$12)*$B$11+D98*$B$13)</f>
        <v/>
      </c>
      <c r="G98" s="51">
        <f>IF(A98="","",E98+F98)</f>
        <v/>
      </c>
      <c r="H98" s="51">
        <f>IF(A98="","",H97*(1+$H$14)+G98*(1+$H$14)^0.5)</f>
        <v/>
      </c>
      <c r="I98" s="130">
        <f>IF(A98="","",I97*(1+$H$15)+G98*(1+$H$15)^0.5)</f>
        <v/>
      </c>
      <c r="J98" s="51">
        <f>IF(A98="","",J97*(1+$H$16)+G98*(1+$H$16)^0.5)</f>
        <v/>
      </c>
      <c r="K98" s="51">
        <f>IF(A98="","",K97*(1+IF($H$6=0,$H$15,INDEX($E$6:$E$25,MOD(A98-1,$H$6)+1)-$B$14))+G98*(1+IF($H$6=0,$H$15,INDEX($E$6:$E$25,MOD(A98-1,$H$6)+1)-$B$14))^0.5)</f>
        <v/>
      </c>
      <c r="L98" s="51">
        <f>IF(A98="","",I98/(1+$B$15)^A98)</f>
        <v/>
      </c>
      <c r="N98">
        <f>IF(A98="",NA(),C98)</f>
        <v/>
      </c>
      <c r="O98">
        <f>IF(A98="",NA(),H98)</f>
        <v/>
      </c>
      <c r="P98">
        <f>IF(A98="",NA(),I98)</f>
        <v/>
      </c>
      <c r="Q98">
        <f>IF(A98="",NA(),J98)</f>
        <v/>
      </c>
      <c r="R98">
        <f>IF(A98="",NA(),K98)</f>
        <v/>
      </c>
    </row>
    <row r="99">
      <c r="A99" s="129">
        <f>IF(A98="","",IF($B$5+A98+1&gt;$B$6,"",A98+1))</f>
        <v/>
      </c>
      <c r="B99" s="129">
        <f>IF(A99="","",$B$16+A99)</f>
        <v/>
      </c>
      <c r="C99" s="129">
        <f>IF(A99="","",$B$5+A99)</f>
        <v/>
      </c>
      <c r="D99" s="51">
        <f>IF(A99="","",$B$8*(1+$B$9)^(A99-1))</f>
        <v/>
      </c>
      <c r="E99" s="51">
        <f>IF(A99="","",IF($B$21="Yes",MIN(D99*$B$10,ROUND($B$17*(1+$B$20)^(A99-1)/500,0)*500+IF(AND(C99&gt;=60,C99&lt;=63),ROUND($B$19*(1+$B$20)^(A99-1)/500,0)*500,IF(C99&gt;=50,ROUND($B$18*(1+$B$20)^(A99-1)/500,0)*500,0))),D99*$B$10))</f>
        <v/>
      </c>
      <c r="F99" s="51">
        <f>IF(A99="","",MIN(E99,D99*$B$12)*$B$11+D99*$B$13)</f>
        <v/>
      </c>
      <c r="G99" s="51">
        <f>IF(A99="","",E99+F99)</f>
        <v/>
      </c>
      <c r="H99" s="51">
        <f>IF(A99="","",H98*(1+$H$14)+G99*(1+$H$14)^0.5)</f>
        <v/>
      </c>
      <c r="I99" s="130">
        <f>IF(A99="","",I98*(1+$H$15)+G99*(1+$H$15)^0.5)</f>
        <v/>
      </c>
      <c r="J99" s="51">
        <f>IF(A99="","",J98*(1+$H$16)+G99*(1+$H$16)^0.5)</f>
        <v/>
      </c>
      <c r="K99" s="51">
        <f>IF(A99="","",K98*(1+IF($H$6=0,$H$15,INDEX($E$6:$E$25,MOD(A99-1,$H$6)+1)-$B$14))+G99*(1+IF($H$6=0,$H$15,INDEX($E$6:$E$25,MOD(A99-1,$H$6)+1)-$B$14))^0.5)</f>
        <v/>
      </c>
      <c r="L99" s="51">
        <f>IF(A99="","",I99/(1+$B$15)^A99)</f>
        <v/>
      </c>
      <c r="N99">
        <f>IF(A99="",NA(),C99)</f>
        <v/>
      </c>
      <c r="O99">
        <f>IF(A99="",NA(),H99)</f>
        <v/>
      </c>
      <c r="P99">
        <f>IF(A99="",NA(),I99)</f>
        <v/>
      </c>
      <c r="Q99">
        <f>IF(A99="",NA(),J99)</f>
        <v/>
      </c>
      <c r="R99">
        <f>IF(A99="",NA(),K99)</f>
        <v/>
      </c>
    </row>
    <row r="100">
      <c r="A100" s="129">
        <f>IF(A99="","",IF($B$5+A99+1&gt;$B$6,"",A99+1))</f>
        <v/>
      </c>
      <c r="B100" s="129">
        <f>IF(A100="","",$B$16+A100)</f>
        <v/>
      </c>
      <c r="C100" s="129">
        <f>IF(A100="","",$B$5+A100)</f>
        <v/>
      </c>
      <c r="D100" s="51">
        <f>IF(A100="","",$B$8*(1+$B$9)^(A100-1))</f>
        <v/>
      </c>
      <c r="E100" s="51">
        <f>IF(A100="","",IF($B$21="Yes",MIN(D100*$B$10,ROUND($B$17*(1+$B$20)^(A100-1)/500,0)*500+IF(AND(C100&gt;=60,C100&lt;=63),ROUND($B$19*(1+$B$20)^(A100-1)/500,0)*500,IF(C100&gt;=50,ROUND($B$18*(1+$B$20)^(A100-1)/500,0)*500,0))),D100*$B$10))</f>
        <v/>
      </c>
      <c r="F100" s="51">
        <f>IF(A100="","",MIN(E100,D100*$B$12)*$B$11+D100*$B$13)</f>
        <v/>
      </c>
      <c r="G100" s="51">
        <f>IF(A100="","",E100+F100)</f>
        <v/>
      </c>
      <c r="H100" s="51">
        <f>IF(A100="","",H99*(1+$H$14)+G100*(1+$H$14)^0.5)</f>
        <v/>
      </c>
      <c r="I100" s="130">
        <f>IF(A100="","",I99*(1+$H$15)+G100*(1+$H$15)^0.5)</f>
        <v/>
      </c>
      <c r="J100" s="51">
        <f>IF(A100="","",J99*(1+$H$16)+G100*(1+$H$16)^0.5)</f>
        <v/>
      </c>
      <c r="K100" s="51">
        <f>IF(A100="","",K99*(1+IF($H$6=0,$H$15,INDEX($E$6:$E$25,MOD(A100-1,$H$6)+1)-$B$14))+G100*(1+IF($H$6=0,$H$15,INDEX($E$6:$E$25,MOD(A100-1,$H$6)+1)-$B$14))^0.5)</f>
        <v/>
      </c>
      <c r="L100" s="51">
        <f>IF(A100="","",I100/(1+$B$15)^A100)</f>
        <v/>
      </c>
      <c r="N100">
        <f>IF(A100="",NA(),C100)</f>
        <v/>
      </c>
      <c r="O100">
        <f>IF(A100="",NA(),H100)</f>
        <v/>
      </c>
      <c r="P100">
        <f>IF(A100="",NA(),I100)</f>
        <v/>
      </c>
      <c r="Q100">
        <f>IF(A100="",NA(),J100)</f>
        <v/>
      </c>
      <c r="R100">
        <f>IF(A100="",NA(),K100)</f>
        <v/>
      </c>
    </row>
    <row r="101">
      <c r="A101" s="129">
        <f>IF(A100="","",IF($B$5+A100+1&gt;$B$6,"",A100+1))</f>
        <v/>
      </c>
      <c r="B101" s="129">
        <f>IF(A101="","",$B$16+A101)</f>
        <v/>
      </c>
      <c r="C101" s="129">
        <f>IF(A101="","",$B$5+A101)</f>
        <v/>
      </c>
      <c r="D101" s="51">
        <f>IF(A101="","",$B$8*(1+$B$9)^(A101-1))</f>
        <v/>
      </c>
      <c r="E101" s="51">
        <f>IF(A101="","",IF($B$21="Yes",MIN(D101*$B$10,ROUND($B$17*(1+$B$20)^(A101-1)/500,0)*500+IF(AND(C101&gt;=60,C101&lt;=63),ROUND($B$19*(1+$B$20)^(A101-1)/500,0)*500,IF(C101&gt;=50,ROUND($B$18*(1+$B$20)^(A101-1)/500,0)*500,0))),D101*$B$10))</f>
        <v/>
      </c>
      <c r="F101" s="51">
        <f>IF(A101="","",MIN(E101,D101*$B$12)*$B$11+D101*$B$13)</f>
        <v/>
      </c>
      <c r="G101" s="51">
        <f>IF(A101="","",E101+F101)</f>
        <v/>
      </c>
      <c r="H101" s="51">
        <f>IF(A101="","",H100*(1+$H$14)+G101*(1+$H$14)^0.5)</f>
        <v/>
      </c>
      <c r="I101" s="130">
        <f>IF(A101="","",I100*(1+$H$15)+G101*(1+$H$15)^0.5)</f>
        <v/>
      </c>
      <c r="J101" s="51">
        <f>IF(A101="","",J100*(1+$H$16)+G101*(1+$H$16)^0.5)</f>
        <v/>
      </c>
      <c r="K101" s="51">
        <f>IF(A101="","",K100*(1+IF($H$6=0,$H$15,INDEX($E$6:$E$25,MOD(A101-1,$H$6)+1)-$B$14))+G101*(1+IF($H$6=0,$H$15,INDEX($E$6:$E$25,MOD(A101-1,$H$6)+1)-$B$14))^0.5)</f>
        <v/>
      </c>
      <c r="L101" s="51">
        <f>IF(A101="","",I101/(1+$B$15)^A101)</f>
        <v/>
      </c>
      <c r="N101">
        <f>IF(A101="",NA(),C101)</f>
        <v/>
      </c>
      <c r="O101">
        <f>IF(A101="",NA(),H101)</f>
        <v/>
      </c>
      <c r="P101">
        <f>IF(A101="",NA(),I101)</f>
        <v/>
      </c>
      <c r="Q101">
        <f>IF(A101="",NA(),J101)</f>
        <v/>
      </c>
      <c r="R101">
        <f>IF(A101="",NA(),K101)</f>
        <v/>
      </c>
    </row>
    <row r="102">
      <c r="A102" s="129">
        <f>IF(A101="","",IF($B$5+A101+1&gt;$B$6,"",A101+1))</f>
        <v/>
      </c>
      <c r="B102" s="129">
        <f>IF(A102="","",$B$16+A102)</f>
        <v/>
      </c>
      <c r="C102" s="129">
        <f>IF(A102="","",$B$5+A102)</f>
        <v/>
      </c>
      <c r="D102" s="51">
        <f>IF(A102="","",$B$8*(1+$B$9)^(A102-1))</f>
        <v/>
      </c>
      <c r="E102" s="51">
        <f>IF(A102="","",IF($B$21="Yes",MIN(D102*$B$10,ROUND($B$17*(1+$B$20)^(A102-1)/500,0)*500+IF(AND(C102&gt;=60,C102&lt;=63),ROUND($B$19*(1+$B$20)^(A102-1)/500,0)*500,IF(C102&gt;=50,ROUND($B$18*(1+$B$20)^(A102-1)/500,0)*500,0))),D102*$B$10))</f>
        <v/>
      </c>
      <c r="F102" s="51">
        <f>IF(A102="","",MIN(E102,D102*$B$12)*$B$11+D102*$B$13)</f>
        <v/>
      </c>
      <c r="G102" s="51">
        <f>IF(A102="","",E102+F102)</f>
        <v/>
      </c>
      <c r="H102" s="51">
        <f>IF(A102="","",H101*(1+$H$14)+G102*(1+$H$14)^0.5)</f>
        <v/>
      </c>
      <c r="I102" s="130">
        <f>IF(A102="","",I101*(1+$H$15)+G102*(1+$H$15)^0.5)</f>
        <v/>
      </c>
      <c r="J102" s="51">
        <f>IF(A102="","",J101*(1+$H$16)+G102*(1+$H$16)^0.5)</f>
        <v/>
      </c>
      <c r="K102" s="51">
        <f>IF(A102="","",K101*(1+IF($H$6=0,$H$15,INDEX($E$6:$E$25,MOD(A102-1,$H$6)+1)-$B$14))+G102*(1+IF($H$6=0,$H$15,INDEX($E$6:$E$25,MOD(A102-1,$H$6)+1)-$B$14))^0.5)</f>
        <v/>
      </c>
      <c r="L102" s="51">
        <f>IF(A102="","",I102/(1+$B$15)^A102)</f>
        <v/>
      </c>
      <c r="N102">
        <f>IF(A102="",NA(),C102)</f>
        <v/>
      </c>
      <c r="O102">
        <f>IF(A102="",NA(),H102)</f>
        <v/>
      </c>
      <c r="P102">
        <f>IF(A102="",NA(),I102)</f>
        <v/>
      </c>
      <c r="Q102">
        <f>IF(A102="",NA(),J102)</f>
        <v/>
      </c>
      <c r="R102">
        <f>IF(A102="",NA(),K102)</f>
        <v/>
      </c>
    </row>
  </sheetData>
  <mergeCells count="1">
    <mergeCell ref="D26:E28"/>
  </mergeCells>
  <dataValidations count="2">
    <dataValidation sqref="B21" showDropDown="0" showInputMessage="0" showErrorMessage="1" allowBlank="1" errorTitle="Not in the list" error="Pick a value from the dropdown." type="list" errorStyle="stop">
      <formula1>=lst_YesNo</formula1>
    </dataValidation>
    <dataValidation sqref="B5:B6" showDropDown="0" showInputMessage="0" showErrorMessage="1" allowBlank="1" error="Enter a value from 16 to 100." type="whole" operator="between">
      <formula1>16</formula1>
      <formula2>100</formula2>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legacyDrawing xmlns:r="http://schemas.openxmlformats.org/officeDocument/2006/relationships" r:id="anysvml"/>
</worksheet>
</file>

<file path=xl/worksheets/sheet14.xml><?xml version="1.0" encoding="utf-8"?>
<worksheet xmlns="http://schemas.openxmlformats.org/spreadsheetml/2006/main">
  <sheetPr codeName="shRetire">
    <tabColor rgb="007C3AED"/>
    <outlinePr summaryBelow="1" summaryRight="1"/>
    <pageSetUpPr fitToPage="1"/>
  </sheetPr>
  <dimension ref="A1:N82"/>
  <sheetViews>
    <sheetView showGridLines="0" tabSelected="0" zoomScale="100" workbookViewId="0">
      <pane ySplit="3" topLeftCell="A4" activePane="bottomLeft" state="frozen"/>
      <selection pane="bottomLeft" activeCell="A1" sqref="A1"/>
    </sheetView>
  </sheetViews>
  <sheetFormatPr baseColWidth="8" defaultRowHeight="15"/>
  <cols>
    <col width="44" customWidth="1" min="1" max="1"/>
    <col width="14" customWidth="1" min="2" max="2"/>
    <col width="14" customWidth="1" min="3" max="3"/>
    <col width="38" customWidth="1" min="4" max="4"/>
    <col width="16" customWidth="1" min="5" max="5"/>
    <col width="14" customWidth="1" min="6" max="6"/>
    <col width="16" customWidth="1" min="7" max="7"/>
    <col width="13" customWidth="1" min="8" max="8"/>
    <col width="14" customWidth="1" min="9" max="9"/>
    <col width="11" customWidth="1" min="10" max="10"/>
    <col width="13" customWidth="1" min="11" max="11"/>
    <col hidden="1" width="13" customWidth="1" min="12" max="12"/>
    <col hidden="1" width="13" customWidth="1" min="13" max="13"/>
    <col hidden="1"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Retirement Planner</t>
        </is>
      </c>
    </row>
    <row r="2" ht="20" customHeight="1">
      <c r="A2" s="61" t="inlineStr">
        <is>
          <t>Will your savings, Social Security and any pension cover the life you want? Blue cells come from the 401(k) tab; type over them to change.</t>
        </is>
      </c>
      <c r="B2" s="2" t="n"/>
      <c r="C2" s="2" t="n"/>
      <c r="D2" s="2" t="n"/>
      <c r="E2" s="2" t="n"/>
      <c r="F2" s="2" t="n"/>
      <c r="G2" s="2" t="n"/>
      <c r="H2" s="2" t="n"/>
      <c r="I2" s="2" t="n"/>
      <c r="J2" s="2" t="n"/>
    </row>
    <row r="4" ht="24" customHeight="1">
      <c r="A4" s="4" t="inlineStr">
        <is>
          <t>YOUR ASSUMPTIONS</t>
        </is>
      </c>
      <c r="B4" s="2" t="n"/>
      <c r="D4" s="4" t="inlineStr">
        <is>
          <t>RESULTS</t>
        </is>
      </c>
      <c r="E4" s="2" t="n"/>
    </row>
    <row r="5">
      <c r="A5" s="11" t="inlineStr">
        <is>
          <t>Current age</t>
        </is>
      </c>
      <c r="B5" s="131">
        <f>'401(k)'!B5</f>
        <v/>
      </c>
      <c r="D5" s="11" t="inlineStr">
        <is>
          <t>Years until retirement</t>
        </is>
      </c>
      <c r="E5" s="68">
        <f>MAX(0,B6-B5)</f>
        <v/>
      </c>
    </row>
    <row r="6">
      <c r="A6" s="11" t="inlineStr">
        <is>
          <t>Retirement age</t>
        </is>
      </c>
      <c r="B6" s="131">
        <f>'401(k)'!B6</f>
        <v/>
      </c>
      <c r="D6" s="11" t="inlineStr">
        <is>
          <t>401(k) at retirement (expected)</t>
        </is>
      </c>
      <c r="E6" s="58">
        <f>'401(k)'!H21</f>
        <v/>
      </c>
    </row>
    <row r="7">
      <c r="A7" s="11" t="inlineStr">
        <is>
          <t>Plan for money to last until age</t>
        </is>
      </c>
      <c r="B7" s="118" t="n">
        <v>95</v>
      </c>
      <c r="D7" s="11" t="inlineStr">
        <is>
          <t>Other savings at retirement</t>
        </is>
      </c>
      <c r="E7" s="58">
        <f>FV(B10,E5,-B17,-B16)</f>
        <v/>
      </c>
    </row>
    <row r="8">
      <c r="A8" s="11" t="inlineStr">
        <is>
          <t>Yearly spending in retirement (today's $)</t>
        </is>
      </c>
      <c r="B8" s="111" t="n">
        <v>70000</v>
      </c>
      <c r="D8" s="20" t="inlineStr">
        <is>
          <t>Total savings at retirement</t>
        </is>
      </c>
      <c r="E8" s="59">
        <f>E6+E7</f>
        <v/>
      </c>
    </row>
    <row r="9">
      <c r="A9" s="11" t="inlineStr">
        <is>
          <t>Inflation</t>
        </is>
      </c>
      <c r="B9" s="132">
        <f>'401(k)'!B15</f>
        <v/>
      </c>
      <c r="D9" s="11" t="inlineStr">
        <is>
          <t>Spending in the first year (future $)</t>
        </is>
      </c>
      <c r="E9" s="58">
        <f>B8*(1+B9)^E5</f>
        <v/>
      </c>
    </row>
    <row r="10">
      <c r="A10" s="11" t="inlineStr">
        <is>
          <t>Return before retirement</t>
        </is>
      </c>
      <c r="B10" s="132">
        <f>'401(k)'!H15</f>
        <v/>
      </c>
      <c r="D10" s="11" t="inlineStr">
        <is>
          <t>Social Security in the first year</t>
        </is>
      </c>
      <c r="E10" s="58">
        <f>IF(B6&gt;=B13,B12*12*(1+B9)^E5,0)</f>
        <v/>
      </c>
    </row>
    <row r="11">
      <c r="A11" s="11" t="inlineStr">
        <is>
          <t>Return during retirement</t>
        </is>
      </c>
      <c r="B11" s="125" t="n">
        <v>0.05</v>
      </c>
      <c r="D11" s="11" t="inlineStr">
        <is>
          <t>Pension in the first year</t>
        </is>
      </c>
      <c r="E11" s="58">
        <f>IF(B6&gt;=B15,B14*(1+B9)^E5,0)</f>
        <v/>
      </c>
    </row>
    <row r="12">
      <c r="A12" s="11" t="inlineStr">
        <is>
          <t>Social Security per month (today's $)</t>
        </is>
      </c>
      <c r="B12" s="111" t="n">
        <v>2400</v>
      </c>
      <c r="D12" s="11" t="inlineStr">
        <is>
          <t>Withdrawal in the first year (incl. tax)</t>
        </is>
      </c>
      <c r="E12" s="58">
        <f>G23</f>
        <v/>
      </c>
    </row>
    <row r="13">
      <c r="A13" s="11" t="inlineStr">
        <is>
          <t>Social Security starts at age</t>
        </is>
      </c>
      <c r="B13" s="118" t="n">
        <v>67</v>
      </c>
      <c r="D13" s="20" t="inlineStr">
        <is>
          <t>Savings needed at retirement</t>
        </is>
      </c>
      <c r="E13" s="59">
        <f>SUM(N23:N82)</f>
        <v/>
      </c>
    </row>
    <row r="14">
      <c r="A14" s="11" t="inlineStr">
        <is>
          <t>Pension or other income per year (today's $)</t>
        </is>
      </c>
      <c r="B14" s="111" t="n">
        <v>0</v>
      </c>
      <c r="D14" s="11" t="inlineStr">
        <is>
          <t>Rule-of-thumb estimate</t>
        </is>
      </c>
      <c r="E14" s="58">
        <f>IF(B19=0,0,E12/B19)</f>
        <v/>
      </c>
    </row>
    <row r="15">
      <c r="A15" s="11" t="inlineStr">
        <is>
          <t>Pension starts at age</t>
        </is>
      </c>
      <c r="B15" s="118" t="n">
        <v>65</v>
      </c>
      <c r="D15" s="20" t="inlineStr">
        <is>
          <t>Surplus / (shortfall)</t>
        </is>
      </c>
      <c r="E15" s="59">
        <f>E8-E13</f>
        <v/>
      </c>
    </row>
    <row r="16">
      <c r="A16" s="11" t="inlineStr">
        <is>
          <t>Other retirement savings today (IRA, HSA...)</t>
        </is>
      </c>
      <c r="B16" s="133">
        <f>SUMIFS(Accounts!$M:$M,Accounts!$C:$C,"IRA")+SUMIFS(Accounts!$M:$M,Accounts!$C:$C,"HSA")</f>
        <v/>
      </c>
      <c r="D16" s="20" t="inlineStr">
        <is>
          <t>On track</t>
        </is>
      </c>
      <c r="E16" s="104">
        <f>IF(E13=0,1,E8/E13)</f>
        <v/>
      </c>
    </row>
    <row r="17">
      <c r="A17" s="11" t="inlineStr">
        <is>
          <t>Added to other savings each year</t>
        </is>
      </c>
      <c r="B17" s="111" t="n">
        <v>6000</v>
      </c>
      <c r="D17" s="11" t="inlineStr">
        <is>
          <t>Extra saving needed per month</t>
        </is>
      </c>
      <c r="E17" s="58">
        <f>IF(E15&gt;=0,0,PMT(B10/12,MAX(1,E5*12),0,E15))</f>
        <v/>
      </c>
    </row>
    <row r="18">
      <c r="A18" s="11" t="inlineStr">
        <is>
          <t>Tax rate on withdrawals</t>
        </is>
      </c>
      <c r="B18" s="125" t="n">
        <v>0.12</v>
      </c>
      <c r="D18" s="20" t="inlineStr">
        <is>
          <t>Money lasts</t>
        </is>
      </c>
      <c r="E18" s="134">
        <f>IF(COUNTIF(J23:J82,"Short")=0,"to age "&amp;B7&amp;" and beyond","until about age "&amp;(INDEX(A23:A82,MATCH("Short",J23:J82,0))-1))</f>
        <v/>
      </c>
    </row>
    <row r="19">
      <c r="A19" s="11" t="inlineStr">
        <is>
          <t>Withdrawal rule of thumb</t>
        </is>
      </c>
      <c r="B19" s="125" t="n">
        <v>0.04</v>
      </c>
    </row>
    <row r="21" ht="24" customHeight="1">
      <c r="A21" s="4" t="inlineStr">
        <is>
          <t>YEAR BY YEAR IN RETIREMENT</t>
        </is>
      </c>
      <c r="B21" s="2" t="n"/>
      <c r="C21" s="2" t="n"/>
      <c r="D21" s="2" t="n"/>
      <c r="E21" s="2" t="n"/>
      <c r="F21" s="2" t="n"/>
      <c r="G21" s="2" t="n"/>
      <c r="H21" s="2" t="n"/>
      <c r="I21" s="2" t="n"/>
      <c r="J21" s="2" t="n"/>
    </row>
    <row r="22" ht="32" customHeight="1">
      <c r="A22" s="38" t="inlineStr">
        <is>
          <t>Age</t>
        </is>
      </c>
      <c r="B22" s="38" t="inlineStr">
        <is>
          <t>Year</t>
        </is>
      </c>
      <c r="C22" s="38" t="inlineStr">
        <is>
          <t>Start Balance</t>
        </is>
      </c>
      <c r="D22" s="38" t="inlineStr">
        <is>
          <t>Spending Need</t>
        </is>
      </c>
      <c r="E22" s="38" t="inlineStr">
        <is>
          <t>Social Security</t>
        </is>
      </c>
      <c r="F22" s="38" t="inlineStr">
        <is>
          <t>Pension / Other</t>
        </is>
      </c>
      <c r="G22" s="38" t="inlineStr">
        <is>
          <t>Withdrawal (incl. tax)</t>
        </is>
      </c>
      <c r="H22" s="38" t="inlineStr">
        <is>
          <t>Growth</t>
        </is>
      </c>
      <c r="I22" s="38" t="inlineStr">
        <is>
          <t>End Balance</t>
        </is>
      </c>
      <c r="J22" s="35" t="inlineStr">
        <is>
          <t>Covered?</t>
        </is>
      </c>
    </row>
    <row r="23">
      <c r="A23" s="129">
        <f>B6</f>
        <v/>
      </c>
      <c r="B23" s="129">
        <f>IF(A23="","",'401(k)'!$B$16+A23-$B$5)</f>
        <v/>
      </c>
      <c r="C23" s="51">
        <f>E8</f>
        <v/>
      </c>
      <c r="D23" s="51">
        <f>IF(A23="","",$B$8*(1+$B$9)^(A23-$B$5))</f>
        <v/>
      </c>
      <c r="E23" s="51">
        <f>IF(A23="","",IF(A23&gt;=$B$13,$B$12*12*(1+$B$9)^(A23-$B$5),0))</f>
        <v/>
      </c>
      <c r="F23" s="51">
        <f>IF(A23="","",IF(A23&gt;=$B$15,$B$14*(1+$B$9)^(A23-$B$5),0))</f>
        <v/>
      </c>
      <c r="G23" s="51">
        <f>IF(A23="","",MAX(0,D23-E23-F23)/(1-$B$18))</f>
        <v/>
      </c>
      <c r="H23" s="51">
        <f>IF(A23="","",MAX(0,C23-G23)*$B$11)</f>
        <v/>
      </c>
      <c r="I23" s="51">
        <f>IF(A23="","",MAX(0,C23-G23+H23))</f>
        <v/>
      </c>
      <c r="J23" s="121">
        <f>IF(A23="","",IF(C23-G23&gt;=0,"Yes","Short"))</f>
        <v/>
      </c>
      <c r="L23">
        <f>IF(A23="",NA(),A23)</f>
        <v/>
      </c>
      <c r="M23">
        <f>IF(A23="",NA(),I23)</f>
        <v/>
      </c>
      <c r="N23">
        <f>IF(A23="",0,G23/(1+$B$11)^(A23-$B$6))</f>
        <v/>
      </c>
    </row>
    <row r="24">
      <c r="A24" s="129">
        <f>IF(A23="","",IF(A23+1&gt;$B$7,"",A23+1))</f>
        <v/>
      </c>
      <c r="B24" s="129">
        <f>IF(A24="","",'401(k)'!$B$16+A24-$B$5)</f>
        <v/>
      </c>
      <c r="C24" s="51">
        <f>IF(A24="","",I23)</f>
        <v/>
      </c>
      <c r="D24" s="51">
        <f>IF(A24="","",$B$8*(1+$B$9)^(A24-$B$5))</f>
        <v/>
      </c>
      <c r="E24" s="51">
        <f>IF(A24="","",IF(A24&gt;=$B$13,$B$12*12*(1+$B$9)^(A24-$B$5),0))</f>
        <v/>
      </c>
      <c r="F24" s="51">
        <f>IF(A24="","",IF(A24&gt;=$B$15,$B$14*(1+$B$9)^(A24-$B$5),0))</f>
        <v/>
      </c>
      <c r="G24" s="51">
        <f>IF(A24="","",MAX(0,D24-E24-F24)/(1-$B$18))</f>
        <v/>
      </c>
      <c r="H24" s="51">
        <f>IF(A24="","",MAX(0,C24-G24)*$B$11)</f>
        <v/>
      </c>
      <c r="I24" s="51">
        <f>IF(A24="","",MAX(0,C24-G24+H24))</f>
        <v/>
      </c>
      <c r="J24" s="121">
        <f>IF(A24="","",IF(C24-G24&gt;=0,"Yes","Short"))</f>
        <v/>
      </c>
      <c r="L24">
        <f>IF(A24="",NA(),A24)</f>
        <v/>
      </c>
      <c r="M24">
        <f>IF(A24="",NA(),I24)</f>
        <v/>
      </c>
      <c r="N24">
        <f>IF(A24="",0,G24/(1+$B$11)^(A24-$B$6))</f>
        <v/>
      </c>
    </row>
    <row r="25">
      <c r="A25" s="129">
        <f>IF(A24="","",IF(A24+1&gt;$B$7,"",A24+1))</f>
        <v/>
      </c>
      <c r="B25" s="129">
        <f>IF(A25="","",'401(k)'!$B$16+A25-$B$5)</f>
        <v/>
      </c>
      <c r="C25" s="51">
        <f>IF(A25="","",I24)</f>
        <v/>
      </c>
      <c r="D25" s="51">
        <f>IF(A25="","",$B$8*(1+$B$9)^(A25-$B$5))</f>
        <v/>
      </c>
      <c r="E25" s="51">
        <f>IF(A25="","",IF(A25&gt;=$B$13,$B$12*12*(1+$B$9)^(A25-$B$5),0))</f>
        <v/>
      </c>
      <c r="F25" s="51">
        <f>IF(A25="","",IF(A25&gt;=$B$15,$B$14*(1+$B$9)^(A25-$B$5),0))</f>
        <v/>
      </c>
      <c r="G25" s="51">
        <f>IF(A25="","",MAX(0,D25-E25-F25)/(1-$B$18))</f>
        <v/>
      </c>
      <c r="H25" s="51">
        <f>IF(A25="","",MAX(0,C25-G25)*$B$11)</f>
        <v/>
      </c>
      <c r="I25" s="51">
        <f>IF(A25="","",MAX(0,C25-G25+H25))</f>
        <v/>
      </c>
      <c r="J25" s="121">
        <f>IF(A25="","",IF(C25-G25&gt;=0,"Yes","Short"))</f>
        <v/>
      </c>
      <c r="L25">
        <f>IF(A25="",NA(),A25)</f>
        <v/>
      </c>
      <c r="M25">
        <f>IF(A25="",NA(),I25)</f>
        <v/>
      </c>
      <c r="N25">
        <f>IF(A25="",0,G25/(1+$B$11)^(A25-$B$6))</f>
        <v/>
      </c>
    </row>
    <row r="26">
      <c r="A26" s="129">
        <f>IF(A25="","",IF(A25+1&gt;$B$7,"",A25+1))</f>
        <v/>
      </c>
      <c r="B26" s="129">
        <f>IF(A26="","",'401(k)'!$B$16+A26-$B$5)</f>
        <v/>
      </c>
      <c r="C26" s="51">
        <f>IF(A26="","",I25)</f>
        <v/>
      </c>
      <c r="D26" s="51">
        <f>IF(A26="","",$B$8*(1+$B$9)^(A26-$B$5))</f>
        <v/>
      </c>
      <c r="E26" s="51">
        <f>IF(A26="","",IF(A26&gt;=$B$13,$B$12*12*(1+$B$9)^(A26-$B$5),0))</f>
        <v/>
      </c>
      <c r="F26" s="51">
        <f>IF(A26="","",IF(A26&gt;=$B$15,$B$14*(1+$B$9)^(A26-$B$5),0))</f>
        <v/>
      </c>
      <c r="G26" s="51">
        <f>IF(A26="","",MAX(0,D26-E26-F26)/(1-$B$18))</f>
        <v/>
      </c>
      <c r="H26" s="51">
        <f>IF(A26="","",MAX(0,C26-G26)*$B$11)</f>
        <v/>
      </c>
      <c r="I26" s="51">
        <f>IF(A26="","",MAX(0,C26-G26+H26))</f>
        <v/>
      </c>
      <c r="J26" s="121">
        <f>IF(A26="","",IF(C26-G26&gt;=0,"Yes","Short"))</f>
        <v/>
      </c>
      <c r="L26">
        <f>IF(A26="",NA(),A26)</f>
        <v/>
      </c>
      <c r="M26">
        <f>IF(A26="",NA(),I26)</f>
        <v/>
      </c>
      <c r="N26">
        <f>IF(A26="",0,G26/(1+$B$11)^(A26-$B$6))</f>
        <v/>
      </c>
    </row>
    <row r="27">
      <c r="A27" s="129">
        <f>IF(A26="","",IF(A26+1&gt;$B$7,"",A26+1))</f>
        <v/>
      </c>
      <c r="B27" s="129">
        <f>IF(A27="","",'401(k)'!$B$16+A27-$B$5)</f>
        <v/>
      </c>
      <c r="C27" s="51">
        <f>IF(A27="","",I26)</f>
        <v/>
      </c>
      <c r="D27" s="51">
        <f>IF(A27="","",$B$8*(1+$B$9)^(A27-$B$5))</f>
        <v/>
      </c>
      <c r="E27" s="51">
        <f>IF(A27="","",IF(A27&gt;=$B$13,$B$12*12*(1+$B$9)^(A27-$B$5),0))</f>
        <v/>
      </c>
      <c r="F27" s="51">
        <f>IF(A27="","",IF(A27&gt;=$B$15,$B$14*(1+$B$9)^(A27-$B$5),0))</f>
        <v/>
      </c>
      <c r="G27" s="51">
        <f>IF(A27="","",MAX(0,D27-E27-F27)/(1-$B$18))</f>
        <v/>
      </c>
      <c r="H27" s="51">
        <f>IF(A27="","",MAX(0,C27-G27)*$B$11)</f>
        <v/>
      </c>
      <c r="I27" s="51">
        <f>IF(A27="","",MAX(0,C27-G27+H27))</f>
        <v/>
      </c>
      <c r="J27" s="121">
        <f>IF(A27="","",IF(C27-G27&gt;=0,"Yes","Short"))</f>
        <v/>
      </c>
      <c r="L27">
        <f>IF(A27="",NA(),A27)</f>
        <v/>
      </c>
      <c r="M27">
        <f>IF(A27="",NA(),I27)</f>
        <v/>
      </c>
      <c r="N27">
        <f>IF(A27="",0,G27/(1+$B$11)^(A27-$B$6))</f>
        <v/>
      </c>
    </row>
    <row r="28">
      <c r="A28" s="129">
        <f>IF(A27="","",IF(A27+1&gt;$B$7,"",A27+1))</f>
        <v/>
      </c>
      <c r="B28" s="129">
        <f>IF(A28="","",'401(k)'!$B$16+A28-$B$5)</f>
        <v/>
      </c>
      <c r="C28" s="51">
        <f>IF(A28="","",I27)</f>
        <v/>
      </c>
      <c r="D28" s="51">
        <f>IF(A28="","",$B$8*(1+$B$9)^(A28-$B$5))</f>
        <v/>
      </c>
      <c r="E28" s="51">
        <f>IF(A28="","",IF(A28&gt;=$B$13,$B$12*12*(1+$B$9)^(A28-$B$5),0))</f>
        <v/>
      </c>
      <c r="F28" s="51">
        <f>IF(A28="","",IF(A28&gt;=$B$15,$B$14*(1+$B$9)^(A28-$B$5),0))</f>
        <v/>
      </c>
      <c r="G28" s="51">
        <f>IF(A28="","",MAX(0,D28-E28-F28)/(1-$B$18))</f>
        <v/>
      </c>
      <c r="H28" s="51">
        <f>IF(A28="","",MAX(0,C28-G28)*$B$11)</f>
        <v/>
      </c>
      <c r="I28" s="51">
        <f>IF(A28="","",MAX(0,C28-G28+H28))</f>
        <v/>
      </c>
      <c r="J28" s="121">
        <f>IF(A28="","",IF(C28-G28&gt;=0,"Yes","Short"))</f>
        <v/>
      </c>
      <c r="L28">
        <f>IF(A28="",NA(),A28)</f>
        <v/>
      </c>
      <c r="M28">
        <f>IF(A28="",NA(),I28)</f>
        <v/>
      </c>
      <c r="N28">
        <f>IF(A28="",0,G28/(1+$B$11)^(A28-$B$6))</f>
        <v/>
      </c>
    </row>
    <row r="29">
      <c r="A29" s="129">
        <f>IF(A28="","",IF(A28+1&gt;$B$7,"",A28+1))</f>
        <v/>
      </c>
      <c r="B29" s="129">
        <f>IF(A29="","",'401(k)'!$B$16+A29-$B$5)</f>
        <v/>
      </c>
      <c r="C29" s="51">
        <f>IF(A29="","",I28)</f>
        <v/>
      </c>
      <c r="D29" s="51">
        <f>IF(A29="","",$B$8*(1+$B$9)^(A29-$B$5))</f>
        <v/>
      </c>
      <c r="E29" s="51">
        <f>IF(A29="","",IF(A29&gt;=$B$13,$B$12*12*(1+$B$9)^(A29-$B$5),0))</f>
        <v/>
      </c>
      <c r="F29" s="51">
        <f>IF(A29="","",IF(A29&gt;=$B$15,$B$14*(1+$B$9)^(A29-$B$5),0))</f>
        <v/>
      </c>
      <c r="G29" s="51">
        <f>IF(A29="","",MAX(0,D29-E29-F29)/(1-$B$18))</f>
        <v/>
      </c>
      <c r="H29" s="51">
        <f>IF(A29="","",MAX(0,C29-G29)*$B$11)</f>
        <v/>
      </c>
      <c r="I29" s="51">
        <f>IF(A29="","",MAX(0,C29-G29+H29))</f>
        <v/>
      </c>
      <c r="J29" s="121">
        <f>IF(A29="","",IF(C29-G29&gt;=0,"Yes","Short"))</f>
        <v/>
      </c>
      <c r="L29">
        <f>IF(A29="",NA(),A29)</f>
        <v/>
      </c>
      <c r="M29">
        <f>IF(A29="",NA(),I29)</f>
        <v/>
      </c>
      <c r="N29">
        <f>IF(A29="",0,G29/(1+$B$11)^(A29-$B$6))</f>
        <v/>
      </c>
    </row>
    <row r="30">
      <c r="A30" s="129">
        <f>IF(A29="","",IF(A29+1&gt;$B$7,"",A29+1))</f>
        <v/>
      </c>
      <c r="B30" s="129">
        <f>IF(A30="","",'401(k)'!$B$16+A30-$B$5)</f>
        <v/>
      </c>
      <c r="C30" s="51">
        <f>IF(A30="","",I29)</f>
        <v/>
      </c>
      <c r="D30" s="51">
        <f>IF(A30="","",$B$8*(1+$B$9)^(A30-$B$5))</f>
        <v/>
      </c>
      <c r="E30" s="51">
        <f>IF(A30="","",IF(A30&gt;=$B$13,$B$12*12*(1+$B$9)^(A30-$B$5),0))</f>
        <v/>
      </c>
      <c r="F30" s="51">
        <f>IF(A30="","",IF(A30&gt;=$B$15,$B$14*(1+$B$9)^(A30-$B$5),0))</f>
        <v/>
      </c>
      <c r="G30" s="51">
        <f>IF(A30="","",MAX(0,D30-E30-F30)/(1-$B$18))</f>
        <v/>
      </c>
      <c r="H30" s="51">
        <f>IF(A30="","",MAX(0,C30-G30)*$B$11)</f>
        <v/>
      </c>
      <c r="I30" s="51">
        <f>IF(A30="","",MAX(0,C30-G30+H30))</f>
        <v/>
      </c>
      <c r="J30" s="121">
        <f>IF(A30="","",IF(C30-G30&gt;=0,"Yes","Short"))</f>
        <v/>
      </c>
      <c r="L30">
        <f>IF(A30="",NA(),A30)</f>
        <v/>
      </c>
      <c r="M30">
        <f>IF(A30="",NA(),I30)</f>
        <v/>
      </c>
      <c r="N30">
        <f>IF(A30="",0,G30/(1+$B$11)^(A30-$B$6))</f>
        <v/>
      </c>
    </row>
    <row r="31">
      <c r="A31" s="129">
        <f>IF(A30="","",IF(A30+1&gt;$B$7,"",A30+1))</f>
        <v/>
      </c>
      <c r="B31" s="129">
        <f>IF(A31="","",'401(k)'!$B$16+A31-$B$5)</f>
        <v/>
      </c>
      <c r="C31" s="51">
        <f>IF(A31="","",I30)</f>
        <v/>
      </c>
      <c r="D31" s="51">
        <f>IF(A31="","",$B$8*(1+$B$9)^(A31-$B$5))</f>
        <v/>
      </c>
      <c r="E31" s="51">
        <f>IF(A31="","",IF(A31&gt;=$B$13,$B$12*12*(1+$B$9)^(A31-$B$5),0))</f>
        <v/>
      </c>
      <c r="F31" s="51">
        <f>IF(A31="","",IF(A31&gt;=$B$15,$B$14*(1+$B$9)^(A31-$B$5),0))</f>
        <v/>
      </c>
      <c r="G31" s="51">
        <f>IF(A31="","",MAX(0,D31-E31-F31)/(1-$B$18))</f>
        <v/>
      </c>
      <c r="H31" s="51">
        <f>IF(A31="","",MAX(0,C31-G31)*$B$11)</f>
        <v/>
      </c>
      <c r="I31" s="51">
        <f>IF(A31="","",MAX(0,C31-G31+H31))</f>
        <v/>
      </c>
      <c r="J31" s="121">
        <f>IF(A31="","",IF(C31-G31&gt;=0,"Yes","Short"))</f>
        <v/>
      </c>
      <c r="L31">
        <f>IF(A31="",NA(),A31)</f>
        <v/>
      </c>
      <c r="M31">
        <f>IF(A31="",NA(),I31)</f>
        <v/>
      </c>
      <c r="N31">
        <f>IF(A31="",0,G31/(1+$B$11)^(A31-$B$6))</f>
        <v/>
      </c>
    </row>
    <row r="32">
      <c r="A32" s="129">
        <f>IF(A31="","",IF(A31+1&gt;$B$7,"",A31+1))</f>
        <v/>
      </c>
      <c r="B32" s="129">
        <f>IF(A32="","",'401(k)'!$B$16+A32-$B$5)</f>
        <v/>
      </c>
      <c r="C32" s="51">
        <f>IF(A32="","",I31)</f>
        <v/>
      </c>
      <c r="D32" s="51">
        <f>IF(A32="","",$B$8*(1+$B$9)^(A32-$B$5))</f>
        <v/>
      </c>
      <c r="E32" s="51">
        <f>IF(A32="","",IF(A32&gt;=$B$13,$B$12*12*(1+$B$9)^(A32-$B$5),0))</f>
        <v/>
      </c>
      <c r="F32" s="51">
        <f>IF(A32="","",IF(A32&gt;=$B$15,$B$14*(1+$B$9)^(A32-$B$5),0))</f>
        <v/>
      </c>
      <c r="G32" s="51">
        <f>IF(A32="","",MAX(0,D32-E32-F32)/(1-$B$18))</f>
        <v/>
      </c>
      <c r="H32" s="51">
        <f>IF(A32="","",MAX(0,C32-G32)*$B$11)</f>
        <v/>
      </c>
      <c r="I32" s="51">
        <f>IF(A32="","",MAX(0,C32-G32+H32))</f>
        <v/>
      </c>
      <c r="J32" s="121">
        <f>IF(A32="","",IF(C32-G32&gt;=0,"Yes","Short"))</f>
        <v/>
      </c>
      <c r="L32">
        <f>IF(A32="",NA(),A32)</f>
        <v/>
      </c>
      <c r="M32">
        <f>IF(A32="",NA(),I32)</f>
        <v/>
      </c>
      <c r="N32">
        <f>IF(A32="",0,G32/(1+$B$11)^(A32-$B$6))</f>
        <v/>
      </c>
    </row>
    <row r="33">
      <c r="A33" s="129">
        <f>IF(A32="","",IF(A32+1&gt;$B$7,"",A32+1))</f>
        <v/>
      </c>
      <c r="B33" s="129">
        <f>IF(A33="","",'401(k)'!$B$16+A33-$B$5)</f>
        <v/>
      </c>
      <c r="C33" s="51">
        <f>IF(A33="","",I32)</f>
        <v/>
      </c>
      <c r="D33" s="51">
        <f>IF(A33="","",$B$8*(1+$B$9)^(A33-$B$5))</f>
        <v/>
      </c>
      <c r="E33" s="51">
        <f>IF(A33="","",IF(A33&gt;=$B$13,$B$12*12*(1+$B$9)^(A33-$B$5),0))</f>
        <v/>
      </c>
      <c r="F33" s="51">
        <f>IF(A33="","",IF(A33&gt;=$B$15,$B$14*(1+$B$9)^(A33-$B$5),0))</f>
        <v/>
      </c>
      <c r="G33" s="51">
        <f>IF(A33="","",MAX(0,D33-E33-F33)/(1-$B$18))</f>
        <v/>
      </c>
      <c r="H33" s="51">
        <f>IF(A33="","",MAX(0,C33-G33)*$B$11)</f>
        <v/>
      </c>
      <c r="I33" s="51">
        <f>IF(A33="","",MAX(0,C33-G33+H33))</f>
        <v/>
      </c>
      <c r="J33" s="121">
        <f>IF(A33="","",IF(C33-G33&gt;=0,"Yes","Short"))</f>
        <v/>
      </c>
      <c r="L33">
        <f>IF(A33="",NA(),A33)</f>
        <v/>
      </c>
      <c r="M33">
        <f>IF(A33="",NA(),I33)</f>
        <v/>
      </c>
      <c r="N33">
        <f>IF(A33="",0,G33/(1+$B$11)^(A33-$B$6))</f>
        <v/>
      </c>
    </row>
    <row r="34">
      <c r="A34" s="129">
        <f>IF(A33="","",IF(A33+1&gt;$B$7,"",A33+1))</f>
        <v/>
      </c>
      <c r="B34" s="129">
        <f>IF(A34="","",'401(k)'!$B$16+A34-$B$5)</f>
        <v/>
      </c>
      <c r="C34" s="51">
        <f>IF(A34="","",I33)</f>
        <v/>
      </c>
      <c r="D34" s="51">
        <f>IF(A34="","",$B$8*(1+$B$9)^(A34-$B$5))</f>
        <v/>
      </c>
      <c r="E34" s="51">
        <f>IF(A34="","",IF(A34&gt;=$B$13,$B$12*12*(1+$B$9)^(A34-$B$5),0))</f>
        <v/>
      </c>
      <c r="F34" s="51">
        <f>IF(A34="","",IF(A34&gt;=$B$15,$B$14*(1+$B$9)^(A34-$B$5),0))</f>
        <v/>
      </c>
      <c r="G34" s="51">
        <f>IF(A34="","",MAX(0,D34-E34-F34)/(1-$B$18))</f>
        <v/>
      </c>
      <c r="H34" s="51">
        <f>IF(A34="","",MAX(0,C34-G34)*$B$11)</f>
        <v/>
      </c>
      <c r="I34" s="51">
        <f>IF(A34="","",MAX(0,C34-G34+H34))</f>
        <v/>
      </c>
      <c r="J34" s="121">
        <f>IF(A34="","",IF(C34-G34&gt;=0,"Yes","Short"))</f>
        <v/>
      </c>
      <c r="L34">
        <f>IF(A34="",NA(),A34)</f>
        <v/>
      </c>
      <c r="M34">
        <f>IF(A34="",NA(),I34)</f>
        <v/>
      </c>
      <c r="N34">
        <f>IF(A34="",0,G34/(1+$B$11)^(A34-$B$6))</f>
        <v/>
      </c>
    </row>
    <row r="35">
      <c r="A35" s="129">
        <f>IF(A34="","",IF(A34+1&gt;$B$7,"",A34+1))</f>
        <v/>
      </c>
      <c r="B35" s="129">
        <f>IF(A35="","",'401(k)'!$B$16+A35-$B$5)</f>
        <v/>
      </c>
      <c r="C35" s="51">
        <f>IF(A35="","",I34)</f>
        <v/>
      </c>
      <c r="D35" s="51">
        <f>IF(A35="","",$B$8*(1+$B$9)^(A35-$B$5))</f>
        <v/>
      </c>
      <c r="E35" s="51">
        <f>IF(A35="","",IF(A35&gt;=$B$13,$B$12*12*(1+$B$9)^(A35-$B$5),0))</f>
        <v/>
      </c>
      <c r="F35" s="51">
        <f>IF(A35="","",IF(A35&gt;=$B$15,$B$14*(1+$B$9)^(A35-$B$5),0))</f>
        <v/>
      </c>
      <c r="G35" s="51">
        <f>IF(A35="","",MAX(0,D35-E35-F35)/(1-$B$18))</f>
        <v/>
      </c>
      <c r="H35" s="51">
        <f>IF(A35="","",MAX(0,C35-G35)*$B$11)</f>
        <v/>
      </c>
      <c r="I35" s="51">
        <f>IF(A35="","",MAX(0,C35-G35+H35))</f>
        <v/>
      </c>
      <c r="J35" s="121">
        <f>IF(A35="","",IF(C35-G35&gt;=0,"Yes","Short"))</f>
        <v/>
      </c>
      <c r="L35">
        <f>IF(A35="",NA(),A35)</f>
        <v/>
      </c>
      <c r="M35">
        <f>IF(A35="",NA(),I35)</f>
        <v/>
      </c>
      <c r="N35">
        <f>IF(A35="",0,G35/(1+$B$11)^(A35-$B$6))</f>
        <v/>
      </c>
    </row>
    <row r="36">
      <c r="A36" s="129">
        <f>IF(A35="","",IF(A35+1&gt;$B$7,"",A35+1))</f>
        <v/>
      </c>
      <c r="B36" s="129">
        <f>IF(A36="","",'401(k)'!$B$16+A36-$B$5)</f>
        <v/>
      </c>
      <c r="C36" s="51">
        <f>IF(A36="","",I35)</f>
        <v/>
      </c>
      <c r="D36" s="51">
        <f>IF(A36="","",$B$8*(1+$B$9)^(A36-$B$5))</f>
        <v/>
      </c>
      <c r="E36" s="51">
        <f>IF(A36="","",IF(A36&gt;=$B$13,$B$12*12*(1+$B$9)^(A36-$B$5),0))</f>
        <v/>
      </c>
      <c r="F36" s="51">
        <f>IF(A36="","",IF(A36&gt;=$B$15,$B$14*(1+$B$9)^(A36-$B$5),0))</f>
        <v/>
      </c>
      <c r="G36" s="51">
        <f>IF(A36="","",MAX(0,D36-E36-F36)/(1-$B$18))</f>
        <v/>
      </c>
      <c r="H36" s="51">
        <f>IF(A36="","",MAX(0,C36-G36)*$B$11)</f>
        <v/>
      </c>
      <c r="I36" s="51">
        <f>IF(A36="","",MAX(0,C36-G36+H36))</f>
        <v/>
      </c>
      <c r="J36" s="121">
        <f>IF(A36="","",IF(C36-G36&gt;=0,"Yes","Short"))</f>
        <v/>
      </c>
      <c r="L36">
        <f>IF(A36="",NA(),A36)</f>
        <v/>
      </c>
      <c r="M36">
        <f>IF(A36="",NA(),I36)</f>
        <v/>
      </c>
      <c r="N36">
        <f>IF(A36="",0,G36/(1+$B$11)^(A36-$B$6))</f>
        <v/>
      </c>
    </row>
    <row r="37">
      <c r="A37" s="129">
        <f>IF(A36="","",IF(A36+1&gt;$B$7,"",A36+1))</f>
        <v/>
      </c>
      <c r="B37" s="129">
        <f>IF(A37="","",'401(k)'!$B$16+A37-$B$5)</f>
        <v/>
      </c>
      <c r="C37" s="51">
        <f>IF(A37="","",I36)</f>
        <v/>
      </c>
      <c r="D37" s="51">
        <f>IF(A37="","",$B$8*(1+$B$9)^(A37-$B$5))</f>
        <v/>
      </c>
      <c r="E37" s="51">
        <f>IF(A37="","",IF(A37&gt;=$B$13,$B$12*12*(1+$B$9)^(A37-$B$5),0))</f>
        <v/>
      </c>
      <c r="F37" s="51">
        <f>IF(A37="","",IF(A37&gt;=$B$15,$B$14*(1+$B$9)^(A37-$B$5),0))</f>
        <v/>
      </c>
      <c r="G37" s="51">
        <f>IF(A37="","",MAX(0,D37-E37-F37)/(1-$B$18))</f>
        <v/>
      </c>
      <c r="H37" s="51">
        <f>IF(A37="","",MAX(0,C37-G37)*$B$11)</f>
        <v/>
      </c>
      <c r="I37" s="51">
        <f>IF(A37="","",MAX(0,C37-G37+H37))</f>
        <v/>
      </c>
      <c r="J37" s="121">
        <f>IF(A37="","",IF(C37-G37&gt;=0,"Yes","Short"))</f>
        <v/>
      </c>
      <c r="L37">
        <f>IF(A37="",NA(),A37)</f>
        <v/>
      </c>
      <c r="M37">
        <f>IF(A37="",NA(),I37)</f>
        <v/>
      </c>
      <c r="N37">
        <f>IF(A37="",0,G37/(1+$B$11)^(A37-$B$6))</f>
        <v/>
      </c>
    </row>
    <row r="38">
      <c r="A38" s="129">
        <f>IF(A37="","",IF(A37+1&gt;$B$7,"",A37+1))</f>
        <v/>
      </c>
      <c r="B38" s="129">
        <f>IF(A38="","",'401(k)'!$B$16+A38-$B$5)</f>
        <v/>
      </c>
      <c r="C38" s="51">
        <f>IF(A38="","",I37)</f>
        <v/>
      </c>
      <c r="D38" s="51">
        <f>IF(A38="","",$B$8*(1+$B$9)^(A38-$B$5))</f>
        <v/>
      </c>
      <c r="E38" s="51">
        <f>IF(A38="","",IF(A38&gt;=$B$13,$B$12*12*(1+$B$9)^(A38-$B$5),0))</f>
        <v/>
      </c>
      <c r="F38" s="51">
        <f>IF(A38="","",IF(A38&gt;=$B$15,$B$14*(1+$B$9)^(A38-$B$5),0))</f>
        <v/>
      </c>
      <c r="G38" s="51">
        <f>IF(A38="","",MAX(0,D38-E38-F38)/(1-$B$18))</f>
        <v/>
      </c>
      <c r="H38" s="51">
        <f>IF(A38="","",MAX(0,C38-G38)*$B$11)</f>
        <v/>
      </c>
      <c r="I38" s="51">
        <f>IF(A38="","",MAX(0,C38-G38+H38))</f>
        <v/>
      </c>
      <c r="J38" s="121">
        <f>IF(A38="","",IF(C38-G38&gt;=0,"Yes","Short"))</f>
        <v/>
      </c>
      <c r="L38">
        <f>IF(A38="",NA(),A38)</f>
        <v/>
      </c>
      <c r="M38">
        <f>IF(A38="",NA(),I38)</f>
        <v/>
      </c>
      <c r="N38">
        <f>IF(A38="",0,G38/(1+$B$11)^(A38-$B$6))</f>
        <v/>
      </c>
    </row>
    <row r="39">
      <c r="A39" s="129">
        <f>IF(A38="","",IF(A38+1&gt;$B$7,"",A38+1))</f>
        <v/>
      </c>
      <c r="B39" s="129">
        <f>IF(A39="","",'401(k)'!$B$16+A39-$B$5)</f>
        <v/>
      </c>
      <c r="C39" s="51">
        <f>IF(A39="","",I38)</f>
        <v/>
      </c>
      <c r="D39" s="51">
        <f>IF(A39="","",$B$8*(1+$B$9)^(A39-$B$5))</f>
        <v/>
      </c>
      <c r="E39" s="51">
        <f>IF(A39="","",IF(A39&gt;=$B$13,$B$12*12*(1+$B$9)^(A39-$B$5),0))</f>
        <v/>
      </c>
      <c r="F39" s="51">
        <f>IF(A39="","",IF(A39&gt;=$B$15,$B$14*(1+$B$9)^(A39-$B$5),0))</f>
        <v/>
      </c>
      <c r="G39" s="51">
        <f>IF(A39="","",MAX(0,D39-E39-F39)/(1-$B$18))</f>
        <v/>
      </c>
      <c r="H39" s="51">
        <f>IF(A39="","",MAX(0,C39-G39)*$B$11)</f>
        <v/>
      </c>
      <c r="I39" s="51">
        <f>IF(A39="","",MAX(0,C39-G39+H39))</f>
        <v/>
      </c>
      <c r="J39" s="121">
        <f>IF(A39="","",IF(C39-G39&gt;=0,"Yes","Short"))</f>
        <v/>
      </c>
      <c r="L39">
        <f>IF(A39="",NA(),A39)</f>
        <v/>
      </c>
      <c r="M39">
        <f>IF(A39="",NA(),I39)</f>
        <v/>
      </c>
      <c r="N39">
        <f>IF(A39="",0,G39/(1+$B$11)^(A39-$B$6))</f>
        <v/>
      </c>
    </row>
    <row r="40">
      <c r="A40" s="129">
        <f>IF(A39="","",IF(A39+1&gt;$B$7,"",A39+1))</f>
        <v/>
      </c>
      <c r="B40" s="129">
        <f>IF(A40="","",'401(k)'!$B$16+A40-$B$5)</f>
        <v/>
      </c>
      <c r="C40" s="51">
        <f>IF(A40="","",I39)</f>
        <v/>
      </c>
      <c r="D40" s="51">
        <f>IF(A40="","",$B$8*(1+$B$9)^(A40-$B$5))</f>
        <v/>
      </c>
      <c r="E40" s="51">
        <f>IF(A40="","",IF(A40&gt;=$B$13,$B$12*12*(1+$B$9)^(A40-$B$5),0))</f>
        <v/>
      </c>
      <c r="F40" s="51">
        <f>IF(A40="","",IF(A40&gt;=$B$15,$B$14*(1+$B$9)^(A40-$B$5),0))</f>
        <v/>
      </c>
      <c r="G40" s="51">
        <f>IF(A40="","",MAX(0,D40-E40-F40)/(1-$B$18))</f>
        <v/>
      </c>
      <c r="H40" s="51">
        <f>IF(A40="","",MAX(0,C40-G40)*$B$11)</f>
        <v/>
      </c>
      <c r="I40" s="51">
        <f>IF(A40="","",MAX(0,C40-G40+H40))</f>
        <v/>
      </c>
      <c r="J40" s="121">
        <f>IF(A40="","",IF(C40-G40&gt;=0,"Yes","Short"))</f>
        <v/>
      </c>
      <c r="L40">
        <f>IF(A40="",NA(),A40)</f>
        <v/>
      </c>
      <c r="M40">
        <f>IF(A40="",NA(),I40)</f>
        <v/>
      </c>
      <c r="N40">
        <f>IF(A40="",0,G40/(1+$B$11)^(A40-$B$6))</f>
        <v/>
      </c>
    </row>
    <row r="41">
      <c r="A41" s="129">
        <f>IF(A40="","",IF(A40+1&gt;$B$7,"",A40+1))</f>
        <v/>
      </c>
      <c r="B41" s="129">
        <f>IF(A41="","",'401(k)'!$B$16+A41-$B$5)</f>
        <v/>
      </c>
      <c r="C41" s="51">
        <f>IF(A41="","",I40)</f>
        <v/>
      </c>
      <c r="D41" s="51">
        <f>IF(A41="","",$B$8*(1+$B$9)^(A41-$B$5))</f>
        <v/>
      </c>
      <c r="E41" s="51">
        <f>IF(A41="","",IF(A41&gt;=$B$13,$B$12*12*(1+$B$9)^(A41-$B$5),0))</f>
        <v/>
      </c>
      <c r="F41" s="51">
        <f>IF(A41="","",IF(A41&gt;=$B$15,$B$14*(1+$B$9)^(A41-$B$5),0))</f>
        <v/>
      </c>
      <c r="G41" s="51">
        <f>IF(A41="","",MAX(0,D41-E41-F41)/(1-$B$18))</f>
        <v/>
      </c>
      <c r="H41" s="51">
        <f>IF(A41="","",MAX(0,C41-G41)*$B$11)</f>
        <v/>
      </c>
      <c r="I41" s="51">
        <f>IF(A41="","",MAX(0,C41-G41+H41))</f>
        <v/>
      </c>
      <c r="J41" s="121">
        <f>IF(A41="","",IF(C41-G41&gt;=0,"Yes","Short"))</f>
        <v/>
      </c>
      <c r="L41">
        <f>IF(A41="",NA(),A41)</f>
        <v/>
      </c>
      <c r="M41">
        <f>IF(A41="",NA(),I41)</f>
        <v/>
      </c>
      <c r="N41">
        <f>IF(A41="",0,G41/(1+$B$11)^(A41-$B$6))</f>
        <v/>
      </c>
    </row>
    <row r="42">
      <c r="A42" s="129">
        <f>IF(A41="","",IF(A41+1&gt;$B$7,"",A41+1))</f>
        <v/>
      </c>
      <c r="B42" s="129">
        <f>IF(A42="","",'401(k)'!$B$16+A42-$B$5)</f>
        <v/>
      </c>
      <c r="C42" s="51">
        <f>IF(A42="","",I41)</f>
        <v/>
      </c>
      <c r="D42" s="51">
        <f>IF(A42="","",$B$8*(1+$B$9)^(A42-$B$5))</f>
        <v/>
      </c>
      <c r="E42" s="51">
        <f>IF(A42="","",IF(A42&gt;=$B$13,$B$12*12*(1+$B$9)^(A42-$B$5),0))</f>
        <v/>
      </c>
      <c r="F42" s="51">
        <f>IF(A42="","",IF(A42&gt;=$B$15,$B$14*(1+$B$9)^(A42-$B$5),0))</f>
        <v/>
      </c>
      <c r="G42" s="51">
        <f>IF(A42="","",MAX(0,D42-E42-F42)/(1-$B$18))</f>
        <v/>
      </c>
      <c r="H42" s="51">
        <f>IF(A42="","",MAX(0,C42-G42)*$B$11)</f>
        <v/>
      </c>
      <c r="I42" s="51">
        <f>IF(A42="","",MAX(0,C42-G42+H42))</f>
        <v/>
      </c>
      <c r="J42" s="121">
        <f>IF(A42="","",IF(C42-G42&gt;=0,"Yes","Short"))</f>
        <v/>
      </c>
      <c r="L42">
        <f>IF(A42="",NA(),A42)</f>
        <v/>
      </c>
      <c r="M42">
        <f>IF(A42="",NA(),I42)</f>
        <v/>
      </c>
      <c r="N42">
        <f>IF(A42="",0,G42/(1+$B$11)^(A42-$B$6))</f>
        <v/>
      </c>
    </row>
    <row r="43">
      <c r="A43" s="129">
        <f>IF(A42="","",IF(A42+1&gt;$B$7,"",A42+1))</f>
        <v/>
      </c>
      <c r="B43" s="129">
        <f>IF(A43="","",'401(k)'!$B$16+A43-$B$5)</f>
        <v/>
      </c>
      <c r="C43" s="51">
        <f>IF(A43="","",I42)</f>
        <v/>
      </c>
      <c r="D43" s="51">
        <f>IF(A43="","",$B$8*(1+$B$9)^(A43-$B$5))</f>
        <v/>
      </c>
      <c r="E43" s="51">
        <f>IF(A43="","",IF(A43&gt;=$B$13,$B$12*12*(1+$B$9)^(A43-$B$5),0))</f>
        <v/>
      </c>
      <c r="F43" s="51">
        <f>IF(A43="","",IF(A43&gt;=$B$15,$B$14*(1+$B$9)^(A43-$B$5),0))</f>
        <v/>
      </c>
      <c r="G43" s="51">
        <f>IF(A43="","",MAX(0,D43-E43-F43)/(1-$B$18))</f>
        <v/>
      </c>
      <c r="H43" s="51">
        <f>IF(A43="","",MAX(0,C43-G43)*$B$11)</f>
        <v/>
      </c>
      <c r="I43" s="51">
        <f>IF(A43="","",MAX(0,C43-G43+H43))</f>
        <v/>
      </c>
      <c r="J43" s="121">
        <f>IF(A43="","",IF(C43-G43&gt;=0,"Yes","Short"))</f>
        <v/>
      </c>
      <c r="L43">
        <f>IF(A43="",NA(),A43)</f>
        <v/>
      </c>
      <c r="M43">
        <f>IF(A43="",NA(),I43)</f>
        <v/>
      </c>
      <c r="N43">
        <f>IF(A43="",0,G43/(1+$B$11)^(A43-$B$6))</f>
        <v/>
      </c>
    </row>
    <row r="44">
      <c r="A44" s="129">
        <f>IF(A43="","",IF(A43+1&gt;$B$7,"",A43+1))</f>
        <v/>
      </c>
      <c r="B44" s="129">
        <f>IF(A44="","",'401(k)'!$B$16+A44-$B$5)</f>
        <v/>
      </c>
      <c r="C44" s="51">
        <f>IF(A44="","",I43)</f>
        <v/>
      </c>
      <c r="D44" s="51">
        <f>IF(A44="","",$B$8*(1+$B$9)^(A44-$B$5))</f>
        <v/>
      </c>
      <c r="E44" s="51">
        <f>IF(A44="","",IF(A44&gt;=$B$13,$B$12*12*(1+$B$9)^(A44-$B$5),0))</f>
        <v/>
      </c>
      <c r="F44" s="51">
        <f>IF(A44="","",IF(A44&gt;=$B$15,$B$14*(1+$B$9)^(A44-$B$5),0))</f>
        <v/>
      </c>
      <c r="G44" s="51">
        <f>IF(A44="","",MAX(0,D44-E44-F44)/(1-$B$18))</f>
        <v/>
      </c>
      <c r="H44" s="51">
        <f>IF(A44="","",MAX(0,C44-G44)*$B$11)</f>
        <v/>
      </c>
      <c r="I44" s="51">
        <f>IF(A44="","",MAX(0,C44-G44+H44))</f>
        <v/>
      </c>
      <c r="J44" s="121">
        <f>IF(A44="","",IF(C44-G44&gt;=0,"Yes","Short"))</f>
        <v/>
      </c>
      <c r="L44">
        <f>IF(A44="",NA(),A44)</f>
        <v/>
      </c>
      <c r="M44">
        <f>IF(A44="",NA(),I44)</f>
        <v/>
      </c>
      <c r="N44">
        <f>IF(A44="",0,G44/(1+$B$11)^(A44-$B$6))</f>
        <v/>
      </c>
    </row>
    <row r="45">
      <c r="A45" s="129">
        <f>IF(A44="","",IF(A44+1&gt;$B$7,"",A44+1))</f>
        <v/>
      </c>
      <c r="B45" s="129">
        <f>IF(A45="","",'401(k)'!$B$16+A45-$B$5)</f>
        <v/>
      </c>
      <c r="C45" s="51">
        <f>IF(A45="","",I44)</f>
        <v/>
      </c>
      <c r="D45" s="51">
        <f>IF(A45="","",$B$8*(1+$B$9)^(A45-$B$5))</f>
        <v/>
      </c>
      <c r="E45" s="51">
        <f>IF(A45="","",IF(A45&gt;=$B$13,$B$12*12*(1+$B$9)^(A45-$B$5),0))</f>
        <v/>
      </c>
      <c r="F45" s="51">
        <f>IF(A45="","",IF(A45&gt;=$B$15,$B$14*(1+$B$9)^(A45-$B$5),0))</f>
        <v/>
      </c>
      <c r="G45" s="51">
        <f>IF(A45="","",MAX(0,D45-E45-F45)/(1-$B$18))</f>
        <v/>
      </c>
      <c r="H45" s="51">
        <f>IF(A45="","",MAX(0,C45-G45)*$B$11)</f>
        <v/>
      </c>
      <c r="I45" s="51">
        <f>IF(A45="","",MAX(0,C45-G45+H45))</f>
        <v/>
      </c>
      <c r="J45" s="121">
        <f>IF(A45="","",IF(C45-G45&gt;=0,"Yes","Short"))</f>
        <v/>
      </c>
      <c r="L45">
        <f>IF(A45="",NA(),A45)</f>
        <v/>
      </c>
      <c r="M45">
        <f>IF(A45="",NA(),I45)</f>
        <v/>
      </c>
      <c r="N45">
        <f>IF(A45="",0,G45/(1+$B$11)^(A45-$B$6))</f>
        <v/>
      </c>
    </row>
    <row r="46">
      <c r="A46" s="129">
        <f>IF(A45="","",IF(A45+1&gt;$B$7,"",A45+1))</f>
        <v/>
      </c>
      <c r="B46" s="129">
        <f>IF(A46="","",'401(k)'!$B$16+A46-$B$5)</f>
        <v/>
      </c>
      <c r="C46" s="51">
        <f>IF(A46="","",I45)</f>
        <v/>
      </c>
      <c r="D46" s="51">
        <f>IF(A46="","",$B$8*(1+$B$9)^(A46-$B$5))</f>
        <v/>
      </c>
      <c r="E46" s="51">
        <f>IF(A46="","",IF(A46&gt;=$B$13,$B$12*12*(1+$B$9)^(A46-$B$5),0))</f>
        <v/>
      </c>
      <c r="F46" s="51">
        <f>IF(A46="","",IF(A46&gt;=$B$15,$B$14*(1+$B$9)^(A46-$B$5),0))</f>
        <v/>
      </c>
      <c r="G46" s="51">
        <f>IF(A46="","",MAX(0,D46-E46-F46)/(1-$B$18))</f>
        <v/>
      </c>
      <c r="H46" s="51">
        <f>IF(A46="","",MAX(0,C46-G46)*$B$11)</f>
        <v/>
      </c>
      <c r="I46" s="51">
        <f>IF(A46="","",MAX(0,C46-G46+H46))</f>
        <v/>
      </c>
      <c r="J46" s="121">
        <f>IF(A46="","",IF(C46-G46&gt;=0,"Yes","Short"))</f>
        <v/>
      </c>
      <c r="L46">
        <f>IF(A46="",NA(),A46)</f>
        <v/>
      </c>
      <c r="M46">
        <f>IF(A46="",NA(),I46)</f>
        <v/>
      </c>
      <c r="N46">
        <f>IF(A46="",0,G46/(1+$B$11)^(A46-$B$6))</f>
        <v/>
      </c>
    </row>
    <row r="47">
      <c r="A47" s="129">
        <f>IF(A46="","",IF(A46+1&gt;$B$7,"",A46+1))</f>
        <v/>
      </c>
      <c r="B47" s="129">
        <f>IF(A47="","",'401(k)'!$B$16+A47-$B$5)</f>
        <v/>
      </c>
      <c r="C47" s="51">
        <f>IF(A47="","",I46)</f>
        <v/>
      </c>
      <c r="D47" s="51">
        <f>IF(A47="","",$B$8*(1+$B$9)^(A47-$B$5))</f>
        <v/>
      </c>
      <c r="E47" s="51">
        <f>IF(A47="","",IF(A47&gt;=$B$13,$B$12*12*(1+$B$9)^(A47-$B$5),0))</f>
        <v/>
      </c>
      <c r="F47" s="51">
        <f>IF(A47="","",IF(A47&gt;=$B$15,$B$14*(1+$B$9)^(A47-$B$5),0))</f>
        <v/>
      </c>
      <c r="G47" s="51">
        <f>IF(A47="","",MAX(0,D47-E47-F47)/(1-$B$18))</f>
        <v/>
      </c>
      <c r="H47" s="51">
        <f>IF(A47="","",MAX(0,C47-G47)*$B$11)</f>
        <v/>
      </c>
      <c r="I47" s="51">
        <f>IF(A47="","",MAX(0,C47-G47+H47))</f>
        <v/>
      </c>
      <c r="J47" s="121">
        <f>IF(A47="","",IF(C47-G47&gt;=0,"Yes","Short"))</f>
        <v/>
      </c>
      <c r="L47">
        <f>IF(A47="",NA(),A47)</f>
        <v/>
      </c>
      <c r="M47">
        <f>IF(A47="",NA(),I47)</f>
        <v/>
      </c>
      <c r="N47">
        <f>IF(A47="",0,G47/(1+$B$11)^(A47-$B$6))</f>
        <v/>
      </c>
    </row>
    <row r="48">
      <c r="A48" s="129">
        <f>IF(A47="","",IF(A47+1&gt;$B$7,"",A47+1))</f>
        <v/>
      </c>
      <c r="B48" s="129">
        <f>IF(A48="","",'401(k)'!$B$16+A48-$B$5)</f>
        <v/>
      </c>
      <c r="C48" s="51">
        <f>IF(A48="","",I47)</f>
        <v/>
      </c>
      <c r="D48" s="51">
        <f>IF(A48="","",$B$8*(1+$B$9)^(A48-$B$5))</f>
        <v/>
      </c>
      <c r="E48" s="51">
        <f>IF(A48="","",IF(A48&gt;=$B$13,$B$12*12*(1+$B$9)^(A48-$B$5),0))</f>
        <v/>
      </c>
      <c r="F48" s="51">
        <f>IF(A48="","",IF(A48&gt;=$B$15,$B$14*(1+$B$9)^(A48-$B$5),0))</f>
        <v/>
      </c>
      <c r="G48" s="51">
        <f>IF(A48="","",MAX(0,D48-E48-F48)/(1-$B$18))</f>
        <v/>
      </c>
      <c r="H48" s="51">
        <f>IF(A48="","",MAX(0,C48-G48)*$B$11)</f>
        <v/>
      </c>
      <c r="I48" s="51">
        <f>IF(A48="","",MAX(0,C48-G48+H48))</f>
        <v/>
      </c>
      <c r="J48" s="121">
        <f>IF(A48="","",IF(C48-G48&gt;=0,"Yes","Short"))</f>
        <v/>
      </c>
      <c r="L48">
        <f>IF(A48="",NA(),A48)</f>
        <v/>
      </c>
      <c r="M48">
        <f>IF(A48="",NA(),I48)</f>
        <v/>
      </c>
      <c r="N48">
        <f>IF(A48="",0,G48/(1+$B$11)^(A48-$B$6))</f>
        <v/>
      </c>
    </row>
    <row r="49">
      <c r="A49" s="129">
        <f>IF(A48="","",IF(A48+1&gt;$B$7,"",A48+1))</f>
        <v/>
      </c>
      <c r="B49" s="129">
        <f>IF(A49="","",'401(k)'!$B$16+A49-$B$5)</f>
        <v/>
      </c>
      <c r="C49" s="51">
        <f>IF(A49="","",I48)</f>
        <v/>
      </c>
      <c r="D49" s="51">
        <f>IF(A49="","",$B$8*(1+$B$9)^(A49-$B$5))</f>
        <v/>
      </c>
      <c r="E49" s="51">
        <f>IF(A49="","",IF(A49&gt;=$B$13,$B$12*12*(1+$B$9)^(A49-$B$5),0))</f>
        <v/>
      </c>
      <c r="F49" s="51">
        <f>IF(A49="","",IF(A49&gt;=$B$15,$B$14*(1+$B$9)^(A49-$B$5),0))</f>
        <v/>
      </c>
      <c r="G49" s="51">
        <f>IF(A49="","",MAX(0,D49-E49-F49)/(1-$B$18))</f>
        <v/>
      </c>
      <c r="H49" s="51">
        <f>IF(A49="","",MAX(0,C49-G49)*$B$11)</f>
        <v/>
      </c>
      <c r="I49" s="51">
        <f>IF(A49="","",MAX(0,C49-G49+H49))</f>
        <v/>
      </c>
      <c r="J49" s="121">
        <f>IF(A49="","",IF(C49-G49&gt;=0,"Yes","Short"))</f>
        <v/>
      </c>
      <c r="L49">
        <f>IF(A49="",NA(),A49)</f>
        <v/>
      </c>
      <c r="M49">
        <f>IF(A49="",NA(),I49)</f>
        <v/>
      </c>
      <c r="N49">
        <f>IF(A49="",0,G49/(1+$B$11)^(A49-$B$6))</f>
        <v/>
      </c>
    </row>
    <row r="50">
      <c r="A50" s="129">
        <f>IF(A49="","",IF(A49+1&gt;$B$7,"",A49+1))</f>
        <v/>
      </c>
      <c r="B50" s="129">
        <f>IF(A50="","",'401(k)'!$B$16+A50-$B$5)</f>
        <v/>
      </c>
      <c r="C50" s="51">
        <f>IF(A50="","",I49)</f>
        <v/>
      </c>
      <c r="D50" s="51">
        <f>IF(A50="","",$B$8*(1+$B$9)^(A50-$B$5))</f>
        <v/>
      </c>
      <c r="E50" s="51">
        <f>IF(A50="","",IF(A50&gt;=$B$13,$B$12*12*(1+$B$9)^(A50-$B$5),0))</f>
        <v/>
      </c>
      <c r="F50" s="51">
        <f>IF(A50="","",IF(A50&gt;=$B$15,$B$14*(1+$B$9)^(A50-$B$5),0))</f>
        <v/>
      </c>
      <c r="G50" s="51">
        <f>IF(A50="","",MAX(0,D50-E50-F50)/(1-$B$18))</f>
        <v/>
      </c>
      <c r="H50" s="51">
        <f>IF(A50="","",MAX(0,C50-G50)*$B$11)</f>
        <v/>
      </c>
      <c r="I50" s="51">
        <f>IF(A50="","",MAX(0,C50-G50+H50))</f>
        <v/>
      </c>
      <c r="J50" s="121">
        <f>IF(A50="","",IF(C50-G50&gt;=0,"Yes","Short"))</f>
        <v/>
      </c>
      <c r="L50">
        <f>IF(A50="",NA(),A50)</f>
        <v/>
      </c>
      <c r="M50">
        <f>IF(A50="",NA(),I50)</f>
        <v/>
      </c>
      <c r="N50">
        <f>IF(A50="",0,G50/(1+$B$11)^(A50-$B$6))</f>
        <v/>
      </c>
    </row>
    <row r="51">
      <c r="A51" s="129">
        <f>IF(A50="","",IF(A50+1&gt;$B$7,"",A50+1))</f>
        <v/>
      </c>
      <c r="B51" s="129">
        <f>IF(A51="","",'401(k)'!$B$16+A51-$B$5)</f>
        <v/>
      </c>
      <c r="C51" s="51">
        <f>IF(A51="","",I50)</f>
        <v/>
      </c>
      <c r="D51" s="51">
        <f>IF(A51="","",$B$8*(1+$B$9)^(A51-$B$5))</f>
        <v/>
      </c>
      <c r="E51" s="51">
        <f>IF(A51="","",IF(A51&gt;=$B$13,$B$12*12*(1+$B$9)^(A51-$B$5),0))</f>
        <v/>
      </c>
      <c r="F51" s="51">
        <f>IF(A51="","",IF(A51&gt;=$B$15,$B$14*(1+$B$9)^(A51-$B$5),0))</f>
        <v/>
      </c>
      <c r="G51" s="51">
        <f>IF(A51="","",MAX(0,D51-E51-F51)/(1-$B$18))</f>
        <v/>
      </c>
      <c r="H51" s="51">
        <f>IF(A51="","",MAX(0,C51-G51)*$B$11)</f>
        <v/>
      </c>
      <c r="I51" s="51">
        <f>IF(A51="","",MAX(0,C51-G51+H51))</f>
        <v/>
      </c>
      <c r="J51" s="121">
        <f>IF(A51="","",IF(C51-G51&gt;=0,"Yes","Short"))</f>
        <v/>
      </c>
      <c r="L51">
        <f>IF(A51="",NA(),A51)</f>
        <v/>
      </c>
      <c r="M51">
        <f>IF(A51="",NA(),I51)</f>
        <v/>
      </c>
      <c r="N51">
        <f>IF(A51="",0,G51/(1+$B$11)^(A51-$B$6))</f>
        <v/>
      </c>
    </row>
    <row r="52">
      <c r="A52" s="129">
        <f>IF(A51="","",IF(A51+1&gt;$B$7,"",A51+1))</f>
        <v/>
      </c>
      <c r="B52" s="129">
        <f>IF(A52="","",'401(k)'!$B$16+A52-$B$5)</f>
        <v/>
      </c>
      <c r="C52" s="51">
        <f>IF(A52="","",I51)</f>
        <v/>
      </c>
      <c r="D52" s="51">
        <f>IF(A52="","",$B$8*(1+$B$9)^(A52-$B$5))</f>
        <v/>
      </c>
      <c r="E52" s="51">
        <f>IF(A52="","",IF(A52&gt;=$B$13,$B$12*12*(1+$B$9)^(A52-$B$5),0))</f>
        <v/>
      </c>
      <c r="F52" s="51">
        <f>IF(A52="","",IF(A52&gt;=$B$15,$B$14*(1+$B$9)^(A52-$B$5),0))</f>
        <v/>
      </c>
      <c r="G52" s="51">
        <f>IF(A52="","",MAX(0,D52-E52-F52)/(1-$B$18))</f>
        <v/>
      </c>
      <c r="H52" s="51">
        <f>IF(A52="","",MAX(0,C52-G52)*$B$11)</f>
        <v/>
      </c>
      <c r="I52" s="51">
        <f>IF(A52="","",MAX(0,C52-G52+H52))</f>
        <v/>
      </c>
      <c r="J52" s="121">
        <f>IF(A52="","",IF(C52-G52&gt;=0,"Yes","Short"))</f>
        <v/>
      </c>
      <c r="L52">
        <f>IF(A52="",NA(),A52)</f>
        <v/>
      </c>
      <c r="M52">
        <f>IF(A52="",NA(),I52)</f>
        <v/>
      </c>
      <c r="N52">
        <f>IF(A52="",0,G52/(1+$B$11)^(A52-$B$6))</f>
        <v/>
      </c>
    </row>
    <row r="53">
      <c r="A53" s="129">
        <f>IF(A52="","",IF(A52+1&gt;$B$7,"",A52+1))</f>
        <v/>
      </c>
      <c r="B53" s="129">
        <f>IF(A53="","",'401(k)'!$B$16+A53-$B$5)</f>
        <v/>
      </c>
      <c r="C53" s="51">
        <f>IF(A53="","",I52)</f>
        <v/>
      </c>
      <c r="D53" s="51">
        <f>IF(A53="","",$B$8*(1+$B$9)^(A53-$B$5))</f>
        <v/>
      </c>
      <c r="E53" s="51">
        <f>IF(A53="","",IF(A53&gt;=$B$13,$B$12*12*(1+$B$9)^(A53-$B$5),0))</f>
        <v/>
      </c>
      <c r="F53" s="51">
        <f>IF(A53="","",IF(A53&gt;=$B$15,$B$14*(1+$B$9)^(A53-$B$5),0))</f>
        <v/>
      </c>
      <c r="G53" s="51">
        <f>IF(A53="","",MAX(0,D53-E53-F53)/(1-$B$18))</f>
        <v/>
      </c>
      <c r="H53" s="51">
        <f>IF(A53="","",MAX(0,C53-G53)*$B$11)</f>
        <v/>
      </c>
      <c r="I53" s="51">
        <f>IF(A53="","",MAX(0,C53-G53+H53))</f>
        <v/>
      </c>
      <c r="J53" s="121">
        <f>IF(A53="","",IF(C53-G53&gt;=0,"Yes","Short"))</f>
        <v/>
      </c>
      <c r="L53">
        <f>IF(A53="",NA(),A53)</f>
        <v/>
      </c>
      <c r="M53">
        <f>IF(A53="",NA(),I53)</f>
        <v/>
      </c>
      <c r="N53">
        <f>IF(A53="",0,G53/(1+$B$11)^(A53-$B$6))</f>
        <v/>
      </c>
    </row>
    <row r="54">
      <c r="A54" s="129">
        <f>IF(A53="","",IF(A53+1&gt;$B$7,"",A53+1))</f>
        <v/>
      </c>
      <c r="B54" s="129">
        <f>IF(A54="","",'401(k)'!$B$16+A54-$B$5)</f>
        <v/>
      </c>
      <c r="C54" s="51">
        <f>IF(A54="","",I53)</f>
        <v/>
      </c>
      <c r="D54" s="51">
        <f>IF(A54="","",$B$8*(1+$B$9)^(A54-$B$5))</f>
        <v/>
      </c>
      <c r="E54" s="51">
        <f>IF(A54="","",IF(A54&gt;=$B$13,$B$12*12*(1+$B$9)^(A54-$B$5),0))</f>
        <v/>
      </c>
      <c r="F54" s="51">
        <f>IF(A54="","",IF(A54&gt;=$B$15,$B$14*(1+$B$9)^(A54-$B$5),0))</f>
        <v/>
      </c>
      <c r="G54" s="51">
        <f>IF(A54="","",MAX(0,D54-E54-F54)/(1-$B$18))</f>
        <v/>
      </c>
      <c r="H54" s="51">
        <f>IF(A54="","",MAX(0,C54-G54)*$B$11)</f>
        <v/>
      </c>
      <c r="I54" s="51">
        <f>IF(A54="","",MAX(0,C54-G54+H54))</f>
        <v/>
      </c>
      <c r="J54" s="121">
        <f>IF(A54="","",IF(C54-G54&gt;=0,"Yes","Short"))</f>
        <v/>
      </c>
      <c r="L54">
        <f>IF(A54="",NA(),A54)</f>
        <v/>
      </c>
      <c r="M54">
        <f>IF(A54="",NA(),I54)</f>
        <v/>
      </c>
      <c r="N54">
        <f>IF(A54="",0,G54/(1+$B$11)^(A54-$B$6))</f>
        <v/>
      </c>
    </row>
    <row r="55">
      <c r="A55" s="129">
        <f>IF(A54="","",IF(A54+1&gt;$B$7,"",A54+1))</f>
        <v/>
      </c>
      <c r="B55" s="129">
        <f>IF(A55="","",'401(k)'!$B$16+A55-$B$5)</f>
        <v/>
      </c>
      <c r="C55" s="51">
        <f>IF(A55="","",I54)</f>
        <v/>
      </c>
      <c r="D55" s="51">
        <f>IF(A55="","",$B$8*(1+$B$9)^(A55-$B$5))</f>
        <v/>
      </c>
      <c r="E55" s="51">
        <f>IF(A55="","",IF(A55&gt;=$B$13,$B$12*12*(1+$B$9)^(A55-$B$5),0))</f>
        <v/>
      </c>
      <c r="F55" s="51">
        <f>IF(A55="","",IF(A55&gt;=$B$15,$B$14*(1+$B$9)^(A55-$B$5),0))</f>
        <v/>
      </c>
      <c r="G55" s="51">
        <f>IF(A55="","",MAX(0,D55-E55-F55)/(1-$B$18))</f>
        <v/>
      </c>
      <c r="H55" s="51">
        <f>IF(A55="","",MAX(0,C55-G55)*$B$11)</f>
        <v/>
      </c>
      <c r="I55" s="51">
        <f>IF(A55="","",MAX(0,C55-G55+H55))</f>
        <v/>
      </c>
      <c r="J55" s="121">
        <f>IF(A55="","",IF(C55-G55&gt;=0,"Yes","Short"))</f>
        <v/>
      </c>
      <c r="L55">
        <f>IF(A55="",NA(),A55)</f>
        <v/>
      </c>
      <c r="M55">
        <f>IF(A55="",NA(),I55)</f>
        <v/>
      </c>
      <c r="N55">
        <f>IF(A55="",0,G55/(1+$B$11)^(A55-$B$6))</f>
        <v/>
      </c>
    </row>
    <row r="56">
      <c r="A56" s="129">
        <f>IF(A55="","",IF(A55+1&gt;$B$7,"",A55+1))</f>
        <v/>
      </c>
      <c r="B56" s="129">
        <f>IF(A56="","",'401(k)'!$B$16+A56-$B$5)</f>
        <v/>
      </c>
      <c r="C56" s="51">
        <f>IF(A56="","",I55)</f>
        <v/>
      </c>
      <c r="D56" s="51">
        <f>IF(A56="","",$B$8*(1+$B$9)^(A56-$B$5))</f>
        <v/>
      </c>
      <c r="E56" s="51">
        <f>IF(A56="","",IF(A56&gt;=$B$13,$B$12*12*(1+$B$9)^(A56-$B$5),0))</f>
        <v/>
      </c>
      <c r="F56" s="51">
        <f>IF(A56="","",IF(A56&gt;=$B$15,$B$14*(1+$B$9)^(A56-$B$5),0))</f>
        <v/>
      </c>
      <c r="G56" s="51">
        <f>IF(A56="","",MAX(0,D56-E56-F56)/(1-$B$18))</f>
        <v/>
      </c>
      <c r="H56" s="51">
        <f>IF(A56="","",MAX(0,C56-G56)*$B$11)</f>
        <v/>
      </c>
      <c r="I56" s="51">
        <f>IF(A56="","",MAX(0,C56-G56+H56))</f>
        <v/>
      </c>
      <c r="J56" s="121">
        <f>IF(A56="","",IF(C56-G56&gt;=0,"Yes","Short"))</f>
        <v/>
      </c>
      <c r="L56">
        <f>IF(A56="",NA(),A56)</f>
        <v/>
      </c>
      <c r="M56">
        <f>IF(A56="",NA(),I56)</f>
        <v/>
      </c>
      <c r="N56">
        <f>IF(A56="",0,G56/(1+$B$11)^(A56-$B$6))</f>
        <v/>
      </c>
    </row>
    <row r="57">
      <c r="A57" s="129">
        <f>IF(A56="","",IF(A56+1&gt;$B$7,"",A56+1))</f>
        <v/>
      </c>
      <c r="B57" s="129">
        <f>IF(A57="","",'401(k)'!$B$16+A57-$B$5)</f>
        <v/>
      </c>
      <c r="C57" s="51">
        <f>IF(A57="","",I56)</f>
        <v/>
      </c>
      <c r="D57" s="51">
        <f>IF(A57="","",$B$8*(1+$B$9)^(A57-$B$5))</f>
        <v/>
      </c>
      <c r="E57" s="51">
        <f>IF(A57="","",IF(A57&gt;=$B$13,$B$12*12*(1+$B$9)^(A57-$B$5),0))</f>
        <v/>
      </c>
      <c r="F57" s="51">
        <f>IF(A57="","",IF(A57&gt;=$B$15,$B$14*(1+$B$9)^(A57-$B$5),0))</f>
        <v/>
      </c>
      <c r="G57" s="51">
        <f>IF(A57="","",MAX(0,D57-E57-F57)/(1-$B$18))</f>
        <v/>
      </c>
      <c r="H57" s="51">
        <f>IF(A57="","",MAX(0,C57-G57)*$B$11)</f>
        <v/>
      </c>
      <c r="I57" s="51">
        <f>IF(A57="","",MAX(0,C57-G57+H57))</f>
        <v/>
      </c>
      <c r="J57" s="121">
        <f>IF(A57="","",IF(C57-G57&gt;=0,"Yes","Short"))</f>
        <v/>
      </c>
      <c r="L57">
        <f>IF(A57="",NA(),A57)</f>
        <v/>
      </c>
      <c r="M57">
        <f>IF(A57="",NA(),I57)</f>
        <v/>
      </c>
      <c r="N57">
        <f>IF(A57="",0,G57/(1+$B$11)^(A57-$B$6))</f>
        <v/>
      </c>
    </row>
    <row r="58">
      <c r="A58" s="129">
        <f>IF(A57="","",IF(A57+1&gt;$B$7,"",A57+1))</f>
        <v/>
      </c>
      <c r="B58" s="129">
        <f>IF(A58="","",'401(k)'!$B$16+A58-$B$5)</f>
        <v/>
      </c>
      <c r="C58" s="51">
        <f>IF(A58="","",I57)</f>
        <v/>
      </c>
      <c r="D58" s="51">
        <f>IF(A58="","",$B$8*(1+$B$9)^(A58-$B$5))</f>
        <v/>
      </c>
      <c r="E58" s="51">
        <f>IF(A58="","",IF(A58&gt;=$B$13,$B$12*12*(1+$B$9)^(A58-$B$5),0))</f>
        <v/>
      </c>
      <c r="F58" s="51">
        <f>IF(A58="","",IF(A58&gt;=$B$15,$B$14*(1+$B$9)^(A58-$B$5),0))</f>
        <v/>
      </c>
      <c r="G58" s="51">
        <f>IF(A58="","",MAX(0,D58-E58-F58)/(1-$B$18))</f>
        <v/>
      </c>
      <c r="H58" s="51">
        <f>IF(A58="","",MAX(0,C58-G58)*$B$11)</f>
        <v/>
      </c>
      <c r="I58" s="51">
        <f>IF(A58="","",MAX(0,C58-G58+H58))</f>
        <v/>
      </c>
      <c r="J58" s="121">
        <f>IF(A58="","",IF(C58-G58&gt;=0,"Yes","Short"))</f>
        <v/>
      </c>
      <c r="L58">
        <f>IF(A58="",NA(),A58)</f>
        <v/>
      </c>
      <c r="M58">
        <f>IF(A58="",NA(),I58)</f>
        <v/>
      </c>
      <c r="N58">
        <f>IF(A58="",0,G58/(1+$B$11)^(A58-$B$6))</f>
        <v/>
      </c>
    </row>
    <row r="59">
      <c r="A59" s="129">
        <f>IF(A58="","",IF(A58+1&gt;$B$7,"",A58+1))</f>
        <v/>
      </c>
      <c r="B59" s="129">
        <f>IF(A59="","",'401(k)'!$B$16+A59-$B$5)</f>
        <v/>
      </c>
      <c r="C59" s="51">
        <f>IF(A59="","",I58)</f>
        <v/>
      </c>
      <c r="D59" s="51">
        <f>IF(A59="","",$B$8*(1+$B$9)^(A59-$B$5))</f>
        <v/>
      </c>
      <c r="E59" s="51">
        <f>IF(A59="","",IF(A59&gt;=$B$13,$B$12*12*(1+$B$9)^(A59-$B$5),0))</f>
        <v/>
      </c>
      <c r="F59" s="51">
        <f>IF(A59="","",IF(A59&gt;=$B$15,$B$14*(1+$B$9)^(A59-$B$5),0))</f>
        <v/>
      </c>
      <c r="G59" s="51">
        <f>IF(A59="","",MAX(0,D59-E59-F59)/(1-$B$18))</f>
        <v/>
      </c>
      <c r="H59" s="51">
        <f>IF(A59="","",MAX(0,C59-G59)*$B$11)</f>
        <v/>
      </c>
      <c r="I59" s="51">
        <f>IF(A59="","",MAX(0,C59-G59+H59))</f>
        <v/>
      </c>
      <c r="J59" s="121">
        <f>IF(A59="","",IF(C59-G59&gt;=0,"Yes","Short"))</f>
        <v/>
      </c>
      <c r="L59">
        <f>IF(A59="",NA(),A59)</f>
        <v/>
      </c>
      <c r="M59">
        <f>IF(A59="",NA(),I59)</f>
        <v/>
      </c>
      <c r="N59">
        <f>IF(A59="",0,G59/(1+$B$11)^(A59-$B$6))</f>
        <v/>
      </c>
    </row>
    <row r="60">
      <c r="A60" s="129">
        <f>IF(A59="","",IF(A59+1&gt;$B$7,"",A59+1))</f>
        <v/>
      </c>
      <c r="B60" s="129">
        <f>IF(A60="","",'401(k)'!$B$16+A60-$B$5)</f>
        <v/>
      </c>
      <c r="C60" s="51">
        <f>IF(A60="","",I59)</f>
        <v/>
      </c>
      <c r="D60" s="51">
        <f>IF(A60="","",$B$8*(1+$B$9)^(A60-$B$5))</f>
        <v/>
      </c>
      <c r="E60" s="51">
        <f>IF(A60="","",IF(A60&gt;=$B$13,$B$12*12*(1+$B$9)^(A60-$B$5),0))</f>
        <v/>
      </c>
      <c r="F60" s="51">
        <f>IF(A60="","",IF(A60&gt;=$B$15,$B$14*(1+$B$9)^(A60-$B$5),0))</f>
        <v/>
      </c>
      <c r="G60" s="51">
        <f>IF(A60="","",MAX(0,D60-E60-F60)/(1-$B$18))</f>
        <v/>
      </c>
      <c r="H60" s="51">
        <f>IF(A60="","",MAX(0,C60-G60)*$B$11)</f>
        <v/>
      </c>
      <c r="I60" s="51">
        <f>IF(A60="","",MAX(0,C60-G60+H60))</f>
        <v/>
      </c>
      <c r="J60" s="121">
        <f>IF(A60="","",IF(C60-G60&gt;=0,"Yes","Short"))</f>
        <v/>
      </c>
      <c r="L60">
        <f>IF(A60="",NA(),A60)</f>
        <v/>
      </c>
      <c r="M60">
        <f>IF(A60="",NA(),I60)</f>
        <v/>
      </c>
      <c r="N60">
        <f>IF(A60="",0,G60/(1+$B$11)^(A60-$B$6))</f>
        <v/>
      </c>
    </row>
    <row r="61">
      <c r="A61" s="129">
        <f>IF(A60="","",IF(A60+1&gt;$B$7,"",A60+1))</f>
        <v/>
      </c>
      <c r="B61" s="129">
        <f>IF(A61="","",'401(k)'!$B$16+A61-$B$5)</f>
        <v/>
      </c>
      <c r="C61" s="51">
        <f>IF(A61="","",I60)</f>
        <v/>
      </c>
      <c r="D61" s="51">
        <f>IF(A61="","",$B$8*(1+$B$9)^(A61-$B$5))</f>
        <v/>
      </c>
      <c r="E61" s="51">
        <f>IF(A61="","",IF(A61&gt;=$B$13,$B$12*12*(1+$B$9)^(A61-$B$5),0))</f>
        <v/>
      </c>
      <c r="F61" s="51">
        <f>IF(A61="","",IF(A61&gt;=$B$15,$B$14*(1+$B$9)^(A61-$B$5),0))</f>
        <v/>
      </c>
      <c r="G61" s="51">
        <f>IF(A61="","",MAX(0,D61-E61-F61)/(1-$B$18))</f>
        <v/>
      </c>
      <c r="H61" s="51">
        <f>IF(A61="","",MAX(0,C61-G61)*$B$11)</f>
        <v/>
      </c>
      <c r="I61" s="51">
        <f>IF(A61="","",MAX(0,C61-G61+H61))</f>
        <v/>
      </c>
      <c r="J61" s="121">
        <f>IF(A61="","",IF(C61-G61&gt;=0,"Yes","Short"))</f>
        <v/>
      </c>
      <c r="L61">
        <f>IF(A61="",NA(),A61)</f>
        <v/>
      </c>
      <c r="M61">
        <f>IF(A61="",NA(),I61)</f>
        <v/>
      </c>
      <c r="N61">
        <f>IF(A61="",0,G61/(1+$B$11)^(A61-$B$6))</f>
        <v/>
      </c>
    </row>
    <row r="62">
      <c r="A62" s="129">
        <f>IF(A61="","",IF(A61+1&gt;$B$7,"",A61+1))</f>
        <v/>
      </c>
      <c r="B62" s="129">
        <f>IF(A62="","",'401(k)'!$B$16+A62-$B$5)</f>
        <v/>
      </c>
      <c r="C62" s="51">
        <f>IF(A62="","",I61)</f>
        <v/>
      </c>
      <c r="D62" s="51">
        <f>IF(A62="","",$B$8*(1+$B$9)^(A62-$B$5))</f>
        <v/>
      </c>
      <c r="E62" s="51">
        <f>IF(A62="","",IF(A62&gt;=$B$13,$B$12*12*(1+$B$9)^(A62-$B$5),0))</f>
        <v/>
      </c>
      <c r="F62" s="51">
        <f>IF(A62="","",IF(A62&gt;=$B$15,$B$14*(1+$B$9)^(A62-$B$5),0))</f>
        <v/>
      </c>
      <c r="G62" s="51">
        <f>IF(A62="","",MAX(0,D62-E62-F62)/(1-$B$18))</f>
        <v/>
      </c>
      <c r="H62" s="51">
        <f>IF(A62="","",MAX(0,C62-G62)*$B$11)</f>
        <v/>
      </c>
      <c r="I62" s="51">
        <f>IF(A62="","",MAX(0,C62-G62+H62))</f>
        <v/>
      </c>
      <c r="J62" s="121">
        <f>IF(A62="","",IF(C62-G62&gt;=0,"Yes","Short"))</f>
        <v/>
      </c>
      <c r="L62">
        <f>IF(A62="",NA(),A62)</f>
        <v/>
      </c>
      <c r="M62">
        <f>IF(A62="",NA(),I62)</f>
        <v/>
      </c>
      <c r="N62">
        <f>IF(A62="",0,G62/(1+$B$11)^(A62-$B$6))</f>
        <v/>
      </c>
    </row>
    <row r="63">
      <c r="A63" s="129">
        <f>IF(A62="","",IF(A62+1&gt;$B$7,"",A62+1))</f>
        <v/>
      </c>
      <c r="B63" s="129">
        <f>IF(A63="","",'401(k)'!$B$16+A63-$B$5)</f>
        <v/>
      </c>
      <c r="C63" s="51">
        <f>IF(A63="","",I62)</f>
        <v/>
      </c>
      <c r="D63" s="51">
        <f>IF(A63="","",$B$8*(1+$B$9)^(A63-$B$5))</f>
        <v/>
      </c>
      <c r="E63" s="51">
        <f>IF(A63="","",IF(A63&gt;=$B$13,$B$12*12*(1+$B$9)^(A63-$B$5),0))</f>
        <v/>
      </c>
      <c r="F63" s="51">
        <f>IF(A63="","",IF(A63&gt;=$B$15,$B$14*(1+$B$9)^(A63-$B$5),0))</f>
        <v/>
      </c>
      <c r="G63" s="51">
        <f>IF(A63="","",MAX(0,D63-E63-F63)/(1-$B$18))</f>
        <v/>
      </c>
      <c r="H63" s="51">
        <f>IF(A63="","",MAX(0,C63-G63)*$B$11)</f>
        <v/>
      </c>
      <c r="I63" s="51">
        <f>IF(A63="","",MAX(0,C63-G63+H63))</f>
        <v/>
      </c>
      <c r="J63" s="121">
        <f>IF(A63="","",IF(C63-G63&gt;=0,"Yes","Short"))</f>
        <v/>
      </c>
      <c r="L63">
        <f>IF(A63="",NA(),A63)</f>
        <v/>
      </c>
      <c r="M63">
        <f>IF(A63="",NA(),I63)</f>
        <v/>
      </c>
      <c r="N63">
        <f>IF(A63="",0,G63/(1+$B$11)^(A63-$B$6))</f>
        <v/>
      </c>
    </row>
    <row r="64">
      <c r="A64" s="129">
        <f>IF(A63="","",IF(A63+1&gt;$B$7,"",A63+1))</f>
        <v/>
      </c>
      <c r="B64" s="129">
        <f>IF(A64="","",'401(k)'!$B$16+A64-$B$5)</f>
        <v/>
      </c>
      <c r="C64" s="51">
        <f>IF(A64="","",I63)</f>
        <v/>
      </c>
      <c r="D64" s="51">
        <f>IF(A64="","",$B$8*(1+$B$9)^(A64-$B$5))</f>
        <v/>
      </c>
      <c r="E64" s="51">
        <f>IF(A64="","",IF(A64&gt;=$B$13,$B$12*12*(1+$B$9)^(A64-$B$5),0))</f>
        <v/>
      </c>
      <c r="F64" s="51">
        <f>IF(A64="","",IF(A64&gt;=$B$15,$B$14*(1+$B$9)^(A64-$B$5),0))</f>
        <v/>
      </c>
      <c r="G64" s="51">
        <f>IF(A64="","",MAX(0,D64-E64-F64)/(1-$B$18))</f>
        <v/>
      </c>
      <c r="H64" s="51">
        <f>IF(A64="","",MAX(0,C64-G64)*$B$11)</f>
        <v/>
      </c>
      <c r="I64" s="51">
        <f>IF(A64="","",MAX(0,C64-G64+H64))</f>
        <v/>
      </c>
      <c r="J64" s="121">
        <f>IF(A64="","",IF(C64-G64&gt;=0,"Yes","Short"))</f>
        <v/>
      </c>
      <c r="L64">
        <f>IF(A64="",NA(),A64)</f>
        <v/>
      </c>
      <c r="M64">
        <f>IF(A64="",NA(),I64)</f>
        <v/>
      </c>
      <c r="N64">
        <f>IF(A64="",0,G64/(1+$B$11)^(A64-$B$6))</f>
        <v/>
      </c>
    </row>
    <row r="65">
      <c r="A65" s="129">
        <f>IF(A64="","",IF(A64+1&gt;$B$7,"",A64+1))</f>
        <v/>
      </c>
      <c r="B65" s="129">
        <f>IF(A65="","",'401(k)'!$B$16+A65-$B$5)</f>
        <v/>
      </c>
      <c r="C65" s="51">
        <f>IF(A65="","",I64)</f>
        <v/>
      </c>
      <c r="D65" s="51">
        <f>IF(A65="","",$B$8*(1+$B$9)^(A65-$B$5))</f>
        <v/>
      </c>
      <c r="E65" s="51">
        <f>IF(A65="","",IF(A65&gt;=$B$13,$B$12*12*(1+$B$9)^(A65-$B$5),0))</f>
        <v/>
      </c>
      <c r="F65" s="51">
        <f>IF(A65="","",IF(A65&gt;=$B$15,$B$14*(1+$B$9)^(A65-$B$5),0))</f>
        <v/>
      </c>
      <c r="G65" s="51">
        <f>IF(A65="","",MAX(0,D65-E65-F65)/(1-$B$18))</f>
        <v/>
      </c>
      <c r="H65" s="51">
        <f>IF(A65="","",MAX(0,C65-G65)*$B$11)</f>
        <v/>
      </c>
      <c r="I65" s="51">
        <f>IF(A65="","",MAX(0,C65-G65+H65))</f>
        <v/>
      </c>
      <c r="J65" s="121">
        <f>IF(A65="","",IF(C65-G65&gt;=0,"Yes","Short"))</f>
        <v/>
      </c>
      <c r="L65">
        <f>IF(A65="",NA(),A65)</f>
        <v/>
      </c>
      <c r="M65">
        <f>IF(A65="",NA(),I65)</f>
        <v/>
      </c>
      <c r="N65">
        <f>IF(A65="",0,G65/(1+$B$11)^(A65-$B$6))</f>
        <v/>
      </c>
    </row>
    <row r="66">
      <c r="A66" s="129">
        <f>IF(A65="","",IF(A65+1&gt;$B$7,"",A65+1))</f>
        <v/>
      </c>
      <c r="B66" s="129">
        <f>IF(A66="","",'401(k)'!$B$16+A66-$B$5)</f>
        <v/>
      </c>
      <c r="C66" s="51">
        <f>IF(A66="","",I65)</f>
        <v/>
      </c>
      <c r="D66" s="51">
        <f>IF(A66="","",$B$8*(1+$B$9)^(A66-$B$5))</f>
        <v/>
      </c>
      <c r="E66" s="51">
        <f>IF(A66="","",IF(A66&gt;=$B$13,$B$12*12*(1+$B$9)^(A66-$B$5),0))</f>
        <v/>
      </c>
      <c r="F66" s="51">
        <f>IF(A66="","",IF(A66&gt;=$B$15,$B$14*(1+$B$9)^(A66-$B$5),0))</f>
        <v/>
      </c>
      <c r="G66" s="51">
        <f>IF(A66="","",MAX(0,D66-E66-F66)/(1-$B$18))</f>
        <v/>
      </c>
      <c r="H66" s="51">
        <f>IF(A66="","",MAX(0,C66-G66)*$B$11)</f>
        <v/>
      </c>
      <c r="I66" s="51">
        <f>IF(A66="","",MAX(0,C66-G66+H66))</f>
        <v/>
      </c>
      <c r="J66" s="121">
        <f>IF(A66="","",IF(C66-G66&gt;=0,"Yes","Short"))</f>
        <v/>
      </c>
      <c r="L66">
        <f>IF(A66="",NA(),A66)</f>
        <v/>
      </c>
      <c r="M66">
        <f>IF(A66="",NA(),I66)</f>
        <v/>
      </c>
      <c r="N66">
        <f>IF(A66="",0,G66/(1+$B$11)^(A66-$B$6))</f>
        <v/>
      </c>
    </row>
    <row r="67">
      <c r="A67" s="129">
        <f>IF(A66="","",IF(A66+1&gt;$B$7,"",A66+1))</f>
        <v/>
      </c>
      <c r="B67" s="129">
        <f>IF(A67="","",'401(k)'!$B$16+A67-$B$5)</f>
        <v/>
      </c>
      <c r="C67" s="51">
        <f>IF(A67="","",I66)</f>
        <v/>
      </c>
      <c r="D67" s="51">
        <f>IF(A67="","",$B$8*(1+$B$9)^(A67-$B$5))</f>
        <v/>
      </c>
      <c r="E67" s="51">
        <f>IF(A67="","",IF(A67&gt;=$B$13,$B$12*12*(1+$B$9)^(A67-$B$5),0))</f>
        <v/>
      </c>
      <c r="F67" s="51">
        <f>IF(A67="","",IF(A67&gt;=$B$15,$B$14*(1+$B$9)^(A67-$B$5),0))</f>
        <v/>
      </c>
      <c r="G67" s="51">
        <f>IF(A67="","",MAX(0,D67-E67-F67)/(1-$B$18))</f>
        <v/>
      </c>
      <c r="H67" s="51">
        <f>IF(A67="","",MAX(0,C67-G67)*$B$11)</f>
        <v/>
      </c>
      <c r="I67" s="51">
        <f>IF(A67="","",MAX(0,C67-G67+H67))</f>
        <v/>
      </c>
      <c r="J67" s="121">
        <f>IF(A67="","",IF(C67-G67&gt;=0,"Yes","Short"))</f>
        <v/>
      </c>
      <c r="L67">
        <f>IF(A67="",NA(),A67)</f>
        <v/>
      </c>
      <c r="M67">
        <f>IF(A67="",NA(),I67)</f>
        <v/>
      </c>
      <c r="N67">
        <f>IF(A67="",0,G67/(1+$B$11)^(A67-$B$6))</f>
        <v/>
      </c>
    </row>
    <row r="68">
      <c r="A68" s="129">
        <f>IF(A67="","",IF(A67+1&gt;$B$7,"",A67+1))</f>
        <v/>
      </c>
      <c r="B68" s="129">
        <f>IF(A68="","",'401(k)'!$B$16+A68-$B$5)</f>
        <v/>
      </c>
      <c r="C68" s="51">
        <f>IF(A68="","",I67)</f>
        <v/>
      </c>
      <c r="D68" s="51">
        <f>IF(A68="","",$B$8*(1+$B$9)^(A68-$B$5))</f>
        <v/>
      </c>
      <c r="E68" s="51">
        <f>IF(A68="","",IF(A68&gt;=$B$13,$B$12*12*(1+$B$9)^(A68-$B$5),0))</f>
        <v/>
      </c>
      <c r="F68" s="51">
        <f>IF(A68="","",IF(A68&gt;=$B$15,$B$14*(1+$B$9)^(A68-$B$5),0))</f>
        <v/>
      </c>
      <c r="G68" s="51">
        <f>IF(A68="","",MAX(0,D68-E68-F68)/(1-$B$18))</f>
        <v/>
      </c>
      <c r="H68" s="51">
        <f>IF(A68="","",MAX(0,C68-G68)*$B$11)</f>
        <v/>
      </c>
      <c r="I68" s="51">
        <f>IF(A68="","",MAX(0,C68-G68+H68))</f>
        <v/>
      </c>
      <c r="J68" s="121">
        <f>IF(A68="","",IF(C68-G68&gt;=0,"Yes","Short"))</f>
        <v/>
      </c>
      <c r="L68">
        <f>IF(A68="",NA(),A68)</f>
        <v/>
      </c>
      <c r="M68">
        <f>IF(A68="",NA(),I68)</f>
        <v/>
      </c>
      <c r="N68">
        <f>IF(A68="",0,G68/(1+$B$11)^(A68-$B$6))</f>
        <v/>
      </c>
    </row>
    <row r="69">
      <c r="A69" s="129">
        <f>IF(A68="","",IF(A68+1&gt;$B$7,"",A68+1))</f>
        <v/>
      </c>
      <c r="B69" s="129">
        <f>IF(A69="","",'401(k)'!$B$16+A69-$B$5)</f>
        <v/>
      </c>
      <c r="C69" s="51">
        <f>IF(A69="","",I68)</f>
        <v/>
      </c>
      <c r="D69" s="51">
        <f>IF(A69="","",$B$8*(1+$B$9)^(A69-$B$5))</f>
        <v/>
      </c>
      <c r="E69" s="51">
        <f>IF(A69="","",IF(A69&gt;=$B$13,$B$12*12*(1+$B$9)^(A69-$B$5),0))</f>
        <v/>
      </c>
      <c r="F69" s="51">
        <f>IF(A69="","",IF(A69&gt;=$B$15,$B$14*(1+$B$9)^(A69-$B$5),0))</f>
        <v/>
      </c>
      <c r="G69" s="51">
        <f>IF(A69="","",MAX(0,D69-E69-F69)/(1-$B$18))</f>
        <v/>
      </c>
      <c r="H69" s="51">
        <f>IF(A69="","",MAX(0,C69-G69)*$B$11)</f>
        <v/>
      </c>
      <c r="I69" s="51">
        <f>IF(A69="","",MAX(0,C69-G69+H69))</f>
        <v/>
      </c>
      <c r="J69" s="121">
        <f>IF(A69="","",IF(C69-G69&gt;=0,"Yes","Short"))</f>
        <v/>
      </c>
      <c r="L69">
        <f>IF(A69="",NA(),A69)</f>
        <v/>
      </c>
      <c r="M69">
        <f>IF(A69="",NA(),I69)</f>
        <v/>
      </c>
      <c r="N69">
        <f>IF(A69="",0,G69/(1+$B$11)^(A69-$B$6))</f>
        <v/>
      </c>
    </row>
    <row r="70">
      <c r="A70" s="129">
        <f>IF(A69="","",IF(A69+1&gt;$B$7,"",A69+1))</f>
        <v/>
      </c>
      <c r="B70" s="129">
        <f>IF(A70="","",'401(k)'!$B$16+A70-$B$5)</f>
        <v/>
      </c>
      <c r="C70" s="51">
        <f>IF(A70="","",I69)</f>
        <v/>
      </c>
      <c r="D70" s="51">
        <f>IF(A70="","",$B$8*(1+$B$9)^(A70-$B$5))</f>
        <v/>
      </c>
      <c r="E70" s="51">
        <f>IF(A70="","",IF(A70&gt;=$B$13,$B$12*12*(1+$B$9)^(A70-$B$5),0))</f>
        <v/>
      </c>
      <c r="F70" s="51">
        <f>IF(A70="","",IF(A70&gt;=$B$15,$B$14*(1+$B$9)^(A70-$B$5),0))</f>
        <v/>
      </c>
      <c r="G70" s="51">
        <f>IF(A70="","",MAX(0,D70-E70-F70)/(1-$B$18))</f>
        <v/>
      </c>
      <c r="H70" s="51">
        <f>IF(A70="","",MAX(0,C70-G70)*$B$11)</f>
        <v/>
      </c>
      <c r="I70" s="51">
        <f>IF(A70="","",MAX(0,C70-G70+H70))</f>
        <v/>
      </c>
      <c r="J70" s="121">
        <f>IF(A70="","",IF(C70-G70&gt;=0,"Yes","Short"))</f>
        <v/>
      </c>
      <c r="L70">
        <f>IF(A70="",NA(),A70)</f>
        <v/>
      </c>
      <c r="M70">
        <f>IF(A70="",NA(),I70)</f>
        <v/>
      </c>
      <c r="N70">
        <f>IF(A70="",0,G70/(1+$B$11)^(A70-$B$6))</f>
        <v/>
      </c>
    </row>
    <row r="71">
      <c r="A71" s="129">
        <f>IF(A70="","",IF(A70+1&gt;$B$7,"",A70+1))</f>
        <v/>
      </c>
      <c r="B71" s="129">
        <f>IF(A71="","",'401(k)'!$B$16+A71-$B$5)</f>
        <v/>
      </c>
      <c r="C71" s="51">
        <f>IF(A71="","",I70)</f>
        <v/>
      </c>
      <c r="D71" s="51">
        <f>IF(A71="","",$B$8*(1+$B$9)^(A71-$B$5))</f>
        <v/>
      </c>
      <c r="E71" s="51">
        <f>IF(A71="","",IF(A71&gt;=$B$13,$B$12*12*(1+$B$9)^(A71-$B$5),0))</f>
        <v/>
      </c>
      <c r="F71" s="51">
        <f>IF(A71="","",IF(A71&gt;=$B$15,$B$14*(1+$B$9)^(A71-$B$5),0))</f>
        <v/>
      </c>
      <c r="G71" s="51">
        <f>IF(A71="","",MAX(0,D71-E71-F71)/(1-$B$18))</f>
        <v/>
      </c>
      <c r="H71" s="51">
        <f>IF(A71="","",MAX(0,C71-G71)*$B$11)</f>
        <v/>
      </c>
      <c r="I71" s="51">
        <f>IF(A71="","",MAX(0,C71-G71+H71))</f>
        <v/>
      </c>
      <c r="J71" s="121">
        <f>IF(A71="","",IF(C71-G71&gt;=0,"Yes","Short"))</f>
        <v/>
      </c>
      <c r="L71">
        <f>IF(A71="",NA(),A71)</f>
        <v/>
      </c>
      <c r="M71">
        <f>IF(A71="",NA(),I71)</f>
        <v/>
      </c>
      <c r="N71">
        <f>IF(A71="",0,G71/(1+$B$11)^(A71-$B$6))</f>
        <v/>
      </c>
    </row>
    <row r="72">
      <c r="A72" s="129">
        <f>IF(A71="","",IF(A71+1&gt;$B$7,"",A71+1))</f>
        <v/>
      </c>
      <c r="B72" s="129">
        <f>IF(A72="","",'401(k)'!$B$16+A72-$B$5)</f>
        <v/>
      </c>
      <c r="C72" s="51">
        <f>IF(A72="","",I71)</f>
        <v/>
      </c>
      <c r="D72" s="51">
        <f>IF(A72="","",$B$8*(1+$B$9)^(A72-$B$5))</f>
        <v/>
      </c>
      <c r="E72" s="51">
        <f>IF(A72="","",IF(A72&gt;=$B$13,$B$12*12*(1+$B$9)^(A72-$B$5),0))</f>
        <v/>
      </c>
      <c r="F72" s="51">
        <f>IF(A72="","",IF(A72&gt;=$B$15,$B$14*(1+$B$9)^(A72-$B$5),0))</f>
        <v/>
      </c>
      <c r="G72" s="51">
        <f>IF(A72="","",MAX(0,D72-E72-F72)/(1-$B$18))</f>
        <v/>
      </c>
      <c r="H72" s="51">
        <f>IF(A72="","",MAX(0,C72-G72)*$B$11)</f>
        <v/>
      </c>
      <c r="I72" s="51">
        <f>IF(A72="","",MAX(0,C72-G72+H72))</f>
        <v/>
      </c>
      <c r="J72" s="121">
        <f>IF(A72="","",IF(C72-G72&gt;=0,"Yes","Short"))</f>
        <v/>
      </c>
      <c r="L72">
        <f>IF(A72="",NA(),A72)</f>
        <v/>
      </c>
      <c r="M72">
        <f>IF(A72="",NA(),I72)</f>
        <v/>
      </c>
      <c r="N72">
        <f>IF(A72="",0,G72/(1+$B$11)^(A72-$B$6))</f>
        <v/>
      </c>
    </row>
    <row r="73">
      <c r="A73" s="129">
        <f>IF(A72="","",IF(A72+1&gt;$B$7,"",A72+1))</f>
        <v/>
      </c>
      <c r="B73" s="129">
        <f>IF(A73="","",'401(k)'!$B$16+A73-$B$5)</f>
        <v/>
      </c>
      <c r="C73" s="51">
        <f>IF(A73="","",I72)</f>
        <v/>
      </c>
      <c r="D73" s="51">
        <f>IF(A73="","",$B$8*(1+$B$9)^(A73-$B$5))</f>
        <v/>
      </c>
      <c r="E73" s="51">
        <f>IF(A73="","",IF(A73&gt;=$B$13,$B$12*12*(1+$B$9)^(A73-$B$5),0))</f>
        <v/>
      </c>
      <c r="F73" s="51">
        <f>IF(A73="","",IF(A73&gt;=$B$15,$B$14*(1+$B$9)^(A73-$B$5),0))</f>
        <v/>
      </c>
      <c r="G73" s="51">
        <f>IF(A73="","",MAX(0,D73-E73-F73)/(1-$B$18))</f>
        <v/>
      </c>
      <c r="H73" s="51">
        <f>IF(A73="","",MAX(0,C73-G73)*$B$11)</f>
        <v/>
      </c>
      <c r="I73" s="51">
        <f>IF(A73="","",MAX(0,C73-G73+H73))</f>
        <v/>
      </c>
      <c r="J73" s="121">
        <f>IF(A73="","",IF(C73-G73&gt;=0,"Yes","Short"))</f>
        <v/>
      </c>
      <c r="L73">
        <f>IF(A73="",NA(),A73)</f>
        <v/>
      </c>
      <c r="M73">
        <f>IF(A73="",NA(),I73)</f>
        <v/>
      </c>
      <c r="N73">
        <f>IF(A73="",0,G73/(1+$B$11)^(A73-$B$6))</f>
        <v/>
      </c>
    </row>
    <row r="74">
      <c r="A74" s="129">
        <f>IF(A73="","",IF(A73+1&gt;$B$7,"",A73+1))</f>
        <v/>
      </c>
      <c r="B74" s="129">
        <f>IF(A74="","",'401(k)'!$B$16+A74-$B$5)</f>
        <v/>
      </c>
      <c r="C74" s="51">
        <f>IF(A74="","",I73)</f>
        <v/>
      </c>
      <c r="D74" s="51">
        <f>IF(A74="","",$B$8*(1+$B$9)^(A74-$B$5))</f>
        <v/>
      </c>
      <c r="E74" s="51">
        <f>IF(A74="","",IF(A74&gt;=$B$13,$B$12*12*(1+$B$9)^(A74-$B$5),0))</f>
        <v/>
      </c>
      <c r="F74" s="51">
        <f>IF(A74="","",IF(A74&gt;=$B$15,$B$14*(1+$B$9)^(A74-$B$5),0))</f>
        <v/>
      </c>
      <c r="G74" s="51">
        <f>IF(A74="","",MAX(0,D74-E74-F74)/(1-$B$18))</f>
        <v/>
      </c>
      <c r="H74" s="51">
        <f>IF(A74="","",MAX(0,C74-G74)*$B$11)</f>
        <v/>
      </c>
      <c r="I74" s="51">
        <f>IF(A74="","",MAX(0,C74-G74+H74))</f>
        <v/>
      </c>
      <c r="J74" s="121">
        <f>IF(A74="","",IF(C74-G74&gt;=0,"Yes","Short"))</f>
        <v/>
      </c>
      <c r="L74">
        <f>IF(A74="",NA(),A74)</f>
        <v/>
      </c>
      <c r="M74">
        <f>IF(A74="",NA(),I74)</f>
        <v/>
      </c>
      <c r="N74">
        <f>IF(A74="",0,G74/(1+$B$11)^(A74-$B$6))</f>
        <v/>
      </c>
    </row>
    <row r="75">
      <c r="A75" s="129">
        <f>IF(A74="","",IF(A74+1&gt;$B$7,"",A74+1))</f>
        <v/>
      </c>
      <c r="B75" s="129">
        <f>IF(A75="","",'401(k)'!$B$16+A75-$B$5)</f>
        <v/>
      </c>
      <c r="C75" s="51">
        <f>IF(A75="","",I74)</f>
        <v/>
      </c>
      <c r="D75" s="51">
        <f>IF(A75="","",$B$8*(1+$B$9)^(A75-$B$5))</f>
        <v/>
      </c>
      <c r="E75" s="51">
        <f>IF(A75="","",IF(A75&gt;=$B$13,$B$12*12*(1+$B$9)^(A75-$B$5),0))</f>
        <v/>
      </c>
      <c r="F75" s="51">
        <f>IF(A75="","",IF(A75&gt;=$B$15,$B$14*(1+$B$9)^(A75-$B$5),0))</f>
        <v/>
      </c>
      <c r="G75" s="51">
        <f>IF(A75="","",MAX(0,D75-E75-F75)/(1-$B$18))</f>
        <v/>
      </c>
      <c r="H75" s="51">
        <f>IF(A75="","",MAX(0,C75-G75)*$B$11)</f>
        <v/>
      </c>
      <c r="I75" s="51">
        <f>IF(A75="","",MAX(0,C75-G75+H75))</f>
        <v/>
      </c>
      <c r="J75" s="121">
        <f>IF(A75="","",IF(C75-G75&gt;=0,"Yes","Short"))</f>
        <v/>
      </c>
      <c r="L75">
        <f>IF(A75="",NA(),A75)</f>
        <v/>
      </c>
      <c r="M75">
        <f>IF(A75="",NA(),I75)</f>
        <v/>
      </c>
      <c r="N75">
        <f>IF(A75="",0,G75/(1+$B$11)^(A75-$B$6))</f>
        <v/>
      </c>
    </row>
    <row r="76">
      <c r="A76" s="129">
        <f>IF(A75="","",IF(A75+1&gt;$B$7,"",A75+1))</f>
        <v/>
      </c>
      <c r="B76" s="129">
        <f>IF(A76="","",'401(k)'!$B$16+A76-$B$5)</f>
        <v/>
      </c>
      <c r="C76" s="51">
        <f>IF(A76="","",I75)</f>
        <v/>
      </c>
      <c r="D76" s="51">
        <f>IF(A76="","",$B$8*(1+$B$9)^(A76-$B$5))</f>
        <v/>
      </c>
      <c r="E76" s="51">
        <f>IF(A76="","",IF(A76&gt;=$B$13,$B$12*12*(1+$B$9)^(A76-$B$5),0))</f>
        <v/>
      </c>
      <c r="F76" s="51">
        <f>IF(A76="","",IF(A76&gt;=$B$15,$B$14*(1+$B$9)^(A76-$B$5),0))</f>
        <v/>
      </c>
      <c r="G76" s="51">
        <f>IF(A76="","",MAX(0,D76-E76-F76)/(1-$B$18))</f>
        <v/>
      </c>
      <c r="H76" s="51">
        <f>IF(A76="","",MAX(0,C76-G76)*$B$11)</f>
        <v/>
      </c>
      <c r="I76" s="51">
        <f>IF(A76="","",MAX(0,C76-G76+H76))</f>
        <v/>
      </c>
      <c r="J76" s="121">
        <f>IF(A76="","",IF(C76-G76&gt;=0,"Yes","Short"))</f>
        <v/>
      </c>
      <c r="L76">
        <f>IF(A76="",NA(),A76)</f>
        <v/>
      </c>
      <c r="M76">
        <f>IF(A76="",NA(),I76)</f>
        <v/>
      </c>
      <c r="N76">
        <f>IF(A76="",0,G76/(1+$B$11)^(A76-$B$6))</f>
        <v/>
      </c>
    </row>
    <row r="77">
      <c r="A77" s="129">
        <f>IF(A76="","",IF(A76+1&gt;$B$7,"",A76+1))</f>
        <v/>
      </c>
      <c r="B77" s="129">
        <f>IF(A77="","",'401(k)'!$B$16+A77-$B$5)</f>
        <v/>
      </c>
      <c r="C77" s="51">
        <f>IF(A77="","",I76)</f>
        <v/>
      </c>
      <c r="D77" s="51">
        <f>IF(A77="","",$B$8*(1+$B$9)^(A77-$B$5))</f>
        <v/>
      </c>
      <c r="E77" s="51">
        <f>IF(A77="","",IF(A77&gt;=$B$13,$B$12*12*(1+$B$9)^(A77-$B$5),0))</f>
        <v/>
      </c>
      <c r="F77" s="51">
        <f>IF(A77="","",IF(A77&gt;=$B$15,$B$14*(1+$B$9)^(A77-$B$5),0))</f>
        <v/>
      </c>
      <c r="G77" s="51">
        <f>IF(A77="","",MAX(0,D77-E77-F77)/(1-$B$18))</f>
        <v/>
      </c>
      <c r="H77" s="51">
        <f>IF(A77="","",MAX(0,C77-G77)*$B$11)</f>
        <v/>
      </c>
      <c r="I77" s="51">
        <f>IF(A77="","",MAX(0,C77-G77+H77))</f>
        <v/>
      </c>
      <c r="J77" s="121">
        <f>IF(A77="","",IF(C77-G77&gt;=0,"Yes","Short"))</f>
        <v/>
      </c>
      <c r="L77">
        <f>IF(A77="",NA(),A77)</f>
        <v/>
      </c>
      <c r="M77">
        <f>IF(A77="",NA(),I77)</f>
        <v/>
      </c>
      <c r="N77">
        <f>IF(A77="",0,G77/(1+$B$11)^(A77-$B$6))</f>
        <v/>
      </c>
    </row>
    <row r="78">
      <c r="A78" s="129">
        <f>IF(A77="","",IF(A77+1&gt;$B$7,"",A77+1))</f>
        <v/>
      </c>
      <c r="B78" s="129">
        <f>IF(A78="","",'401(k)'!$B$16+A78-$B$5)</f>
        <v/>
      </c>
      <c r="C78" s="51">
        <f>IF(A78="","",I77)</f>
        <v/>
      </c>
      <c r="D78" s="51">
        <f>IF(A78="","",$B$8*(1+$B$9)^(A78-$B$5))</f>
        <v/>
      </c>
      <c r="E78" s="51">
        <f>IF(A78="","",IF(A78&gt;=$B$13,$B$12*12*(1+$B$9)^(A78-$B$5),0))</f>
        <v/>
      </c>
      <c r="F78" s="51">
        <f>IF(A78="","",IF(A78&gt;=$B$15,$B$14*(1+$B$9)^(A78-$B$5),0))</f>
        <v/>
      </c>
      <c r="G78" s="51">
        <f>IF(A78="","",MAX(0,D78-E78-F78)/(1-$B$18))</f>
        <v/>
      </c>
      <c r="H78" s="51">
        <f>IF(A78="","",MAX(0,C78-G78)*$B$11)</f>
        <v/>
      </c>
      <c r="I78" s="51">
        <f>IF(A78="","",MAX(0,C78-G78+H78))</f>
        <v/>
      </c>
      <c r="J78" s="121">
        <f>IF(A78="","",IF(C78-G78&gt;=0,"Yes","Short"))</f>
        <v/>
      </c>
      <c r="L78">
        <f>IF(A78="",NA(),A78)</f>
        <v/>
      </c>
      <c r="M78">
        <f>IF(A78="",NA(),I78)</f>
        <v/>
      </c>
      <c r="N78">
        <f>IF(A78="",0,G78/(1+$B$11)^(A78-$B$6))</f>
        <v/>
      </c>
    </row>
    <row r="79">
      <c r="A79" s="129">
        <f>IF(A78="","",IF(A78+1&gt;$B$7,"",A78+1))</f>
        <v/>
      </c>
      <c r="B79" s="129">
        <f>IF(A79="","",'401(k)'!$B$16+A79-$B$5)</f>
        <v/>
      </c>
      <c r="C79" s="51">
        <f>IF(A79="","",I78)</f>
        <v/>
      </c>
      <c r="D79" s="51">
        <f>IF(A79="","",$B$8*(1+$B$9)^(A79-$B$5))</f>
        <v/>
      </c>
      <c r="E79" s="51">
        <f>IF(A79="","",IF(A79&gt;=$B$13,$B$12*12*(1+$B$9)^(A79-$B$5),0))</f>
        <v/>
      </c>
      <c r="F79" s="51">
        <f>IF(A79="","",IF(A79&gt;=$B$15,$B$14*(1+$B$9)^(A79-$B$5),0))</f>
        <v/>
      </c>
      <c r="G79" s="51">
        <f>IF(A79="","",MAX(0,D79-E79-F79)/(1-$B$18))</f>
        <v/>
      </c>
      <c r="H79" s="51">
        <f>IF(A79="","",MAX(0,C79-G79)*$B$11)</f>
        <v/>
      </c>
      <c r="I79" s="51">
        <f>IF(A79="","",MAX(0,C79-G79+H79))</f>
        <v/>
      </c>
      <c r="J79" s="121">
        <f>IF(A79="","",IF(C79-G79&gt;=0,"Yes","Short"))</f>
        <v/>
      </c>
      <c r="L79">
        <f>IF(A79="",NA(),A79)</f>
        <v/>
      </c>
      <c r="M79">
        <f>IF(A79="",NA(),I79)</f>
        <v/>
      </c>
      <c r="N79">
        <f>IF(A79="",0,G79/(1+$B$11)^(A79-$B$6))</f>
        <v/>
      </c>
    </row>
    <row r="80">
      <c r="A80" s="129">
        <f>IF(A79="","",IF(A79+1&gt;$B$7,"",A79+1))</f>
        <v/>
      </c>
      <c r="B80" s="129">
        <f>IF(A80="","",'401(k)'!$B$16+A80-$B$5)</f>
        <v/>
      </c>
      <c r="C80" s="51">
        <f>IF(A80="","",I79)</f>
        <v/>
      </c>
      <c r="D80" s="51">
        <f>IF(A80="","",$B$8*(1+$B$9)^(A80-$B$5))</f>
        <v/>
      </c>
      <c r="E80" s="51">
        <f>IF(A80="","",IF(A80&gt;=$B$13,$B$12*12*(1+$B$9)^(A80-$B$5),0))</f>
        <v/>
      </c>
      <c r="F80" s="51">
        <f>IF(A80="","",IF(A80&gt;=$B$15,$B$14*(1+$B$9)^(A80-$B$5),0))</f>
        <v/>
      </c>
      <c r="G80" s="51">
        <f>IF(A80="","",MAX(0,D80-E80-F80)/(1-$B$18))</f>
        <v/>
      </c>
      <c r="H80" s="51">
        <f>IF(A80="","",MAX(0,C80-G80)*$B$11)</f>
        <v/>
      </c>
      <c r="I80" s="51">
        <f>IF(A80="","",MAX(0,C80-G80+H80))</f>
        <v/>
      </c>
      <c r="J80" s="121">
        <f>IF(A80="","",IF(C80-G80&gt;=0,"Yes","Short"))</f>
        <v/>
      </c>
      <c r="L80">
        <f>IF(A80="",NA(),A80)</f>
        <v/>
      </c>
      <c r="M80">
        <f>IF(A80="",NA(),I80)</f>
        <v/>
      </c>
      <c r="N80">
        <f>IF(A80="",0,G80/(1+$B$11)^(A80-$B$6))</f>
        <v/>
      </c>
    </row>
    <row r="81">
      <c r="A81" s="129">
        <f>IF(A80="","",IF(A80+1&gt;$B$7,"",A80+1))</f>
        <v/>
      </c>
      <c r="B81" s="129">
        <f>IF(A81="","",'401(k)'!$B$16+A81-$B$5)</f>
        <v/>
      </c>
      <c r="C81" s="51">
        <f>IF(A81="","",I80)</f>
        <v/>
      </c>
      <c r="D81" s="51">
        <f>IF(A81="","",$B$8*(1+$B$9)^(A81-$B$5))</f>
        <v/>
      </c>
      <c r="E81" s="51">
        <f>IF(A81="","",IF(A81&gt;=$B$13,$B$12*12*(1+$B$9)^(A81-$B$5),0))</f>
        <v/>
      </c>
      <c r="F81" s="51">
        <f>IF(A81="","",IF(A81&gt;=$B$15,$B$14*(1+$B$9)^(A81-$B$5),0))</f>
        <v/>
      </c>
      <c r="G81" s="51">
        <f>IF(A81="","",MAX(0,D81-E81-F81)/(1-$B$18))</f>
        <v/>
      </c>
      <c r="H81" s="51">
        <f>IF(A81="","",MAX(0,C81-G81)*$B$11)</f>
        <v/>
      </c>
      <c r="I81" s="51">
        <f>IF(A81="","",MAX(0,C81-G81+H81))</f>
        <v/>
      </c>
      <c r="J81" s="121">
        <f>IF(A81="","",IF(C81-G81&gt;=0,"Yes","Short"))</f>
        <v/>
      </c>
      <c r="L81">
        <f>IF(A81="",NA(),A81)</f>
        <v/>
      </c>
      <c r="M81">
        <f>IF(A81="",NA(),I81)</f>
        <v/>
      </c>
      <c r="N81">
        <f>IF(A81="",0,G81/(1+$B$11)^(A81-$B$6))</f>
        <v/>
      </c>
    </row>
    <row r="82">
      <c r="A82" s="129">
        <f>IF(A81="","",IF(A81+1&gt;$B$7,"",A81+1))</f>
        <v/>
      </c>
      <c r="B82" s="129">
        <f>IF(A82="","",'401(k)'!$B$16+A82-$B$5)</f>
        <v/>
      </c>
      <c r="C82" s="51">
        <f>IF(A82="","",I81)</f>
        <v/>
      </c>
      <c r="D82" s="51">
        <f>IF(A82="","",$B$8*(1+$B$9)^(A82-$B$5))</f>
        <v/>
      </c>
      <c r="E82" s="51">
        <f>IF(A82="","",IF(A82&gt;=$B$13,$B$12*12*(1+$B$9)^(A82-$B$5),0))</f>
        <v/>
      </c>
      <c r="F82" s="51">
        <f>IF(A82="","",IF(A82&gt;=$B$15,$B$14*(1+$B$9)^(A82-$B$5),0))</f>
        <v/>
      </c>
      <c r="G82" s="51">
        <f>IF(A82="","",MAX(0,D82-E82-F82)/(1-$B$18))</f>
        <v/>
      </c>
      <c r="H82" s="51">
        <f>IF(A82="","",MAX(0,C82-G82)*$B$11)</f>
        <v/>
      </c>
      <c r="I82" s="51">
        <f>IF(A82="","",MAX(0,C82-G82+H82))</f>
        <v/>
      </c>
      <c r="J82" s="121">
        <f>IF(A82="","",IF(C82-G82&gt;=0,"Yes","Short"))</f>
        <v/>
      </c>
      <c r="L82">
        <f>IF(A82="",NA(),A82)</f>
        <v/>
      </c>
      <c r="M82">
        <f>IF(A82="",NA(),I82)</f>
        <v/>
      </c>
      <c r="N82">
        <f>IF(A82="",0,G82/(1+$B$11)^(A82-$B$6))</f>
        <v/>
      </c>
    </row>
  </sheetData>
  <conditionalFormatting sqref="E15">
    <cfRule type="cellIs" priority="1" operator="lessThan" dxfId="2">
      <formula>0</formula>
    </cfRule>
    <cfRule type="cellIs" priority="2" operator="greaterThanOrEqual" dxfId="0">
      <formula>0</formula>
    </cfRule>
  </conditionalFormatting>
  <conditionalFormatting sqref="J23:J82">
    <cfRule type="cellIs" priority="3" operator="equal" dxfId="2">
      <formula>"Short"</formula>
    </cfRule>
  </conditionalFormatting>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legacyDrawing xmlns:r="http://schemas.openxmlformats.org/officeDocument/2006/relationships" r:id="anysvml"/>
</worksheet>
</file>

<file path=xl/worksheets/sheet15.xml><?xml version="1.0" encoding="utf-8"?>
<worksheet xmlns="http://schemas.openxmlformats.org/spreadsheetml/2006/main">
  <sheetPr codeName="shMortgage">
    <tabColor rgb="007C3AED"/>
    <outlinePr summaryBelow="1" summaryRight="1"/>
    <pageSetUpPr fitToPage="1"/>
  </sheetPr>
  <dimension ref="A1:L85"/>
  <sheetViews>
    <sheetView showGridLines="0" tabSelected="0" zoomScale="100" workbookViewId="0">
      <pane ySplit="3" topLeftCell="A4" activePane="bottomLeft" state="frozen"/>
      <selection pane="bottomLeft" activeCell="A1" sqref="A1"/>
    </sheetView>
  </sheetViews>
  <sheetFormatPr baseColWidth="8" defaultRowHeight="15"/>
  <cols>
    <col width="38" customWidth="1" min="1" max="1"/>
    <col width="15" customWidth="1" min="2" max="2"/>
    <col width="13" customWidth="1" min="3" max="3"/>
    <col width="14" customWidth="1" min="4" max="4"/>
    <col width="13" customWidth="1" min="5" max="5"/>
    <col width="11" customWidth="1" min="6" max="6"/>
    <col width="42" customWidth="1" min="7" max="7"/>
    <col width="16" customWidth="1" min="8" max="8"/>
    <col width="13" customWidth="1" min="9" max="9"/>
    <col width="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Mortgage Calculator</t>
        </is>
      </c>
    </row>
    <row r="2" ht="20" customHeight="1">
      <c r="A2" s="61" t="inlineStr">
        <is>
          <t>Full monthly payment, PMI, extra payments, payoff date, refinance check and affordability. Schedule is on the Amortization tab.</t>
        </is>
      </c>
      <c r="B2" s="2" t="n"/>
      <c r="C2" s="2" t="n"/>
      <c r="D2" s="2" t="n"/>
      <c r="E2" s="2" t="n"/>
      <c r="F2" s="2" t="n"/>
      <c r="G2" s="2" t="n"/>
      <c r="H2" s="2" t="n"/>
      <c r="I2" s="2" t="n"/>
      <c r="J2" s="2" t="n"/>
      <c r="K2" s="2" t="n"/>
      <c r="L2" s="2" t="n"/>
    </row>
    <row r="4" ht="24" customHeight="1">
      <c r="A4" s="4" t="inlineStr">
        <is>
          <t>LOAN DETAILS</t>
        </is>
      </c>
      <c r="B4" s="2" t="n"/>
      <c r="D4" s="4" t="inlineStr">
        <is>
          <t>ONE-TIME EXTRA PAYMENTS</t>
        </is>
      </c>
      <c r="E4" s="2" t="n"/>
      <c r="G4" s="4" t="inlineStr">
        <is>
          <t>YOUR PAYMENT</t>
        </is>
      </c>
      <c r="H4" s="2" t="n"/>
      <c r="I4" s="2" t="n"/>
    </row>
    <row r="5" ht="22" customHeight="1">
      <c r="A5" s="11" t="inlineStr">
        <is>
          <t>Home price</t>
        </is>
      </c>
      <c r="B5" s="111" t="n">
        <v>425000</v>
      </c>
      <c r="D5" s="35" t="inlineStr">
        <is>
          <t>Date</t>
        </is>
      </c>
      <c r="E5" s="38" t="inlineStr">
        <is>
          <t>Amount</t>
        </is>
      </c>
      <c r="G5" s="11" t="inlineStr">
        <is>
          <t>Loan amount</t>
        </is>
      </c>
      <c r="H5" s="58">
        <f>B5*(1-B6)</f>
        <v/>
      </c>
    </row>
    <row r="6">
      <c r="A6" s="11" t="inlineStr">
        <is>
          <t>Down payment (%)</t>
        </is>
      </c>
      <c r="B6" s="125" t="n">
        <v>0.15</v>
      </c>
      <c r="D6" s="135" t="n">
        <v>46905</v>
      </c>
      <c r="E6" s="97" t="n">
        <v>5000</v>
      </c>
      <c r="G6" s="11" t="inlineStr">
        <is>
          <t>Down payment</t>
        </is>
      </c>
      <c r="H6" s="58">
        <f>B5*B6</f>
        <v/>
      </c>
    </row>
    <row r="7">
      <c r="A7" s="11" t="inlineStr">
        <is>
          <t>Interest rate (yearly)</t>
        </is>
      </c>
      <c r="B7" s="136" t="n">
        <v>0.0625</v>
      </c>
      <c r="D7" s="135" t="n"/>
      <c r="E7" s="97" t="n"/>
      <c r="G7" s="11" t="inlineStr">
        <is>
          <t>Starting loan-to-value</t>
        </is>
      </c>
      <c r="H7" s="137">
        <f>IF(B5=0,0,H5/B5)</f>
        <v/>
      </c>
    </row>
    <row r="8">
      <c r="A8" s="11" t="inlineStr">
        <is>
          <t>Loan term (years)</t>
        </is>
      </c>
      <c r="B8" s="118" t="n">
        <v>30</v>
      </c>
      <c r="D8" s="135" t="n"/>
      <c r="E8" s="97" t="n"/>
      <c r="G8" s="11" t="inlineStr">
        <is>
          <t>Principal &amp; interest</t>
        </is>
      </c>
      <c r="H8" s="138">
        <f>IF(H5&lt;=0,0,PMT(B7/12,B8*12,-H5))</f>
        <v/>
      </c>
    </row>
    <row r="9">
      <c r="A9" s="11" t="inlineStr">
        <is>
          <t>First payment date</t>
        </is>
      </c>
      <c r="B9" s="139" t="n">
        <v>46357</v>
      </c>
      <c r="D9" s="135" t="n"/>
      <c r="E9" s="97" t="n"/>
      <c r="G9" s="11" t="inlineStr">
        <is>
          <t>PMI (first month)</t>
        </is>
      </c>
      <c r="H9" s="138">
        <f>IF(H7&gt;0.8,H5*B13/12,0)</f>
        <v/>
      </c>
    </row>
    <row r="10">
      <c r="A10" s="11" t="inlineStr">
        <is>
          <t>Payment schedule</t>
        </is>
      </c>
      <c r="B10" s="127" t="inlineStr">
        <is>
          <t>Monthly</t>
        </is>
      </c>
      <c r="D10" s="135" t="n"/>
      <c r="E10" s="97" t="n"/>
      <c r="G10" s="11" t="inlineStr">
        <is>
          <t>Property tax</t>
        </is>
      </c>
      <c r="H10" s="138">
        <f>B11/12</f>
        <v/>
      </c>
    </row>
    <row r="11">
      <c r="A11" s="11" t="inlineStr">
        <is>
          <t>Property tax (yearly)</t>
        </is>
      </c>
      <c r="B11" s="111" t="n">
        <v>6800</v>
      </c>
      <c r="D11" s="135" t="n"/>
      <c r="E11" s="97" t="n"/>
      <c r="G11" s="11" t="inlineStr">
        <is>
          <t>Home insurance</t>
        </is>
      </c>
      <c r="H11" s="138">
        <f>B12/12</f>
        <v/>
      </c>
    </row>
    <row r="12">
      <c r="A12" s="11" t="inlineStr">
        <is>
          <t>Home insurance (yearly)</t>
        </is>
      </c>
      <c r="B12" s="111" t="n">
        <v>1650</v>
      </c>
      <c r="D12" s="135" t="n"/>
      <c r="E12" s="97" t="n"/>
      <c r="G12" s="11" t="inlineStr">
        <is>
          <t>HOA</t>
        </is>
      </c>
      <c r="H12" s="138">
        <f>B15</f>
        <v/>
      </c>
    </row>
    <row r="13">
      <c r="A13" s="11" t="inlineStr">
        <is>
          <t>PMI (yearly % of loan)</t>
        </is>
      </c>
      <c r="B13" s="125" t="n">
        <v>0.005</v>
      </c>
      <c r="D13" s="135" t="n"/>
      <c r="E13" s="97" t="n"/>
      <c r="G13" s="20" t="inlineStr">
        <is>
          <t>Total monthly payment</t>
        </is>
      </c>
      <c r="H13" s="140">
        <f>SUM(H8:H12)</f>
        <v/>
      </c>
    </row>
    <row r="14">
      <c r="A14" s="11" t="inlineStr">
        <is>
          <t>PMI ends at loan-to-value</t>
        </is>
      </c>
      <c r="B14" s="125" t="n">
        <v>0.78</v>
      </c>
      <c r="D14" s="135" t="n"/>
      <c r="E14" s="97" t="n"/>
      <c r="G14" s="11" t="inlineStr">
        <is>
          <t>Plus extra principal</t>
        </is>
      </c>
      <c r="H14" s="138">
        <f>B18+IF(B10="Bi-weekly (accelerated)",H8/12,0)</f>
        <v/>
      </c>
    </row>
    <row r="15">
      <c r="A15" s="11" t="inlineStr">
        <is>
          <t>HOA dues (monthly)</t>
        </is>
      </c>
      <c r="B15" s="111" t="n">
        <v>0</v>
      </c>
      <c r="D15" s="135" t="n"/>
      <c r="E15" s="97" t="n"/>
    </row>
    <row r="16">
      <c r="A16" s="11" t="inlineStr">
        <is>
          <t>Tax &amp; insurance rise per year</t>
        </is>
      </c>
      <c r="B16" s="125" t="n">
        <v>0.03</v>
      </c>
      <c r="D16" s="17" t="inlineStr">
        <is>
          <t>Paid with the payment in that month.</t>
        </is>
      </c>
      <c r="G16" s="20" t="inlineStr">
        <is>
          <t>Paid off on (with extra payments)</t>
        </is>
      </c>
      <c r="H16" s="141">
        <f>IF(H17=0,"",INDEX(Amortization!$B$6:$B$485,H17))</f>
        <v/>
      </c>
    </row>
    <row r="17">
      <c r="A17" s="11" t="inlineStr">
        <is>
          <t>Home value growth per year</t>
        </is>
      </c>
      <c r="B17" s="125" t="n">
        <v>0.03</v>
      </c>
      <c r="G17" s="11" t="inlineStr">
        <is>
          <t>Number of payments</t>
        </is>
      </c>
      <c r="H17" s="68">
        <f>COUNTIF(Amortization!$D$6:$D$485,"&gt;0.005")</f>
        <v/>
      </c>
    </row>
    <row r="18">
      <c r="A18" s="11" t="inlineStr">
        <is>
          <t>Extra principal every month</t>
        </is>
      </c>
      <c r="B18" s="111" t="n">
        <v>200</v>
      </c>
      <c r="G18" s="11" t="inlineStr">
        <is>
          <t>Paid off on (no extra payments)</t>
        </is>
      </c>
      <c r="H18" s="142">
        <f>EDATE(B9,B8*12-1)</f>
        <v/>
      </c>
    </row>
    <row r="19">
      <c r="A19" s="11" t="inlineStr">
        <is>
          <t>Extra payment once a year</t>
        </is>
      </c>
      <c r="B19" s="111" t="n">
        <v>1000</v>
      </c>
      <c r="G19" s="11" t="inlineStr">
        <is>
          <t>Time saved</t>
        </is>
      </c>
      <c r="H19" s="143">
        <f>IF(B8*12-H17&lt;=0,"none",INT((B8*12-H17)/12)&amp;" yrs "&amp;MOD(B8*12-H17,12)&amp;" mo")</f>
        <v/>
      </c>
    </row>
    <row r="20">
      <c r="A20" s="11" t="inlineStr">
        <is>
          <t>...paid in month (1-12)</t>
        </is>
      </c>
      <c r="B20" s="118" t="n">
        <v>12</v>
      </c>
      <c r="G20" s="20" t="inlineStr">
        <is>
          <t>Total interest (with extra payments)</t>
        </is>
      </c>
      <c r="H20" s="59">
        <f>SUM(Amortization!$E$6:$E$485)</f>
        <v/>
      </c>
    </row>
    <row r="21">
      <c r="A21" s="11" t="inlineStr">
        <is>
          <t>Closing costs</t>
        </is>
      </c>
      <c r="B21" s="111" t="n">
        <v>9500</v>
      </c>
      <c r="G21" s="11" t="inlineStr">
        <is>
          <t>Total interest (no extra payments)</t>
        </is>
      </c>
      <c r="H21" s="58">
        <f>MAX(0,H8*B8*12-H5)</f>
        <v/>
      </c>
    </row>
    <row r="22">
      <c r="A22" s="11" t="inlineStr">
        <is>
          <t>Household gross income (monthly)</t>
        </is>
      </c>
      <c r="B22" s="111" t="n">
        <v>11500</v>
      </c>
      <c r="G22" s="20" t="inlineStr">
        <is>
          <t>Interest saved</t>
        </is>
      </c>
      <c r="H22" s="59">
        <f>H21-H20</f>
        <v/>
      </c>
    </row>
    <row r="23">
      <c r="A23" s="11" t="inlineStr">
        <is>
          <t>Other monthly debt payments</t>
        </is>
      </c>
      <c r="B23" s="111" t="n">
        <v>645</v>
      </c>
      <c r="G23" s="11" t="inlineStr">
        <is>
          <t>Total PMI paid</t>
        </is>
      </c>
      <c r="H23" s="58">
        <f>SUM(Amortization!$K$6:$K$485)</f>
        <v/>
      </c>
    </row>
    <row r="24">
      <c r="G24" s="11" t="inlineStr">
        <is>
          <t>PMI ends</t>
        </is>
      </c>
      <c r="H24" s="142">
        <f>IF(H9=0,"No PMI",IFERROR(INDEX(Amortization!$B$6:$B$485,MATCH(0,Amortization!$K$6:$K$485,0)),"-"))</f>
        <v/>
      </c>
    </row>
    <row r="25">
      <c r="G25" s="11" t="inlineStr">
        <is>
          <t>Total paid (loan, PMI, taxes, insurance, HOA)</t>
        </is>
      </c>
      <c r="H25" s="58">
        <f>SUM(Amortization!$O$6:$O$485)</f>
        <v/>
      </c>
    </row>
    <row r="26">
      <c r="G26" s="11" t="inlineStr">
        <is>
          <t>All-in cost incl. down payment &amp; closing</t>
        </is>
      </c>
      <c r="H26" s="58">
        <f>H25+H6+B21</f>
        <v/>
      </c>
    </row>
    <row r="27">
      <c r="G27" s="11" t="inlineStr">
        <is>
          <t>Housing cost vs. income</t>
        </is>
      </c>
      <c r="H27" s="105">
        <f>IF(B22=0,"",H13/B22)</f>
        <v/>
      </c>
      <c r="I27" s="144">
        <f>IF(H27="","",IF(H27&lt;=0.28,"Good",IF(H27&lt;=0.33,"Fair","Needs work")))</f>
        <v/>
      </c>
    </row>
    <row r="28">
      <c r="G28" s="11" t="inlineStr">
        <is>
          <t>All debts vs. income</t>
        </is>
      </c>
      <c r="H28" s="105">
        <f>IF(B22=0,"",(H13+B23)/B22)</f>
        <v/>
      </c>
      <c r="I28" s="144">
        <f>IF(H28="","",IF(H28&lt;=0.36,"Good",IF(H28&lt;=0.43,"Fair","Needs work")))</f>
        <v/>
      </c>
    </row>
    <row r="30" ht="24" customHeight="1">
      <c r="G30" s="4" t="inlineStr">
        <is>
          <t>SHOULD YOU REFINANCE?</t>
        </is>
      </c>
      <c r="H30" s="2" t="n"/>
      <c r="I30" s="2" t="n"/>
    </row>
    <row r="31">
      <c r="G31" s="11" t="inlineStr">
        <is>
          <t>Refinance after payment number</t>
        </is>
      </c>
      <c r="H31" s="118" t="n">
        <v>36</v>
      </c>
    </row>
    <row r="32">
      <c r="G32" s="11" t="inlineStr">
        <is>
          <t>Loan balance at that point</t>
        </is>
      </c>
      <c r="H32" s="58">
        <f>IF(H31&gt;H17,0,INDEX(Amortization!$I$6:$I$485,MAX(1,H31)))</f>
        <v/>
      </c>
    </row>
    <row r="33">
      <c r="G33" s="11" t="inlineStr">
        <is>
          <t>New interest rate</t>
        </is>
      </c>
      <c r="H33" s="136" t="n">
        <v>0.0525</v>
      </c>
    </row>
    <row r="34">
      <c r="G34" s="11" t="inlineStr">
        <is>
          <t>New term (years)</t>
        </is>
      </c>
      <c r="H34" s="118" t="n">
        <v>30</v>
      </c>
    </row>
    <row r="35">
      <c r="G35" s="11" t="inlineStr">
        <is>
          <t>Refinance closing costs</t>
        </is>
      </c>
      <c r="H35" s="111" t="n">
        <v>4500</v>
      </c>
    </row>
    <row r="36">
      <c r="G36" s="11" t="inlineStr">
        <is>
          <t>New principal &amp; interest</t>
        </is>
      </c>
      <c r="H36" s="138">
        <f>IF(H32&lt;=0,0,PMT(H33/12,H34*12,-H32))</f>
        <v/>
      </c>
    </row>
    <row r="37">
      <c r="G37" s="11" t="inlineStr">
        <is>
          <t>Current principal &amp; interest</t>
        </is>
      </c>
      <c r="H37" s="138">
        <f>H8</f>
        <v/>
      </c>
    </row>
    <row r="38">
      <c r="G38" s="20" t="inlineStr">
        <is>
          <t>Monthly savings</t>
        </is>
      </c>
      <c r="H38" s="140">
        <f>H37-H36</f>
        <v/>
      </c>
    </row>
    <row r="39">
      <c r="G39" s="11" t="inlineStr">
        <is>
          <t>Break-even</t>
        </is>
      </c>
      <c r="H39" s="143">
        <f>IF(H38&lt;=0,"never",ROUNDUP(H35/H38,0)&amp;" months")</f>
        <v/>
      </c>
    </row>
    <row r="40">
      <c r="G40" s="11" t="inlineStr">
        <is>
          <t>Interest left on the current loan</t>
        </is>
      </c>
      <c r="H40" s="58">
        <f>MAX(0,H8*(B8*12-H31)-INDEX(Amortization!$S$6:$S$485,MAX(1,H31)))</f>
        <v/>
      </c>
    </row>
    <row r="41">
      <c r="G41" s="11" t="inlineStr">
        <is>
          <t>Interest on the new loan</t>
        </is>
      </c>
      <c r="H41" s="58">
        <f>MAX(0,H36*H34*12-H32)</f>
        <v/>
      </c>
    </row>
    <row r="42">
      <c r="G42" s="20" t="inlineStr">
        <is>
          <t>Lifetime savings after costs</t>
        </is>
      </c>
      <c r="H42" s="59">
        <f>H40-H41-H35</f>
        <v/>
      </c>
    </row>
    <row r="44" ht="24" customHeight="1">
      <c r="A44" s="4" t="inlineStr">
        <is>
          <t>YEAR BY YEAR</t>
        </is>
      </c>
      <c r="B44" s="2" t="n"/>
      <c r="C44" s="2" t="n"/>
      <c r="D44" s="2" t="n"/>
      <c r="E44" s="2" t="n"/>
      <c r="F44" s="2" t="n"/>
      <c r="G44" s="2" t="n"/>
      <c r="H44" s="2" t="n"/>
      <c r="I44" s="2" t="n"/>
    </row>
    <row r="45" ht="32" customHeight="1">
      <c r="A45" s="38" t="inlineStr">
        <is>
          <t>Loan Year</t>
        </is>
      </c>
      <c r="B45" s="38" t="inlineStr">
        <is>
          <t>Starts</t>
        </is>
      </c>
      <c r="C45" s="38" t="inlineStr">
        <is>
          <t>Principal</t>
        </is>
      </c>
      <c r="D45" s="38" t="inlineStr">
        <is>
          <t>Extra Principal</t>
        </is>
      </c>
      <c r="E45" s="38" t="inlineStr">
        <is>
          <t>Interest</t>
        </is>
      </c>
      <c r="F45" s="38" t="inlineStr">
        <is>
          <t>PMI</t>
        </is>
      </c>
      <c r="G45" s="38" t="inlineStr">
        <is>
          <t>Taxes &amp; Insurance</t>
        </is>
      </c>
      <c r="H45" s="38" t="inlineStr">
        <is>
          <t>Ending Balance</t>
        </is>
      </c>
      <c r="I45" s="38" t="inlineStr">
        <is>
          <t>Home Equity</t>
        </is>
      </c>
    </row>
    <row r="46">
      <c r="A46" s="129" t="n">
        <v>1</v>
      </c>
      <c r="B46" s="145">
        <f>IF(COUNTIFS(Amortization!$C$6:$C$485,A46,Amortization!$D$6:$D$485,"&gt;0.005")&gt;0,EDATE($B$9,(A46-1)*12),"")</f>
        <v/>
      </c>
      <c r="C46" s="51">
        <f>IF(B46="","",SUMIFS(Amortization!$F$6:$F$485,Amortization!$C$6:$C$485,A46))</f>
        <v/>
      </c>
      <c r="D46" s="51">
        <f>IF(B46="","",SUMIFS(Amortization!$G$6:$G$485,Amortization!$C$6:$C$485,A46))</f>
        <v/>
      </c>
      <c r="E46" s="51">
        <f>IF(B46="","",SUMIFS(Amortization!$E$6:$E$485,Amortization!$C$6:$C$485,A46))</f>
        <v/>
      </c>
      <c r="F46" s="51">
        <f>IF(B46="","",SUMIFS(Amortization!$K$6:$K$485,Amortization!$C$6:$C$485,A46))</f>
        <v/>
      </c>
      <c r="G46" s="51">
        <f>IF(B46="","",SUMIFS(Amortization!$L$6:$L$485,Amortization!$C$6:$C$485,A46)+SUMIFS(Amortization!$M$6:$M$485,Amortization!$C$6:$C$485,A46))</f>
        <v/>
      </c>
      <c r="H46" s="51">
        <f>IF(B46="","",INDEX(Amortization!$I$6:$I$485,MIN(A46*12,$H$17)))</f>
        <v/>
      </c>
      <c r="I46" s="51">
        <f>IF(B46="","",INDEX(Amortization!$Q$6:$Q$485,MIN(A46*12,$H$17))-H46)</f>
        <v/>
      </c>
    </row>
    <row r="47">
      <c r="A47" s="129" t="n">
        <v>2</v>
      </c>
      <c r="B47" s="145">
        <f>IF(COUNTIFS(Amortization!$C$6:$C$485,A47,Amortization!$D$6:$D$485,"&gt;0.005")&gt;0,EDATE($B$9,(A47-1)*12),"")</f>
        <v/>
      </c>
      <c r="C47" s="51">
        <f>IF(B47="","",SUMIFS(Amortization!$F$6:$F$485,Amortization!$C$6:$C$485,A47))</f>
        <v/>
      </c>
      <c r="D47" s="51">
        <f>IF(B47="","",SUMIFS(Amortization!$G$6:$G$485,Amortization!$C$6:$C$485,A47))</f>
        <v/>
      </c>
      <c r="E47" s="51">
        <f>IF(B47="","",SUMIFS(Amortization!$E$6:$E$485,Amortization!$C$6:$C$485,A47))</f>
        <v/>
      </c>
      <c r="F47" s="51">
        <f>IF(B47="","",SUMIFS(Amortization!$K$6:$K$485,Amortization!$C$6:$C$485,A47))</f>
        <v/>
      </c>
      <c r="G47" s="51">
        <f>IF(B47="","",SUMIFS(Amortization!$L$6:$L$485,Amortization!$C$6:$C$485,A47)+SUMIFS(Amortization!$M$6:$M$485,Amortization!$C$6:$C$485,A47))</f>
        <v/>
      </c>
      <c r="H47" s="51">
        <f>IF(B47="","",INDEX(Amortization!$I$6:$I$485,MIN(A47*12,$H$17)))</f>
        <v/>
      </c>
      <c r="I47" s="51">
        <f>IF(B47="","",INDEX(Amortization!$Q$6:$Q$485,MIN(A47*12,$H$17))-H47)</f>
        <v/>
      </c>
    </row>
    <row r="48">
      <c r="A48" s="129" t="n">
        <v>3</v>
      </c>
      <c r="B48" s="145">
        <f>IF(COUNTIFS(Amortization!$C$6:$C$485,A48,Amortization!$D$6:$D$485,"&gt;0.005")&gt;0,EDATE($B$9,(A48-1)*12),"")</f>
        <v/>
      </c>
      <c r="C48" s="51">
        <f>IF(B48="","",SUMIFS(Amortization!$F$6:$F$485,Amortization!$C$6:$C$485,A48))</f>
        <v/>
      </c>
      <c r="D48" s="51">
        <f>IF(B48="","",SUMIFS(Amortization!$G$6:$G$485,Amortization!$C$6:$C$485,A48))</f>
        <v/>
      </c>
      <c r="E48" s="51">
        <f>IF(B48="","",SUMIFS(Amortization!$E$6:$E$485,Amortization!$C$6:$C$485,A48))</f>
        <v/>
      </c>
      <c r="F48" s="51">
        <f>IF(B48="","",SUMIFS(Amortization!$K$6:$K$485,Amortization!$C$6:$C$485,A48))</f>
        <v/>
      </c>
      <c r="G48" s="51">
        <f>IF(B48="","",SUMIFS(Amortization!$L$6:$L$485,Amortization!$C$6:$C$485,A48)+SUMIFS(Amortization!$M$6:$M$485,Amortization!$C$6:$C$485,A48))</f>
        <v/>
      </c>
      <c r="H48" s="51">
        <f>IF(B48="","",INDEX(Amortization!$I$6:$I$485,MIN(A48*12,$H$17)))</f>
        <v/>
      </c>
      <c r="I48" s="51">
        <f>IF(B48="","",INDEX(Amortization!$Q$6:$Q$485,MIN(A48*12,$H$17))-H48)</f>
        <v/>
      </c>
    </row>
    <row r="49">
      <c r="A49" s="129" t="n">
        <v>4</v>
      </c>
      <c r="B49" s="145">
        <f>IF(COUNTIFS(Amortization!$C$6:$C$485,A49,Amortization!$D$6:$D$485,"&gt;0.005")&gt;0,EDATE($B$9,(A49-1)*12),"")</f>
        <v/>
      </c>
      <c r="C49" s="51">
        <f>IF(B49="","",SUMIFS(Amortization!$F$6:$F$485,Amortization!$C$6:$C$485,A49))</f>
        <v/>
      </c>
      <c r="D49" s="51">
        <f>IF(B49="","",SUMIFS(Amortization!$G$6:$G$485,Amortization!$C$6:$C$485,A49))</f>
        <v/>
      </c>
      <c r="E49" s="51">
        <f>IF(B49="","",SUMIFS(Amortization!$E$6:$E$485,Amortization!$C$6:$C$485,A49))</f>
        <v/>
      </c>
      <c r="F49" s="51">
        <f>IF(B49="","",SUMIFS(Amortization!$K$6:$K$485,Amortization!$C$6:$C$485,A49))</f>
        <v/>
      </c>
      <c r="G49" s="51">
        <f>IF(B49="","",SUMIFS(Amortization!$L$6:$L$485,Amortization!$C$6:$C$485,A49)+SUMIFS(Amortization!$M$6:$M$485,Amortization!$C$6:$C$485,A49))</f>
        <v/>
      </c>
      <c r="H49" s="51">
        <f>IF(B49="","",INDEX(Amortization!$I$6:$I$485,MIN(A49*12,$H$17)))</f>
        <v/>
      </c>
      <c r="I49" s="51">
        <f>IF(B49="","",INDEX(Amortization!$Q$6:$Q$485,MIN(A49*12,$H$17))-H49)</f>
        <v/>
      </c>
    </row>
    <row r="50">
      <c r="A50" s="129" t="n">
        <v>5</v>
      </c>
      <c r="B50" s="145">
        <f>IF(COUNTIFS(Amortization!$C$6:$C$485,A50,Amortization!$D$6:$D$485,"&gt;0.005")&gt;0,EDATE($B$9,(A50-1)*12),"")</f>
        <v/>
      </c>
      <c r="C50" s="51">
        <f>IF(B50="","",SUMIFS(Amortization!$F$6:$F$485,Amortization!$C$6:$C$485,A50))</f>
        <v/>
      </c>
      <c r="D50" s="51">
        <f>IF(B50="","",SUMIFS(Amortization!$G$6:$G$485,Amortization!$C$6:$C$485,A50))</f>
        <v/>
      </c>
      <c r="E50" s="51">
        <f>IF(B50="","",SUMIFS(Amortization!$E$6:$E$485,Amortization!$C$6:$C$485,A50))</f>
        <v/>
      </c>
      <c r="F50" s="51">
        <f>IF(B50="","",SUMIFS(Amortization!$K$6:$K$485,Amortization!$C$6:$C$485,A50))</f>
        <v/>
      </c>
      <c r="G50" s="51">
        <f>IF(B50="","",SUMIFS(Amortization!$L$6:$L$485,Amortization!$C$6:$C$485,A50)+SUMIFS(Amortization!$M$6:$M$485,Amortization!$C$6:$C$485,A50))</f>
        <v/>
      </c>
      <c r="H50" s="51">
        <f>IF(B50="","",INDEX(Amortization!$I$6:$I$485,MIN(A50*12,$H$17)))</f>
        <v/>
      </c>
      <c r="I50" s="51">
        <f>IF(B50="","",INDEX(Amortization!$Q$6:$Q$485,MIN(A50*12,$H$17))-H50)</f>
        <v/>
      </c>
    </row>
    <row r="51">
      <c r="A51" s="129" t="n">
        <v>6</v>
      </c>
      <c r="B51" s="145">
        <f>IF(COUNTIFS(Amortization!$C$6:$C$485,A51,Amortization!$D$6:$D$485,"&gt;0.005")&gt;0,EDATE($B$9,(A51-1)*12),"")</f>
        <v/>
      </c>
      <c r="C51" s="51">
        <f>IF(B51="","",SUMIFS(Amortization!$F$6:$F$485,Amortization!$C$6:$C$485,A51))</f>
        <v/>
      </c>
      <c r="D51" s="51">
        <f>IF(B51="","",SUMIFS(Amortization!$G$6:$G$485,Amortization!$C$6:$C$485,A51))</f>
        <v/>
      </c>
      <c r="E51" s="51">
        <f>IF(B51="","",SUMIFS(Amortization!$E$6:$E$485,Amortization!$C$6:$C$485,A51))</f>
        <v/>
      </c>
      <c r="F51" s="51">
        <f>IF(B51="","",SUMIFS(Amortization!$K$6:$K$485,Amortization!$C$6:$C$485,A51))</f>
        <v/>
      </c>
      <c r="G51" s="51">
        <f>IF(B51="","",SUMIFS(Amortization!$L$6:$L$485,Amortization!$C$6:$C$485,A51)+SUMIFS(Amortization!$M$6:$M$485,Amortization!$C$6:$C$485,A51))</f>
        <v/>
      </c>
      <c r="H51" s="51">
        <f>IF(B51="","",INDEX(Amortization!$I$6:$I$485,MIN(A51*12,$H$17)))</f>
        <v/>
      </c>
      <c r="I51" s="51">
        <f>IF(B51="","",INDEX(Amortization!$Q$6:$Q$485,MIN(A51*12,$H$17))-H51)</f>
        <v/>
      </c>
    </row>
    <row r="52">
      <c r="A52" s="129" t="n">
        <v>7</v>
      </c>
      <c r="B52" s="145">
        <f>IF(COUNTIFS(Amortization!$C$6:$C$485,A52,Amortization!$D$6:$D$485,"&gt;0.005")&gt;0,EDATE($B$9,(A52-1)*12),"")</f>
        <v/>
      </c>
      <c r="C52" s="51">
        <f>IF(B52="","",SUMIFS(Amortization!$F$6:$F$485,Amortization!$C$6:$C$485,A52))</f>
        <v/>
      </c>
      <c r="D52" s="51">
        <f>IF(B52="","",SUMIFS(Amortization!$G$6:$G$485,Amortization!$C$6:$C$485,A52))</f>
        <v/>
      </c>
      <c r="E52" s="51">
        <f>IF(B52="","",SUMIFS(Amortization!$E$6:$E$485,Amortization!$C$6:$C$485,A52))</f>
        <v/>
      </c>
      <c r="F52" s="51">
        <f>IF(B52="","",SUMIFS(Amortization!$K$6:$K$485,Amortization!$C$6:$C$485,A52))</f>
        <v/>
      </c>
      <c r="G52" s="51">
        <f>IF(B52="","",SUMIFS(Amortization!$L$6:$L$485,Amortization!$C$6:$C$485,A52)+SUMIFS(Amortization!$M$6:$M$485,Amortization!$C$6:$C$485,A52))</f>
        <v/>
      </c>
      <c r="H52" s="51">
        <f>IF(B52="","",INDEX(Amortization!$I$6:$I$485,MIN(A52*12,$H$17)))</f>
        <v/>
      </c>
      <c r="I52" s="51">
        <f>IF(B52="","",INDEX(Amortization!$Q$6:$Q$485,MIN(A52*12,$H$17))-H52)</f>
        <v/>
      </c>
    </row>
    <row r="53">
      <c r="A53" s="129" t="n">
        <v>8</v>
      </c>
      <c r="B53" s="145">
        <f>IF(COUNTIFS(Amortization!$C$6:$C$485,A53,Amortization!$D$6:$D$485,"&gt;0.005")&gt;0,EDATE($B$9,(A53-1)*12),"")</f>
        <v/>
      </c>
      <c r="C53" s="51">
        <f>IF(B53="","",SUMIFS(Amortization!$F$6:$F$485,Amortization!$C$6:$C$485,A53))</f>
        <v/>
      </c>
      <c r="D53" s="51">
        <f>IF(B53="","",SUMIFS(Amortization!$G$6:$G$485,Amortization!$C$6:$C$485,A53))</f>
        <v/>
      </c>
      <c r="E53" s="51">
        <f>IF(B53="","",SUMIFS(Amortization!$E$6:$E$485,Amortization!$C$6:$C$485,A53))</f>
        <v/>
      </c>
      <c r="F53" s="51">
        <f>IF(B53="","",SUMIFS(Amortization!$K$6:$K$485,Amortization!$C$6:$C$485,A53))</f>
        <v/>
      </c>
      <c r="G53" s="51">
        <f>IF(B53="","",SUMIFS(Amortization!$L$6:$L$485,Amortization!$C$6:$C$485,A53)+SUMIFS(Amortization!$M$6:$M$485,Amortization!$C$6:$C$485,A53))</f>
        <v/>
      </c>
      <c r="H53" s="51">
        <f>IF(B53="","",INDEX(Amortization!$I$6:$I$485,MIN(A53*12,$H$17)))</f>
        <v/>
      </c>
      <c r="I53" s="51">
        <f>IF(B53="","",INDEX(Amortization!$Q$6:$Q$485,MIN(A53*12,$H$17))-H53)</f>
        <v/>
      </c>
    </row>
    <row r="54">
      <c r="A54" s="129" t="n">
        <v>9</v>
      </c>
      <c r="B54" s="145">
        <f>IF(COUNTIFS(Amortization!$C$6:$C$485,A54,Amortization!$D$6:$D$485,"&gt;0.005")&gt;0,EDATE($B$9,(A54-1)*12),"")</f>
        <v/>
      </c>
      <c r="C54" s="51">
        <f>IF(B54="","",SUMIFS(Amortization!$F$6:$F$485,Amortization!$C$6:$C$485,A54))</f>
        <v/>
      </c>
      <c r="D54" s="51">
        <f>IF(B54="","",SUMIFS(Amortization!$G$6:$G$485,Amortization!$C$6:$C$485,A54))</f>
        <v/>
      </c>
      <c r="E54" s="51">
        <f>IF(B54="","",SUMIFS(Amortization!$E$6:$E$485,Amortization!$C$6:$C$485,A54))</f>
        <v/>
      </c>
      <c r="F54" s="51">
        <f>IF(B54="","",SUMIFS(Amortization!$K$6:$K$485,Amortization!$C$6:$C$485,A54))</f>
        <v/>
      </c>
      <c r="G54" s="51">
        <f>IF(B54="","",SUMIFS(Amortization!$L$6:$L$485,Amortization!$C$6:$C$485,A54)+SUMIFS(Amortization!$M$6:$M$485,Amortization!$C$6:$C$485,A54))</f>
        <v/>
      </c>
      <c r="H54" s="51">
        <f>IF(B54="","",INDEX(Amortization!$I$6:$I$485,MIN(A54*12,$H$17)))</f>
        <v/>
      </c>
      <c r="I54" s="51">
        <f>IF(B54="","",INDEX(Amortization!$Q$6:$Q$485,MIN(A54*12,$H$17))-H54)</f>
        <v/>
      </c>
    </row>
    <row r="55">
      <c r="A55" s="129" t="n">
        <v>10</v>
      </c>
      <c r="B55" s="145">
        <f>IF(COUNTIFS(Amortization!$C$6:$C$485,A55,Amortization!$D$6:$D$485,"&gt;0.005")&gt;0,EDATE($B$9,(A55-1)*12),"")</f>
        <v/>
      </c>
      <c r="C55" s="51">
        <f>IF(B55="","",SUMIFS(Amortization!$F$6:$F$485,Amortization!$C$6:$C$485,A55))</f>
        <v/>
      </c>
      <c r="D55" s="51">
        <f>IF(B55="","",SUMIFS(Amortization!$G$6:$G$485,Amortization!$C$6:$C$485,A55))</f>
        <v/>
      </c>
      <c r="E55" s="51">
        <f>IF(B55="","",SUMIFS(Amortization!$E$6:$E$485,Amortization!$C$6:$C$485,A55))</f>
        <v/>
      </c>
      <c r="F55" s="51">
        <f>IF(B55="","",SUMIFS(Amortization!$K$6:$K$485,Amortization!$C$6:$C$485,A55))</f>
        <v/>
      </c>
      <c r="G55" s="51">
        <f>IF(B55="","",SUMIFS(Amortization!$L$6:$L$485,Amortization!$C$6:$C$485,A55)+SUMIFS(Amortization!$M$6:$M$485,Amortization!$C$6:$C$485,A55))</f>
        <v/>
      </c>
      <c r="H55" s="51">
        <f>IF(B55="","",INDEX(Amortization!$I$6:$I$485,MIN(A55*12,$H$17)))</f>
        <v/>
      </c>
      <c r="I55" s="51">
        <f>IF(B55="","",INDEX(Amortization!$Q$6:$Q$485,MIN(A55*12,$H$17))-H55)</f>
        <v/>
      </c>
    </row>
    <row r="56">
      <c r="A56" s="129" t="n">
        <v>11</v>
      </c>
      <c r="B56" s="145">
        <f>IF(COUNTIFS(Amortization!$C$6:$C$485,A56,Amortization!$D$6:$D$485,"&gt;0.005")&gt;0,EDATE($B$9,(A56-1)*12),"")</f>
        <v/>
      </c>
      <c r="C56" s="51">
        <f>IF(B56="","",SUMIFS(Amortization!$F$6:$F$485,Amortization!$C$6:$C$485,A56))</f>
        <v/>
      </c>
      <c r="D56" s="51">
        <f>IF(B56="","",SUMIFS(Amortization!$G$6:$G$485,Amortization!$C$6:$C$485,A56))</f>
        <v/>
      </c>
      <c r="E56" s="51">
        <f>IF(B56="","",SUMIFS(Amortization!$E$6:$E$485,Amortization!$C$6:$C$485,A56))</f>
        <v/>
      </c>
      <c r="F56" s="51">
        <f>IF(B56="","",SUMIFS(Amortization!$K$6:$K$485,Amortization!$C$6:$C$485,A56))</f>
        <v/>
      </c>
      <c r="G56" s="51">
        <f>IF(B56="","",SUMIFS(Amortization!$L$6:$L$485,Amortization!$C$6:$C$485,A56)+SUMIFS(Amortization!$M$6:$M$485,Amortization!$C$6:$C$485,A56))</f>
        <v/>
      </c>
      <c r="H56" s="51">
        <f>IF(B56="","",INDEX(Amortization!$I$6:$I$485,MIN(A56*12,$H$17)))</f>
        <v/>
      </c>
      <c r="I56" s="51">
        <f>IF(B56="","",INDEX(Amortization!$Q$6:$Q$485,MIN(A56*12,$H$17))-H56)</f>
        <v/>
      </c>
    </row>
    <row r="57">
      <c r="A57" s="129" t="n">
        <v>12</v>
      </c>
      <c r="B57" s="145">
        <f>IF(COUNTIFS(Amortization!$C$6:$C$485,A57,Amortization!$D$6:$D$485,"&gt;0.005")&gt;0,EDATE($B$9,(A57-1)*12),"")</f>
        <v/>
      </c>
      <c r="C57" s="51">
        <f>IF(B57="","",SUMIFS(Amortization!$F$6:$F$485,Amortization!$C$6:$C$485,A57))</f>
        <v/>
      </c>
      <c r="D57" s="51">
        <f>IF(B57="","",SUMIFS(Amortization!$G$6:$G$485,Amortization!$C$6:$C$485,A57))</f>
        <v/>
      </c>
      <c r="E57" s="51">
        <f>IF(B57="","",SUMIFS(Amortization!$E$6:$E$485,Amortization!$C$6:$C$485,A57))</f>
        <v/>
      </c>
      <c r="F57" s="51">
        <f>IF(B57="","",SUMIFS(Amortization!$K$6:$K$485,Amortization!$C$6:$C$485,A57))</f>
        <v/>
      </c>
      <c r="G57" s="51">
        <f>IF(B57="","",SUMIFS(Amortization!$L$6:$L$485,Amortization!$C$6:$C$485,A57)+SUMIFS(Amortization!$M$6:$M$485,Amortization!$C$6:$C$485,A57))</f>
        <v/>
      </c>
      <c r="H57" s="51">
        <f>IF(B57="","",INDEX(Amortization!$I$6:$I$485,MIN(A57*12,$H$17)))</f>
        <v/>
      </c>
      <c r="I57" s="51">
        <f>IF(B57="","",INDEX(Amortization!$Q$6:$Q$485,MIN(A57*12,$H$17))-H57)</f>
        <v/>
      </c>
    </row>
    <row r="58">
      <c r="A58" s="129" t="n">
        <v>13</v>
      </c>
      <c r="B58" s="145">
        <f>IF(COUNTIFS(Amortization!$C$6:$C$485,A58,Amortization!$D$6:$D$485,"&gt;0.005")&gt;0,EDATE($B$9,(A58-1)*12),"")</f>
        <v/>
      </c>
      <c r="C58" s="51">
        <f>IF(B58="","",SUMIFS(Amortization!$F$6:$F$485,Amortization!$C$6:$C$485,A58))</f>
        <v/>
      </c>
      <c r="D58" s="51">
        <f>IF(B58="","",SUMIFS(Amortization!$G$6:$G$485,Amortization!$C$6:$C$485,A58))</f>
        <v/>
      </c>
      <c r="E58" s="51">
        <f>IF(B58="","",SUMIFS(Amortization!$E$6:$E$485,Amortization!$C$6:$C$485,A58))</f>
        <v/>
      </c>
      <c r="F58" s="51">
        <f>IF(B58="","",SUMIFS(Amortization!$K$6:$K$485,Amortization!$C$6:$C$485,A58))</f>
        <v/>
      </c>
      <c r="G58" s="51">
        <f>IF(B58="","",SUMIFS(Amortization!$L$6:$L$485,Amortization!$C$6:$C$485,A58)+SUMIFS(Amortization!$M$6:$M$485,Amortization!$C$6:$C$485,A58))</f>
        <v/>
      </c>
      <c r="H58" s="51">
        <f>IF(B58="","",INDEX(Amortization!$I$6:$I$485,MIN(A58*12,$H$17)))</f>
        <v/>
      </c>
      <c r="I58" s="51">
        <f>IF(B58="","",INDEX(Amortization!$Q$6:$Q$485,MIN(A58*12,$H$17))-H58)</f>
        <v/>
      </c>
    </row>
    <row r="59">
      <c r="A59" s="129" t="n">
        <v>14</v>
      </c>
      <c r="B59" s="145">
        <f>IF(COUNTIFS(Amortization!$C$6:$C$485,A59,Amortization!$D$6:$D$485,"&gt;0.005")&gt;0,EDATE($B$9,(A59-1)*12),"")</f>
        <v/>
      </c>
      <c r="C59" s="51">
        <f>IF(B59="","",SUMIFS(Amortization!$F$6:$F$485,Amortization!$C$6:$C$485,A59))</f>
        <v/>
      </c>
      <c r="D59" s="51">
        <f>IF(B59="","",SUMIFS(Amortization!$G$6:$G$485,Amortization!$C$6:$C$485,A59))</f>
        <v/>
      </c>
      <c r="E59" s="51">
        <f>IF(B59="","",SUMIFS(Amortization!$E$6:$E$485,Amortization!$C$6:$C$485,A59))</f>
        <v/>
      </c>
      <c r="F59" s="51">
        <f>IF(B59="","",SUMIFS(Amortization!$K$6:$K$485,Amortization!$C$6:$C$485,A59))</f>
        <v/>
      </c>
      <c r="G59" s="51">
        <f>IF(B59="","",SUMIFS(Amortization!$L$6:$L$485,Amortization!$C$6:$C$485,A59)+SUMIFS(Amortization!$M$6:$M$485,Amortization!$C$6:$C$485,A59))</f>
        <v/>
      </c>
      <c r="H59" s="51">
        <f>IF(B59="","",INDEX(Amortization!$I$6:$I$485,MIN(A59*12,$H$17)))</f>
        <v/>
      </c>
      <c r="I59" s="51">
        <f>IF(B59="","",INDEX(Amortization!$Q$6:$Q$485,MIN(A59*12,$H$17))-H59)</f>
        <v/>
      </c>
    </row>
    <row r="60">
      <c r="A60" s="129" t="n">
        <v>15</v>
      </c>
      <c r="B60" s="145">
        <f>IF(COUNTIFS(Amortization!$C$6:$C$485,A60,Amortization!$D$6:$D$485,"&gt;0.005")&gt;0,EDATE($B$9,(A60-1)*12),"")</f>
        <v/>
      </c>
      <c r="C60" s="51">
        <f>IF(B60="","",SUMIFS(Amortization!$F$6:$F$485,Amortization!$C$6:$C$485,A60))</f>
        <v/>
      </c>
      <c r="D60" s="51">
        <f>IF(B60="","",SUMIFS(Amortization!$G$6:$G$485,Amortization!$C$6:$C$485,A60))</f>
        <v/>
      </c>
      <c r="E60" s="51">
        <f>IF(B60="","",SUMIFS(Amortization!$E$6:$E$485,Amortization!$C$6:$C$485,A60))</f>
        <v/>
      </c>
      <c r="F60" s="51">
        <f>IF(B60="","",SUMIFS(Amortization!$K$6:$K$485,Amortization!$C$6:$C$485,A60))</f>
        <v/>
      </c>
      <c r="G60" s="51">
        <f>IF(B60="","",SUMIFS(Amortization!$L$6:$L$485,Amortization!$C$6:$C$485,A60)+SUMIFS(Amortization!$M$6:$M$485,Amortization!$C$6:$C$485,A60))</f>
        <v/>
      </c>
      <c r="H60" s="51">
        <f>IF(B60="","",INDEX(Amortization!$I$6:$I$485,MIN(A60*12,$H$17)))</f>
        <v/>
      </c>
      <c r="I60" s="51">
        <f>IF(B60="","",INDEX(Amortization!$Q$6:$Q$485,MIN(A60*12,$H$17))-H60)</f>
        <v/>
      </c>
    </row>
    <row r="61">
      <c r="A61" s="129" t="n">
        <v>16</v>
      </c>
      <c r="B61" s="145">
        <f>IF(COUNTIFS(Amortization!$C$6:$C$485,A61,Amortization!$D$6:$D$485,"&gt;0.005")&gt;0,EDATE($B$9,(A61-1)*12),"")</f>
        <v/>
      </c>
      <c r="C61" s="51">
        <f>IF(B61="","",SUMIFS(Amortization!$F$6:$F$485,Amortization!$C$6:$C$485,A61))</f>
        <v/>
      </c>
      <c r="D61" s="51">
        <f>IF(B61="","",SUMIFS(Amortization!$G$6:$G$485,Amortization!$C$6:$C$485,A61))</f>
        <v/>
      </c>
      <c r="E61" s="51">
        <f>IF(B61="","",SUMIFS(Amortization!$E$6:$E$485,Amortization!$C$6:$C$485,A61))</f>
        <v/>
      </c>
      <c r="F61" s="51">
        <f>IF(B61="","",SUMIFS(Amortization!$K$6:$K$485,Amortization!$C$6:$C$485,A61))</f>
        <v/>
      </c>
      <c r="G61" s="51">
        <f>IF(B61="","",SUMIFS(Amortization!$L$6:$L$485,Amortization!$C$6:$C$485,A61)+SUMIFS(Amortization!$M$6:$M$485,Amortization!$C$6:$C$485,A61))</f>
        <v/>
      </c>
      <c r="H61" s="51">
        <f>IF(B61="","",INDEX(Amortization!$I$6:$I$485,MIN(A61*12,$H$17)))</f>
        <v/>
      </c>
      <c r="I61" s="51">
        <f>IF(B61="","",INDEX(Amortization!$Q$6:$Q$485,MIN(A61*12,$H$17))-H61)</f>
        <v/>
      </c>
    </row>
    <row r="62">
      <c r="A62" s="129" t="n">
        <v>17</v>
      </c>
      <c r="B62" s="145">
        <f>IF(COUNTIFS(Amortization!$C$6:$C$485,A62,Amortization!$D$6:$D$485,"&gt;0.005")&gt;0,EDATE($B$9,(A62-1)*12),"")</f>
        <v/>
      </c>
      <c r="C62" s="51">
        <f>IF(B62="","",SUMIFS(Amortization!$F$6:$F$485,Amortization!$C$6:$C$485,A62))</f>
        <v/>
      </c>
      <c r="D62" s="51">
        <f>IF(B62="","",SUMIFS(Amortization!$G$6:$G$485,Amortization!$C$6:$C$485,A62))</f>
        <v/>
      </c>
      <c r="E62" s="51">
        <f>IF(B62="","",SUMIFS(Amortization!$E$6:$E$485,Amortization!$C$6:$C$485,A62))</f>
        <v/>
      </c>
      <c r="F62" s="51">
        <f>IF(B62="","",SUMIFS(Amortization!$K$6:$K$485,Amortization!$C$6:$C$485,A62))</f>
        <v/>
      </c>
      <c r="G62" s="51">
        <f>IF(B62="","",SUMIFS(Amortization!$L$6:$L$485,Amortization!$C$6:$C$485,A62)+SUMIFS(Amortization!$M$6:$M$485,Amortization!$C$6:$C$485,A62))</f>
        <v/>
      </c>
      <c r="H62" s="51">
        <f>IF(B62="","",INDEX(Amortization!$I$6:$I$485,MIN(A62*12,$H$17)))</f>
        <v/>
      </c>
      <c r="I62" s="51">
        <f>IF(B62="","",INDEX(Amortization!$Q$6:$Q$485,MIN(A62*12,$H$17))-H62)</f>
        <v/>
      </c>
    </row>
    <row r="63">
      <c r="A63" s="129" t="n">
        <v>18</v>
      </c>
      <c r="B63" s="145">
        <f>IF(COUNTIFS(Amortization!$C$6:$C$485,A63,Amortization!$D$6:$D$485,"&gt;0.005")&gt;0,EDATE($B$9,(A63-1)*12),"")</f>
        <v/>
      </c>
      <c r="C63" s="51">
        <f>IF(B63="","",SUMIFS(Amortization!$F$6:$F$485,Amortization!$C$6:$C$485,A63))</f>
        <v/>
      </c>
      <c r="D63" s="51">
        <f>IF(B63="","",SUMIFS(Amortization!$G$6:$G$485,Amortization!$C$6:$C$485,A63))</f>
        <v/>
      </c>
      <c r="E63" s="51">
        <f>IF(B63="","",SUMIFS(Amortization!$E$6:$E$485,Amortization!$C$6:$C$485,A63))</f>
        <v/>
      </c>
      <c r="F63" s="51">
        <f>IF(B63="","",SUMIFS(Amortization!$K$6:$K$485,Amortization!$C$6:$C$485,A63))</f>
        <v/>
      </c>
      <c r="G63" s="51">
        <f>IF(B63="","",SUMIFS(Amortization!$L$6:$L$485,Amortization!$C$6:$C$485,A63)+SUMIFS(Amortization!$M$6:$M$485,Amortization!$C$6:$C$485,A63))</f>
        <v/>
      </c>
      <c r="H63" s="51">
        <f>IF(B63="","",INDEX(Amortization!$I$6:$I$485,MIN(A63*12,$H$17)))</f>
        <v/>
      </c>
      <c r="I63" s="51">
        <f>IF(B63="","",INDEX(Amortization!$Q$6:$Q$485,MIN(A63*12,$H$17))-H63)</f>
        <v/>
      </c>
    </row>
    <row r="64">
      <c r="A64" s="129" t="n">
        <v>19</v>
      </c>
      <c r="B64" s="145">
        <f>IF(COUNTIFS(Amortization!$C$6:$C$485,A64,Amortization!$D$6:$D$485,"&gt;0.005")&gt;0,EDATE($B$9,(A64-1)*12),"")</f>
        <v/>
      </c>
      <c r="C64" s="51">
        <f>IF(B64="","",SUMIFS(Amortization!$F$6:$F$485,Amortization!$C$6:$C$485,A64))</f>
        <v/>
      </c>
      <c r="D64" s="51">
        <f>IF(B64="","",SUMIFS(Amortization!$G$6:$G$485,Amortization!$C$6:$C$485,A64))</f>
        <v/>
      </c>
      <c r="E64" s="51">
        <f>IF(B64="","",SUMIFS(Amortization!$E$6:$E$485,Amortization!$C$6:$C$485,A64))</f>
        <v/>
      </c>
      <c r="F64" s="51">
        <f>IF(B64="","",SUMIFS(Amortization!$K$6:$K$485,Amortization!$C$6:$C$485,A64))</f>
        <v/>
      </c>
      <c r="G64" s="51">
        <f>IF(B64="","",SUMIFS(Amortization!$L$6:$L$485,Amortization!$C$6:$C$485,A64)+SUMIFS(Amortization!$M$6:$M$485,Amortization!$C$6:$C$485,A64))</f>
        <v/>
      </c>
      <c r="H64" s="51">
        <f>IF(B64="","",INDEX(Amortization!$I$6:$I$485,MIN(A64*12,$H$17)))</f>
        <v/>
      </c>
      <c r="I64" s="51">
        <f>IF(B64="","",INDEX(Amortization!$Q$6:$Q$485,MIN(A64*12,$H$17))-H64)</f>
        <v/>
      </c>
    </row>
    <row r="65">
      <c r="A65" s="129" t="n">
        <v>20</v>
      </c>
      <c r="B65" s="145">
        <f>IF(COUNTIFS(Amortization!$C$6:$C$485,A65,Amortization!$D$6:$D$485,"&gt;0.005")&gt;0,EDATE($B$9,(A65-1)*12),"")</f>
        <v/>
      </c>
      <c r="C65" s="51">
        <f>IF(B65="","",SUMIFS(Amortization!$F$6:$F$485,Amortization!$C$6:$C$485,A65))</f>
        <v/>
      </c>
      <c r="D65" s="51">
        <f>IF(B65="","",SUMIFS(Amortization!$G$6:$G$485,Amortization!$C$6:$C$485,A65))</f>
        <v/>
      </c>
      <c r="E65" s="51">
        <f>IF(B65="","",SUMIFS(Amortization!$E$6:$E$485,Amortization!$C$6:$C$485,A65))</f>
        <v/>
      </c>
      <c r="F65" s="51">
        <f>IF(B65="","",SUMIFS(Amortization!$K$6:$K$485,Amortization!$C$6:$C$485,A65))</f>
        <v/>
      </c>
      <c r="G65" s="51">
        <f>IF(B65="","",SUMIFS(Amortization!$L$6:$L$485,Amortization!$C$6:$C$485,A65)+SUMIFS(Amortization!$M$6:$M$485,Amortization!$C$6:$C$485,A65))</f>
        <v/>
      </c>
      <c r="H65" s="51">
        <f>IF(B65="","",INDEX(Amortization!$I$6:$I$485,MIN(A65*12,$H$17)))</f>
        <v/>
      </c>
      <c r="I65" s="51">
        <f>IF(B65="","",INDEX(Amortization!$Q$6:$Q$485,MIN(A65*12,$H$17))-H65)</f>
        <v/>
      </c>
    </row>
    <row r="66">
      <c r="A66" s="129" t="n">
        <v>21</v>
      </c>
      <c r="B66" s="145">
        <f>IF(COUNTIFS(Amortization!$C$6:$C$485,A66,Amortization!$D$6:$D$485,"&gt;0.005")&gt;0,EDATE($B$9,(A66-1)*12),"")</f>
        <v/>
      </c>
      <c r="C66" s="51">
        <f>IF(B66="","",SUMIFS(Amortization!$F$6:$F$485,Amortization!$C$6:$C$485,A66))</f>
        <v/>
      </c>
      <c r="D66" s="51">
        <f>IF(B66="","",SUMIFS(Amortization!$G$6:$G$485,Amortization!$C$6:$C$485,A66))</f>
        <v/>
      </c>
      <c r="E66" s="51">
        <f>IF(B66="","",SUMIFS(Amortization!$E$6:$E$485,Amortization!$C$6:$C$485,A66))</f>
        <v/>
      </c>
      <c r="F66" s="51">
        <f>IF(B66="","",SUMIFS(Amortization!$K$6:$K$485,Amortization!$C$6:$C$485,A66))</f>
        <v/>
      </c>
      <c r="G66" s="51">
        <f>IF(B66="","",SUMIFS(Amortization!$L$6:$L$485,Amortization!$C$6:$C$485,A66)+SUMIFS(Amortization!$M$6:$M$485,Amortization!$C$6:$C$485,A66))</f>
        <v/>
      </c>
      <c r="H66" s="51">
        <f>IF(B66="","",INDEX(Amortization!$I$6:$I$485,MIN(A66*12,$H$17)))</f>
        <v/>
      </c>
      <c r="I66" s="51">
        <f>IF(B66="","",INDEX(Amortization!$Q$6:$Q$485,MIN(A66*12,$H$17))-H66)</f>
        <v/>
      </c>
    </row>
    <row r="67">
      <c r="A67" s="129" t="n">
        <v>22</v>
      </c>
      <c r="B67" s="145">
        <f>IF(COUNTIFS(Amortization!$C$6:$C$485,A67,Amortization!$D$6:$D$485,"&gt;0.005")&gt;0,EDATE($B$9,(A67-1)*12),"")</f>
        <v/>
      </c>
      <c r="C67" s="51">
        <f>IF(B67="","",SUMIFS(Amortization!$F$6:$F$485,Amortization!$C$6:$C$485,A67))</f>
        <v/>
      </c>
      <c r="D67" s="51">
        <f>IF(B67="","",SUMIFS(Amortization!$G$6:$G$485,Amortization!$C$6:$C$485,A67))</f>
        <v/>
      </c>
      <c r="E67" s="51">
        <f>IF(B67="","",SUMIFS(Amortization!$E$6:$E$485,Amortization!$C$6:$C$485,A67))</f>
        <v/>
      </c>
      <c r="F67" s="51">
        <f>IF(B67="","",SUMIFS(Amortization!$K$6:$K$485,Amortization!$C$6:$C$485,A67))</f>
        <v/>
      </c>
      <c r="G67" s="51">
        <f>IF(B67="","",SUMIFS(Amortization!$L$6:$L$485,Amortization!$C$6:$C$485,A67)+SUMIFS(Amortization!$M$6:$M$485,Amortization!$C$6:$C$485,A67))</f>
        <v/>
      </c>
      <c r="H67" s="51">
        <f>IF(B67="","",INDEX(Amortization!$I$6:$I$485,MIN(A67*12,$H$17)))</f>
        <v/>
      </c>
      <c r="I67" s="51">
        <f>IF(B67="","",INDEX(Amortization!$Q$6:$Q$485,MIN(A67*12,$H$17))-H67)</f>
        <v/>
      </c>
    </row>
    <row r="68">
      <c r="A68" s="129" t="n">
        <v>23</v>
      </c>
      <c r="B68" s="145">
        <f>IF(COUNTIFS(Amortization!$C$6:$C$485,A68,Amortization!$D$6:$D$485,"&gt;0.005")&gt;0,EDATE($B$9,(A68-1)*12),"")</f>
        <v/>
      </c>
      <c r="C68" s="51">
        <f>IF(B68="","",SUMIFS(Amortization!$F$6:$F$485,Amortization!$C$6:$C$485,A68))</f>
        <v/>
      </c>
      <c r="D68" s="51">
        <f>IF(B68="","",SUMIFS(Amortization!$G$6:$G$485,Amortization!$C$6:$C$485,A68))</f>
        <v/>
      </c>
      <c r="E68" s="51">
        <f>IF(B68="","",SUMIFS(Amortization!$E$6:$E$485,Amortization!$C$6:$C$485,A68))</f>
        <v/>
      </c>
      <c r="F68" s="51">
        <f>IF(B68="","",SUMIFS(Amortization!$K$6:$K$485,Amortization!$C$6:$C$485,A68))</f>
        <v/>
      </c>
      <c r="G68" s="51">
        <f>IF(B68="","",SUMIFS(Amortization!$L$6:$L$485,Amortization!$C$6:$C$485,A68)+SUMIFS(Amortization!$M$6:$M$485,Amortization!$C$6:$C$485,A68))</f>
        <v/>
      </c>
      <c r="H68" s="51">
        <f>IF(B68="","",INDEX(Amortization!$I$6:$I$485,MIN(A68*12,$H$17)))</f>
        <v/>
      </c>
      <c r="I68" s="51">
        <f>IF(B68="","",INDEX(Amortization!$Q$6:$Q$485,MIN(A68*12,$H$17))-H68)</f>
        <v/>
      </c>
    </row>
    <row r="69">
      <c r="A69" s="129" t="n">
        <v>24</v>
      </c>
      <c r="B69" s="145">
        <f>IF(COUNTIFS(Amortization!$C$6:$C$485,A69,Amortization!$D$6:$D$485,"&gt;0.005")&gt;0,EDATE($B$9,(A69-1)*12),"")</f>
        <v/>
      </c>
      <c r="C69" s="51">
        <f>IF(B69="","",SUMIFS(Amortization!$F$6:$F$485,Amortization!$C$6:$C$485,A69))</f>
        <v/>
      </c>
      <c r="D69" s="51">
        <f>IF(B69="","",SUMIFS(Amortization!$G$6:$G$485,Amortization!$C$6:$C$485,A69))</f>
        <v/>
      </c>
      <c r="E69" s="51">
        <f>IF(B69="","",SUMIFS(Amortization!$E$6:$E$485,Amortization!$C$6:$C$485,A69))</f>
        <v/>
      </c>
      <c r="F69" s="51">
        <f>IF(B69="","",SUMIFS(Amortization!$K$6:$K$485,Amortization!$C$6:$C$485,A69))</f>
        <v/>
      </c>
      <c r="G69" s="51">
        <f>IF(B69="","",SUMIFS(Amortization!$L$6:$L$485,Amortization!$C$6:$C$485,A69)+SUMIFS(Amortization!$M$6:$M$485,Amortization!$C$6:$C$485,A69))</f>
        <v/>
      </c>
      <c r="H69" s="51">
        <f>IF(B69="","",INDEX(Amortization!$I$6:$I$485,MIN(A69*12,$H$17)))</f>
        <v/>
      </c>
      <c r="I69" s="51">
        <f>IF(B69="","",INDEX(Amortization!$Q$6:$Q$485,MIN(A69*12,$H$17))-H69)</f>
        <v/>
      </c>
    </row>
    <row r="70">
      <c r="A70" s="129" t="n">
        <v>25</v>
      </c>
      <c r="B70" s="145">
        <f>IF(COUNTIFS(Amortization!$C$6:$C$485,A70,Amortization!$D$6:$D$485,"&gt;0.005")&gt;0,EDATE($B$9,(A70-1)*12),"")</f>
        <v/>
      </c>
      <c r="C70" s="51">
        <f>IF(B70="","",SUMIFS(Amortization!$F$6:$F$485,Amortization!$C$6:$C$485,A70))</f>
        <v/>
      </c>
      <c r="D70" s="51">
        <f>IF(B70="","",SUMIFS(Amortization!$G$6:$G$485,Amortization!$C$6:$C$485,A70))</f>
        <v/>
      </c>
      <c r="E70" s="51">
        <f>IF(B70="","",SUMIFS(Amortization!$E$6:$E$485,Amortization!$C$6:$C$485,A70))</f>
        <v/>
      </c>
      <c r="F70" s="51">
        <f>IF(B70="","",SUMIFS(Amortization!$K$6:$K$485,Amortization!$C$6:$C$485,A70))</f>
        <v/>
      </c>
      <c r="G70" s="51">
        <f>IF(B70="","",SUMIFS(Amortization!$L$6:$L$485,Amortization!$C$6:$C$485,A70)+SUMIFS(Amortization!$M$6:$M$485,Amortization!$C$6:$C$485,A70))</f>
        <v/>
      </c>
      <c r="H70" s="51">
        <f>IF(B70="","",INDEX(Amortization!$I$6:$I$485,MIN(A70*12,$H$17)))</f>
        <v/>
      </c>
      <c r="I70" s="51">
        <f>IF(B70="","",INDEX(Amortization!$Q$6:$Q$485,MIN(A70*12,$H$17))-H70)</f>
        <v/>
      </c>
    </row>
    <row r="71">
      <c r="A71" s="129" t="n">
        <v>26</v>
      </c>
      <c r="B71" s="145">
        <f>IF(COUNTIFS(Amortization!$C$6:$C$485,A71,Amortization!$D$6:$D$485,"&gt;0.005")&gt;0,EDATE($B$9,(A71-1)*12),"")</f>
        <v/>
      </c>
      <c r="C71" s="51">
        <f>IF(B71="","",SUMIFS(Amortization!$F$6:$F$485,Amortization!$C$6:$C$485,A71))</f>
        <v/>
      </c>
      <c r="D71" s="51">
        <f>IF(B71="","",SUMIFS(Amortization!$G$6:$G$485,Amortization!$C$6:$C$485,A71))</f>
        <v/>
      </c>
      <c r="E71" s="51">
        <f>IF(B71="","",SUMIFS(Amortization!$E$6:$E$485,Amortization!$C$6:$C$485,A71))</f>
        <v/>
      </c>
      <c r="F71" s="51">
        <f>IF(B71="","",SUMIFS(Amortization!$K$6:$K$485,Amortization!$C$6:$C$485,A71))</f>
        <v/>
      </c>
      <c r="G71" s="51">
        <f>IF(B71="","",SUMIFS(Amortization!$L$6:$L$485,Amortization!$C$6:$C$485,A71)+SUMIFS(Amortization!$M$6:$M$485,Amortization!$C$6:$C$485,A71))</f>
        <v/>
      </c>
      <c r="H71" s="51">
        <f>IF(B71="","",INDEX(Amortization!$I$6:$I$485,MIN(A71*12,$H$17)))</f>
        <v/>
      </c>
      <c r="I71" s="51">
        <f>IF(B71="","",INDEX(Amortization!$Q$6:$Q$485,MIN(A71*12,$H$17))-H71)</f>
        <v/>
      </c>
    </row>
    <row r="72">
      <c r="A72" s="129" t="n">
        <v>27</v>
      </c>
      <c r="B72" s="145">
        <f>IF(COUNTIFS(Amortization!$C$6:$C$485,A72,Amortization!$D$6:$D$485,"&gt;0.005")&gt;0,EDATE($B$9,(A72-1)*12),"")</f>
        <v/>
      </c>
      <c r="C72" s="51">
        <f>IF(B72="","",SUMIFS(Amortization!$F$6:$F$485,Amortization!$C$6:$C$485,A72))</f>
        <v/>
      </c>
      <c r="D72" s="51">
        <f>IF(B72="","",SUMIFS(Amortization!$G$6:$G$485,Amortization!$C$6:$C$485,A72))</f>
        <v/>
      </c>
      <c r="E72" s="51">
        <f>IF(B72="","",SUMIFS(Amortization!$E$6:$E$485,Amortization!$C$6:$C$485,A72))</f>
        <v/>
      </c>
      <c r="F72" s="51">
        <f>IF(B72="","",SUMIFS(Amortization!$K$6:$K$485,Amortization!$C$6:$C$485,A72))</f>
        <v/>
      </c>
      <c r="G72" s="51">
        <f>IF(B72="","",SUMIFS(Amortization!$L$6:$L$485,Amortization!$C$6:$C$485,A72)+SUMIFS(Amortization!$M$6:$M$485,Amortization!$C$6:$C$485,A72))</f>
        <v/>
      </c>
      <c r="H72" s="51">
        <f>IF(B72="","",INDEX(Amortization!$I$6:$I$485,MIN(A72*12,$H$17)))</f>
        <v/>
      </c>
      <c r="I72" s="51">
        <f>IF(B72="","",INDEX(Amortization!$Q$6:$Q$485,MIN(A72*12,$H$17))-H72)</f>
        <v/>
      </c>
    </row>
    <row r="73">
      <c r="A73" s="129" t="n">
        <v>28</v>
      </c>
      <c r="B73" s="145">
        <f>IF(COUNTIFS(Amortization!$C$6:$C$485,A73,Amortization!$D$6:$D$485,"&gt;0.005")&gt;0,EDATE($B$9,(A73-1)*12),"")</f>
        <v/>
      </c>
      <c r="C73" s="51">
        <f>IF(B73="","",SUMIFS(Amortization!$F$6:$F$485,Amortization!$C$6:$C$485,A73))</f>
        <v/>
      </c>
      <c r="D73" s="51">
        <f>IF(B73="","",SUMIFS(Amortization!$G$6:$G$485,Amortization!$C$6:$C$485,A73))</f>
        <v/>
      </c>
      <c r="E73" s="51">
        <f>IF(B73="","",SUMIFS(Amortization!$E$6:$E$485,Amortization!$C$6:$C$485,A73))</f>
        <v/>
      </c>
      <c r="F73" s="51">
        <f>IF(B73="","",SUMIFS(Amortization!$K$6:$K$485,Amortization!$C$6:$C$485,A73))</f>
        <v/>
      </c>
      <c r="G73" s="51">
        <f>IF(B73="","",SUMIFS(Amortization!$L$6:$L$485,Amortization!$C$6:$C$485,A73)+SUMIFS(Amortization!$M$6:$M$485,Amortization!$C$6:$C$485,A73))</f>
        <v/>
      </c>
      <c r="H73" s="51">
        <f>IF(B73="","",INDEX(Amortization!$I$6:$I$485,MIN(A73*12,$H$17)))</f>
        <v/>
      </c>
      <c r="I73" s="51">
        <f>IF(B73="","",INDEX(Amortization!$Q$6:$Q$485,MIN(A73*12,$H$17))-H73)</f>
        <v/>
      </c>
    </row>
    <row r="74">
      <c r="A74" s="129" t="n">
        <v>29</v>
      </c>
      <c r="B74" s="145">
        <f>IF(COUNTIFS(Amortization!$C$6:$C$485,A74,Amortization!$D$6:$D$485,"&gt;0.005")&gt;0,EDATE($B$9,(A74-1)*12),"")</f>
        <v/>
      </c>
      <c r="C74" s="51">
        <f>IF(B74="","",SUMIFS(Amortization!$F$6:$F$485,Amortization!$C$6:$C$485,A74))</f>
        <v/>
      </c>
      <c r="D74" s="51">
        <f>IF(B74="","",SUMIFS(Amortization!$G$6:$G$485,Amortization!$C$6:$C$485,A74))</f>
        <v/>
      </c>
      <c r="E74" s="51">
        <f>IF(B74="","",SUMIFS(Amortization!$E$6:$E$485,Amortization!$C$6:$C$485,A74))</f>
        <v/>
      </c>
      <c r="F74" s="51">
        <f>IF(B74="","",SUMIFS(Amortization!$K$6:$K$485,Amortization!$C$6:$C$485,A74))</f>
        <v/>
      </c>
      <c r="G74" s="51">
        <f>IF(B74="","",SUMIFS(Amortization!$L$6:$L$485,Amortization!$C$6:$C$485,A74)+SUMIFS(Amortization!$M$6:$M$485,Amortization!$C$6:$C$485,A74))</f>
        <v/>
      </c>
      <c r="H74" s="51">
        <f>IF(B74="","",INDEX(Amortization!$I$6:$I$485,MIN(A74*12,$H$17)))</f>
        <v/>
      </c>
      <c r="I74" s="51">
        <f>IF(B74="","",INDEX(Amortization!$Q$6:$Q$485,MIN(A74*12,$H$17))-H74)</f>
        <v/>
      </c>
    </row>
    <row r="75">
      <c r="A75" s="129" t="n">
        <v>30</v>
      </c>
      <c r="B75" s="145">
        <f>IF(COUNTIFS(Amortization!$C$6:$C$485,A75,Amortization!$D$6:$D$485,"&gt;0.005")&gt;0,EDATE($B$9,(A75-1)*12),"")</f>
        <v/>
      </c>
      <c r="C75" s="51">
        <f>IF(B75="","",SUMIFS(Amortization!$F$6:$F$485,Amortization!$C$6:$C$485,A75))</f>
        <v/>
      </c>
      <c r="D75" s="51">
        <f>IF(B75="","",SUMIFS(Amortization!$G$6:$G$485,Amortization!$C$6:$C$485,A75))</f>
        <v/>
      </c>
      <c r="E75" s="51">
        <f>IF(B75="","",SUMIFS(Amortization!$E$6:$E$485,Amortization!$C$6:$C$485,A75))</f>
        <v/>
      </c>
      <c r="F75" s="51">
        <f>IF(B75="","",SUMIFS(Amortization!$K$6:$K$485,Amortization!$C$6:$C$485,A75))</f>
        <v/>
      </c>
      <c r="G75" s="51">
        <f>IF(B75="","",SUMIFS(Amortization!$L$6:$L$485,Amortization!$C$6:$C$485,A75)+SUMIFS(Amortization!$M$6:$M$485,Amortization!$C$6:$C$485,A75))</f>
        <v/>
      </c>
      <c r="H75" s="51">
        <f>IF(B75="","",INDEX(Amortization!$I$6:$I$485,MIN(A75*12,$H$17)))</f>
        <v/>
      </c>
      <c r="I75" s="51">
        <f>IF(B75="","",INDEX(Amortization!$Q$6:$Q$485,MIN(A75*12,$H$17))-H75)</f>
        <v/>
      </c>
    </row>
    <row r="76">
      <c r="A76" s="129" t="n">
        <v>31</v>
      </c>
      <c r="B76" s="145">
        <f>IF(COUNTIFS(Amortization!$C$6:$C$485,A76,Amortization!$D$6:$D$485,"&gt;0.005")&gt;0,EDATE($B$9,(A76-1)*12),"")</f>
        <v/>
      </c>
      <c r="C76" s="51">
        <f>IF(B76="","",SUMIFS(Amortization!$F$6:$F$485,Amortization!$C$6:$C$485,A76))</f>
        <v/>
      </c>
      <c r="D76" s="51">
        <f>IF(B76="","",SUMIFS(Amortization!$G$6:$G$485,Amortization!$C$6:$C$485,A76))</f>
        <v/>
      </c>
      <c r="E76" s="51">
        <f>IF(B76="","",SUMIFS(Amortization!$E$6:$E$485,Amortization!$C$6:$C$485,A76))</f>
        <v/>
      </c>
      <c r="F76" s="51">
        <f>IF(B76="","",SUMIFS(Amortization!$K$6:$K$485,Amortization!$C$6:$C$485,A76))</f>
        <v/>
      </c>
      <c r="G76" s="51">
        <f>IF(B76="","",SUMIFS(Amortization!$L$6:$L$485,Amortization!$C$6:$C$485,A76)+SUMIFS(Amortization!$M$6:$M$485,Amortization!$C$6:$C$485,A76))</f>
        <v/>
      </c>
      <c r="H76" s="51">
        <f>IF(B76="","",INDEX(Amortization!$I$6:$I$485,MIN(A76*12,$H$17)))</f>
        <v/>
      </c>
      <c r="I76" s="51">
        <f>IF(B76="","",INDEX(Amortization!$Q$6:$Q$485,MIN(A76*12,$H$17))-H76)</f>
        <v/>
      </c>
    </row>
    <row r="77">
      <c r="A77" s="129" t="n">
        <v>32</v>
      </c>
      <c r="B77" s="145">
        <f>IF(COUNTIFS(Amortization!$C$6:$C$485,A77,Amortization!$D$6:$D$485,"&gt;0.005")&gt;0,EDATE($B$9,(A77-1)*12),"")</f>
        <v/>
      </c>
      <c r="C77" s="51">
        <f>IF(B77="","",SUMIFS(Amortization!$F$6:$F$485,Amortization!$C$6:$C$485,A77))</f>
        <v/>
      </c>
      <c r="D77" s="51">
        <f>IF(B77="","",SUMIFS(Amortization!$G$6:$G$485,Amortization!$C$6:$C$485,A77))</f>
        <v/>
      </c>
      <c r="E77" s="51">
        <f>IF(B77="","",SUMIFS(Amortization!$E$6:$E$485,Amortization!$C$6:$C$485,A77))</f>
        <v/>
      </c>
      <c r="F77" s="51">
        <f>IF(B77="","",SUMIFS(Amortization!$K$6:$K$485,Amortization!$C$6:$C$485,A77))</f>
        <v/>
      </c>
      <c r="G77" s="51">
        <f>IF(B77="","",SUMIFS(Amortization!$L$6:$L$485,Amortization!$C$6:$C$485,A77)+SUMIFS(Amortization!$M$6:$M$485,Amortization!$C$6:$C$485,A77))</f>
        <v/>
      </c>
      <c r="H77" s="51">
        <f>IF(B77="","",INDEX(Amortization!$I$6:$I$485,MIN(A77*12,$H$17)))</f>
        <v/>
      </c>
      <c r="I77" s="51">
        <f>IF(B77="","",INDEX(Amortization!$Q$6:$Q$485,MIN(A77*12,$H$17))-H77)</f>
        <v/>
      </c>
    </row>
    <row r="78">
      <c r="A78" s="129" t="n">
        <v>33</v>
      </c>
      <c r="B78" s="145">
        <f>IF(COUNTIFS(Amortization!$C$6:$C$485,A78,Amortization!$D$6:$D$485,"&gt;0.005")&gt;0,EDATE($B$9,(A78-1)*12),"")</f>
        <v/>
      </c>
      <c r="C78" s="51">
        <f>IF(B78="","",SUMIFS(Amortization!$F$6:$F$485,Amortization!$C$6:$C$485,A78))</f>
        <v/>
      </c>
      <c r="D78" s="51">
        <f>IF(B78="","",SUMIFS(Amortization!$G$6:$G$485,Amortization!$C$6:$C$485,A78))</f>
        <v/>
      </c>
      <c r="E78" s="51">
        <f>IF(B78="","",SUMIFS(Amortization!$E$6:$E$485,Amortization!$C$6:$C$485,A78))</f>
        <v/>
      </c>
      <c r="F78" s="51">
        <f>IF(B78="","",SUMIFS(Amortization!$K$6:$K$485,Amortization!$C$6:$C$485,A78))</f>
        <v/>
      </c>
      <c r="G78" s="51">
        <f>IF(B78="","",SUMIFS(Amortization!$L$6:$L$485,Amortization!$C$6:$C$485,A78)+SUMIFS(Amortization!$M$6:$M$485,Amortization!$C$6:$C$485,A78))</f>
        <v/>
      </c>
      <c r="H78" s="51">
        <f>IF(B78="","",INDEX(Amortization!$I$6:$I$485,MIN(A78*12,$H$17)))</f>
        <v/>
      </c>
      <c r="I78" s="51">
        <f>IF(B78="","",INDEX(Amortization!$Q$6:$Q$485,MIN(A78*12,$H$17))-H78)</f>
        <v/>
      </c>
    </row>
    <row r="79">
      <c r="A79" s="129" t="n">
        <v>34</v>
      </c>
      <c r="B79" s="145">
        <f>IF(COUNTIFS(Amortization!$C$6:$C$485,A79,Amortization!$D$6:$D$485,"&gt;0.005")&gt;0,EDATE($B$9,(A79-1)*12),"")</f>
        <v/>
      </c>
      <c r="C79" s="51">
        <f>IF(B79="","",SUMIFS(Amortization!$F$6:$F$485,Amortization!$C$6:$C$485,A79))</f>
        <v/>
      </c>
      <c r="D79" s="51">
        <f>IF(B79="","",SUMIFS(Amortization!$G$6:$G$485,Amortization!$C$6:$C$485,A79))</f>
        <v/>
      </c>
      <c r="E79" s="51">
        <f>IF(B79="","",SUMIFS(Amortization!$E$6:$E$485,Amortization!$C$6:$C$485,A79))</f>
        <v/>
      </c>
      <c r="F79" s="51">
        <f>IF(B79="","",SUMIFS(Amortization!$K$6:$K$485,Amortization!$C$6:$C$485,A79))</f>
        <v/>
      </c>
      <c r="G79" s="51">
        <f>IF(B79="","",SUMIFS(Amortization!$L$6:$L$485,Amortization!$C$6:$C$485,A79)+SUMIFS(Amortization!$M$6:$M$485,Amortization!$C$6:$C$485,A79))</f>
        <v/>
      </c>
      <c r="H79" s="51">
        <f>IF(B79="","",INDEX(Amortization!$I$6:$I$485,MIN(A79*12,$H$17)))</f>
        <v/>
      </c>
      <c r="I79" s="51">
        <f>IF(B79="","",INDEX(Amortization!$Q$6:$Q$485,MIN(A79*12,$H$17))-H79)</f>
        <v/>
      </c>
    </row>
    <row r="80">
      <c r="A80" s="129" t="n">
        <v>35</v>
      </c>
      <c r="B80" s="145">
        <f>IF(COUNTIFS(Amortization!$C$6:$C$485,A80,Amortization!$D$6:$D$485,"&gt;0.005")&gt;0,EDATE($B$9,(A80-1)*12),"")</f>
        <v/>
      </c>
      <c r="C80" s="51">
        <f>IF(B80="","",SUMIFS(Amortization!$F$6:$F$485,Amortization!$C$6:$C$485,A80))</f>
        <v/>
      </c>
      <c r="D80" s="51">
        <f>IF(B80="","",SUMIFS(Amortization!$G$6:$G$485,Amortization!$C$6:$C$485,A80))</f>
        <v/>
      </c>
      <c r="E80" s="51">
        <f>IF(B80="","",SUMIFS(Amortization!$E$6:$E$485,Amortization!$C$6:$C$485,A80))</f>
        <v/>
      </c>
      <c r="F80" s="51">
        <f>IF(B80="","",SUMIFS(Amortization!$K$6:$K$485,Amortization!$C$6:$C$485,A80))</f>
        <v/>
      </c>
      <c r="G80" s="51">
        <f>IF(B80="","",SUMIFS(Amortization!$L$6:$L$485,Amortization!$C$6:$C$485,A80)+SUMIFS(Amortization!$M$6:$M$485,Amortization!$C$6:$C$485,A80))</f>
        <v/>
      </c>
      <c r="H80" s="51">
        <f>IF(B80="","",INDEX(Amortization!$I$6:$I$485,MIN(A80*12,$H$17)))</f>
        <v/>
      </c>
      <c r="I80" s="51">
        <f>IF(B80="","",INDEX(Amortization!$Q$6:$Q$485,MIN(A80*12,$H$17))-H80)</f>
        <v/>
      </c>
    </row>
    <row r="81">
      <c r="A81" s="129" t="n">
        <v>36</v>
      </c>
      <c r="B81" s="145">
        <f>IF(COUNTIFS(Amortization!$C$6:$C$485,A81,Amortization!$D$6:$D$485,"&gt;0.005")&gt;0,EDATE($B$9,(A81-1)*12),"")</f>
        <v/>
      </c>
      <c r="C81" s="51">
        <f>IF(B81="","",SUMIFS(Amortization!$F$6:$F$485,Amortization!$C$6:$C$485,A81))</f>
        <v/>
      </c>
      <c r="D81" s="51">
        <f>IF(B81="","",SUMIFS(Amortization!$G$6:$G$485,Amortization!$C$6:$C$485,A81))</f>
        <v/>
      </c>
      <c r="E81" s="51">
        <f>IF(B81="","",SUMIFS(Amortization!$E$6:$E$485,Amortization!$C$6:$C$485,A81))</f>
        <v/>
      </c>
      <c r="F81" s="51">
        <f>IF(B81="","",SUMIFS(Amortization!$K$6:$K$485,Amortization!$C$6:$C$485,A81))</f>
        <v/>
      </c>
      <c r="G81" s="51">
        <f>IF(B81="","",SUMIFS(Amortization!$L$6:$L$485,Amortization!$C$6:$C$485,A81)+SUMIFS(Amortization!$M$6:$M$485,Amortization!$C$6:$C$485,A81))</f>
        <v/>
      </c>
      <c r="H81" s="51">
        <f>IF(B81="","",INDEX(Amortization!$I$6:$I$485,MIN(A81*12,$H$17)))</f>
        <v/>
      </c>
      <c r="I81" s="51">
        <f>IF(B81="","",INDEX(Amortization!$Q$6:$Q$485,MIN(A81*12,$H$17))-H81)</f>
        <v/>
      </c>
    </row>
    <row r="82">
      <c r="A82" s="129" t="n">
        <v>37</v>
      </c>
      <c r="B82" s="145">
        <f>IF(COUNTIFS(Amortization!$C$6:$C$485,A82,Amortization!$D$6:$D$485,"&gt;0.005")&gt;0,EDATE($B$9,(A82-1)*12),"")</f>
        <v/>
      </c>
      <c r="C82" s="51">
        <f>IF(B82="","",SUMIFS(Amortization!$F$6:$F$485,Amortization!$C$6:$C$485,A82))</f>
        <v/>
      </c>
      <c r="D82" s="51">
        <f>IF(B82="","",SUMIFS(Amortization!$G$6:$G$485,Amortization!$C$6:$C$485,A82))</f>
        <v/>
      </c>
      <c r="E82" s="51">
        <f>IF(B82="","",SUMIFS(Amortization!$E$6:$E$485,Amortization!$C$6:$C$485,A82))</f>
        <v/>
      </c>
      <c r="F82" s="51">
        <f>IF(B82="","",SUMIFS(Amortization!$K$6:$K$485,Amortization!$C$6:$C$485,A82))</f>
        <v/>
      </c>
      <c r="G82" s="51">
        <f>IF(B82="","",SUMIFS(Amortization!$L$6:$L$485,Amortization!$C$6:$C$485,A82)+SUMIFS(Amortization!$M$6:$M$485,Amortization!$C$6:$C$485,A82))</f>
        <v/>
      </c>
      <c r="H82" s="51">
        <f>IF(B82="","",INDEX(Amortization!$I$6:$I$485,MIN(A82*12,$H$17)))</f>
        <v/>
      </c>
      <c r="I82" s="51">
        <f>IF(B82="","",INDEX(Amortization!$Q$6:$Q$485,MIN(A82*12,$H$17))-H82)</f>
        <v/>
      </c>
    </row>
    <row r="83">
      <c r="A83" s="129" t="n">
        <v>38</v>
      </c>
      <c r="B83" s="145">
        <f>IF(COUNTIFS(Amortization!$C$6:$C$485,A83,Amortization!$D$6:$D$485,"&gt;0.005")&gt;0,EDATE($B$9,(A83-1)*12),"")</f>
        <v/>
      </c>
      <c r="C83" s="51">
        <f>IF(B83="","",SUMIFS(Amortization!$F$6:$F$485,Amortization!$C$6:$C$485,A83))</f>
        <v/>
      </c>
      <c r="D83" s="51">
        <f>IF(B83="","",SUMIFS(Amortization!$G$6:$G$485,Amortization!$C$6:$C$485,A83))</f>
        <v/>
      </c>
      <c r="E83" s="51">
        <f>IF(B83="","",SUMIFS(Amortization!$E$6:$E$485,Amortization!$C$6:$C$485,A83))</f>
        <v/>
      </c>
      <c r="F83" s="51">
        <f>IF(B83="","",SUMIFS(Amortization!$K$6:$K$485,Amortization!$C$6:$C$485,A83))</f>
        <v/>
      </c>
      <c r="G83" s="51">
        <f>IF(B83="","",SUMIFS(Amortization!$L$6:$L$485,Amortization!$C$6:$C$485,A83)+SUMIFS(Amortization!$M$6:$M$485,Amortization!$C$6:$C$485,A83))</f>
        <v/>
      </c>
      <c r="H83" s="51">
        <f>IF(B83="","",INDEX(Amortization!$I$6:$I$485,MIN(A83*12,$H$17)))</f>
        <v/>
      </c>
      <c r="I83" s="51">
        <f>IF(B83="","",INDEX(Amortization!$Q$6:$Q$485,MIN(A83*12,$H$17))-H83)</f>
        <v/>
      </c>
    </row>
    <row r="84">
      <c r="A84" s="129" t="n">
        <v>39</v>
      </c>
      <c r="B84" s="145">
        <f>IF(COUNTIFS(Amortization!$C$6:$C$485,A84,Amortization!$D$6:$D$485,"&gt;0.005")&gt;0,EDATE($B$9,(A84-1)*12),"")</f>
        <v/>
      </c>
      <c r="C84" s="51">
        <f>IF(B84="","",SUMIFS(Amortization!$F$6:$F$485,Amortization!$C$6:$C$485,A84))</f>
        <v/>
      </c>
      <c r="D84" s="51">
        <f>IF(B84="","",SUMIFS(Amortization!$G$6:$G$485,Amortization!$C$6:$C$485,A84))</f>
        <v/>
      </c>
      <c r="E84" s="51">
        <f>IF(B84="","",SUMIFS(Amortization!$E$6:$E$485,Amortization!$C$6:$C$485,A84))</f>
        <v/>
      </c>
      <c r="F84" s="51">
        <f>IF(B84="","",SUMIFS(Amortization!$K$6:$K$485,Amortization!$C$6:$C$485,A84))</f>
        <v/>
      </c>
      <c r="G84" s="51">
        <f>IF(B84="","",SUMIFS(Amortization!$L$6:$L$485,Amortization!$C$6:$C$485,A84)+SUMIFS(Amortization!$M$6:$M$485,Amortization!$C$6:$C$485,A84))</f>
        <v/>
      </c>
      <c r="H84" s="51">
        <f>IF(B84="","",INDEX(Amortization!$I$6:$I$485,MIN(A84*12,$H$17)))</f>
        <v/>
      </c>
      <c r="I84" s="51">
        <f>IF(B84="","",INDEX(Amortization!$Q$6:$Q$485,MIN(A84*12,$H$17))-H84)</f>
        <v/>
      </c>
    </row>
    <row r="85">
      <c r="A85" s="129" t="n">
        <v>40</v>
      </c>
      <c r="B85" s="145">
        <f>IF(COUNTIFS(Amortization!$C$6:$C$485,A85,Amortization!$D$6:$D$485,"&gt;0.005")&gt;0,EDATE($B$9,(A85-1)*12),"")</f>
        <v/>
      </c>
      <c r="C85" s="51">
        <f>IF(B85="","",SUMIFS(Amortization!$F$6:$F$485,Amortization!$C$6:$C$485,A85))</f>
        <v/>
      </c>
      <c r="D85" s="51">
        <f>IF(B85="","",SUMIFS(Amortization!$G$6:$G$485,Amortization!$C$6:$C$485,A85))</f>
        <v/>
      </c>
      <c r="E85" s="51">
        <f>IF(B85="","",SUMIFS(Amortization!$E$6:$E$485,Amortization!$C$6:$C$485,A85))</f>
        <v/>
      </c>
      <c r="F85" s="51">
        <f>IF(B85="","",SUMIFS(Amortization!$K$6:$K$485,Amortization!$C$6:$C$485,A85))</f>
        <v/>
      </c>
      <c r="G85" s="51">
        <f>IF(B85="","",SUMIFS(Amortization!$L$6:$L$485,Amortization!$C$6:$C$485,A85)+SUMIFS(Amortization!$M$6:$M$485,Amortization!$C$6:$C$485,A85))</f>
        <v/>
      </c>
      <c r="H85" s="51">
        <f>IF(B85="","",INDEX(Amortization!$I$6:$I$485,MIN(A85*12,$H$17)))</f>
        <v/>
      </c>
      <c r="I85" s="51">
        <f>IF(B85="","",INDEX(Amortization!$Q$6:$Q$485,MIN(A85*12,$H$17))-H85)</f>
        <v/>
      </c>
    </row>
  </sheetData>
  <conditionalFormatting sqref="I27:I28">
    <cfRule type="expression" priority="1" dxfId="0">
      <formula>I27="Good"</formula>
    </cfRule>
    <cfRule type="expression" priority="2" dxfId="1">
      <formula>I27="Fair"</formula>
    </cfRule>
    <cfRule type="expression" priority="3" dxfId="2">
      <formula>I27="Needs work"</formula>
    </cfRule>
  </conditionalFormatting>
  <conditionalFormatting sqref="H42">
    <cfRule type="cellIs" priority="4" operator="lessThan" dxfId="4">
      <formula>0</formula>
    </cfRule>
  </conditionalFormatting>
  <dataValidations count="4">
    <dataValidation sqref="B8" showDropDown="0" showInputMessage="1" showErrorMessage="1" allowBlank="1" errorTitle="Not in the list" error="This value isn't in the list. Keep it anyway?" promptTitle="Pick from the list" prompt="Pick a common term, or type any whole number of years up to 40." type="list" errorStyle="warning">
      <formula1>=lst_Terms</formula1>
    </dataValidation>
    <dataValidation sqref="B10" showDropDown="0" showInputMessage="1" showErrorMessage="1" allowBlank="1" errorTitle="Not in the list" error="Pick a value from the dropdown." promptTitle="Pick from the list" prompt="Bi-weekly (accelerated) pays half the monthly amount every two weeks: about one extra payment a year." type="list" errorStyle="stop">
      <formula1>=lst_Freq</formula1>
    </dataValidation>
    <dataValidation sqref="B20" showDropDown="0" showInputMessage="0" showErrorMessage="1" allowBlank="1" error="Enter a value from 1 to 12." type="whole" operator="between">
      <formula1>1</formula1>
      <formula2>12</formula2>
    </dataValidation>
    <dataValidation sqref="B8" showDropDown="0" showInputMessage="0" showErrorMessage="1" allowBlank="1" error="Enter a value from 1 to 40." type="whole" operator="between">
      <formula1>1</formula1>
      <formula2>40</formula2>
    </dataValidation>
  </dataValidations>
  <pageMargins left="0.4" right="0.4" top="0.5" bottom="0.6" header="0.5" footer="0.5"/>
  <pageSetup orientation="landscape" paperSize="1" fitToHeight="0" fitToWidth="1"/>
  <headerFooter>
    <oddHeader/>
    <oddFooter>&amp;L&amp;A&amp;RPage &amp;P of &amp;N</oddFooter>
    <evenHeader/>
    <evenFooter/>
    <firstHeader/>
    <firstFooter/>
  </headerFooter>
  <drawing xmlns:r="http://schemas.openxmlformats.org/officeDocument/2006/relationships" r:id="rId1"/>
  <legacyDrawing xmlns:r="http://schemas.openxmlformats.org/officeDocument/2006/relationships" r:id="anysvml"/>
</worksheet>
</file>

<file path=xl/worksheets/sheet16.xml><?xml version="1.0" encoding="utf-8"?>
<worksheet xmlns="http://schemas.openxmlformats.org/spreadsheetml/2006/main">
  <sheetPr codeName="shAmort">
    <tabColor rgb="007C3AED"/>
    <outlinePr summaryBelow="1" summaryRight="1"/>
    <pageSetUpPr fitToPage="1"/>
  </sheetPr>
  <dimension ref="A1:W485"/>
  <sheetViews>
    <sheetView showGridLines="0" tabSelected="0" zoomScale="100" workbookViewId="0">
      <pane xSplit="2" ySplit="5" topLeftCell="C6" activePane="bottomRight" state="frozen"/>
      <selection pane="topRight"/>
      <selection pane="bottomLeft"/>
      <selection pane="bottomRight" activeCell="A1" sqref="A1"/>
    </sheetView>
  </sheetViews>
  <sheetFormatPr baseColWidth="8" defaultRowHeight="15"/>
  <cols>
    <col width="10" customWidth="1" min="1" max="1"/>
    <col width="11" customWidth="1" min="2" max="2"/>
    <col width="9" customWidth="1" min="3" max="3"/>
    <col width="15" customWidth="1" min="4" max="4"/>
    <col width="12" customWidth="1" min="5" max="5"/>
    <col width="12" customWidth="1" min="6" max="6"/>
    <col width="12" customWidth="1" min="7" max="7"/>
    <col width="13" customWidth="1" min="8" max="8"/>
    <col width="15" customWidth="1" min="9" max="9"/>
    <col width="15" customWidth="1" min="10" max="10"/>
    <col width="10" customWidth="1" min="11" max="11"/>
    <col width="11" customWidth="1" min="12" max="12"/>
    <col width="11" customWidth="1" min="13" max="13"/>
    <col width="9" customWidth="1" min="14" max="14"/>
    <col width="13" customWidth="1" min="15" max="15"/>
    <col width="14" customWidth="1" min="16" max="16"/>
    <col width="13" customWidth="1" min="17" max="17"/>
    <col width="13" customWidth="1" min="18" max="18"/>
    <col width="14" customWidth="1" min="19" max="19"/>
    <col width="10" customWidth="1" min="20" max="20"/>
    <col hidden="1" width="13" customWidth="1" min="21" max="21"/>
    <col hidden="1" width="13" customWidth="1" min="22" max="22"/>
    <col hidden="1"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Amortization Schedule</t>
        </is>
      </c>
    </row>
    <row r="2" ht="20" customHeight="1">
      <c r="A2" s="61" t="inlineStr">
        <is>
          <t>Every payment from the Mortgage tab: interest, principal, extra principal, PMI, escrow and equity.</t>
        </is>
      </c>
      <c r="B2" s="2" t="n"/>
      <c r="C2" s="2" t="n"/>
      <c r="D2" s="2" t="n"/>
      <c r="E2" s="2" t="n"/>
      <c r="F2" s="2" t="n"/>
      <c r="G2" s="2" t="n"/>
      <c r="H2" s="2" t="n"/>
      <c r="I2" s="2" t="n"/>
      <c r="J2" s="2" t="n"/>
      <c r="K2" s="2" t="n"/>
      <c r="L2" s="2" t="n"/>
      <c r="M2" s="2" t="n"/>
      <c r="N2" s="2" t="n"/>
      <c r="O2" s="2" t="n"/>
      <c r="P2" s="2" t="n"/>
      <c r="Q2" s="2" t="n"/>
      <c r="R2" s="2" t="n"/>
      <c r="S2" s="2" t="n"/>
      <c r="T2" s="2" t="n"/>
    </row>
    <row r="5" ht="42" customHeight="1">
      <c r="A5" s="38" t="inlineStr">
        <is>
          <t>Payment #</t>
        </is>
      </c>
      <c r="B5" s="38" t="inlineStr">
        <is>
          <t>Date</t>
        </is>
      </c>
      <c r="C5" s="38" t="inlineStr">
        <is>
          <t>Loan Year</t>
        </is>
      </c>
      <c r="D5" s="38" t="inlineStr">
        <is>
          <t>Beginning Balance</t>
        </is>
      </c>
      <c r="E5" s="38" t="inlineStr">
        <is>
          <t>Interest</t>
        </is>
      </c>
      <c r="F5" s="38" t="inlineStr">
        <is>
          <t>Principal</t>
        </is>
      </c>
      <c r="G5" s="38" t="inlineStr">
        <is>
          <t>Extra Principal</t>
        </is>
      </c>
      <c r="H5" s="38" t="inlineStr">
        <is>
          <t>Total Principal</t>
        </is>
      </c>
      <c r="I5" s="38" t="inlineStr">
        <is>
          <t>Ending Balance</t>
        </is>
      </c>
      <c r="J5" s="38" t="inlineStr">
        <is>
          <t>Principal &amp; Interest + Extra</t>
        </is>
      </c>
      <c r="K5" s="38" t="inlineStr">
        <is>
          <t>PMI</t>
        </is>
      </c>
      <c r="L5" s="38" t="inlineStr">
        <is>
          <t>Property Tax</t>
        </is>
      </c>
      <c r="M5" s="38" t="inlineStr">
        <is>
          <t>Insurance</t>
        </is>
      </c>
      <c r="N5" s="38" t="inlineStr">
        <is>
          <t>HOA</t>
        </is>
      </c>
      <c r="O5" s="38" t="inlineStr">
        <is>
          <t>Total Paid</t>
        </is>
      </c>
      <c r="P5" s="38" t="inlineStr">
        <is>
          <t>Cumulative Interest</t>
        </is>
      </c>
      <c r="Q5" s="38" t="inlineStr">
        <is>
          <t>Home Value</t>
        </is>
      </c>
      <c r="R5" s="38" t="inlineStr">
        <is>
          <t>Equity</t>
        </is>
      </c>
      <c r="S5" s="38" t="inlineStr">
        <is>
          <t>Balance, No Extra</t>
        </is>
      </c>
      <c r="T5" s="38" t="inlineStr">
        <is>
          <t>Loan-to-Value</t>
        </is>
      </c>
    </row>
    <row r="6">
      <c r="A6" s="129" t="n">
        <v>1</v>
      </c>
      <c r="B6" s="146">
        <f>EDATE(Mortgage!$B$9,A6-1)</f>
        <v/>
      </c>
      <c r="C6" s="129">
        <f>INT((A6-1)/12)+1</f>
        <v/>
      </c>
      <c r="D6" s="147">
        <f>Mortgage!$H$5</f>
        <v/>
      </c>
      <c r="E6" s="147">
        <f>IF(D6&gt;0.005,D6*Mortgage!$B$7/12,0)</f>
        <v/>
      </c>
      <c r="F6" s="147">
        <f>IF(D6&gt;0.005,MIN(Mortgage!$H$8-E6,D6),0)</f>
        <v/>
      </c>
      <c r="G6" s="147">
        <f>IF(D6-F6&gt;0.005,MIN(D6-F6,Mortgage!$B$18+IF(MONTH(B6)=Mortgage!$B$20,Mortgage!$B$19,0)+SUMIFS(Mortgage!$E$6:$E$15,Mortgage!$D$6:$D$15,"&gt;="&amp;B6,Mortgage!$D$6:$D$15,"&lt;"&amp;EDATE(B6,1))+IF(Mortgage!$B$10="Bi-weekly (accelerated)",Mortgage!$H$8/12,0)),0)</f>
        <v/>
      </c>
      <c r="H6" s="147">
        <f>F6+G6</f>
        <v/>
      </c>
      <c r="I6" s="148">
        <f>D6-H6</f>
        <v/>
      </c>
      <c r="J6" s="147">
        <f>E6+F6+G6</f>
        <v/>
      </c>
      <c r="K6" s="147">
        <f>IF(AND(D6&gt;0.005,Mortgage!$H$7&gt;0.8,D6/Mortgage!$B$5&gt;Mortgage!$B$14),Mortgage!$H$5*Mortgage!$B$13/12,0)</f>
        <v/>
      </c>
      <c r="L6" s="147">
        <f>IF(D6&gt;0.005,Mortgage!$B$11/12*(1+Mortgage!$B$16)^(C6-1),0)</f>
        <v/>
      </c>
      <c r="M6" s="147">
        <f>IF(D6&gt;0.005,Mortgage!$B$12/12*(1+Mortgage!$B$16)^(C6-1),0)</f>
        <v/>
      </c>
      <c r="N6" s="147">
        <f>IF(D6&gt;0.005,Mortgage!$B$15,0)</f>
        <v/>
      </c>
      <c r="O6" s="147">
        <f>J6+K6+L6+M6+N6</f>
        <v/>
      </c>
      <c r="P6" s="147">
        <f>E6</f>
        <v/>
      </c>
      <c r="Q6" s="147">
        <f>IF(D6&gt;0.005,Mortgage!$B$5*(1+Mortgage!$B$17)^(A6/12),"")</f>
        <v/>
      </c>
      <c r="R6" s="147">
        <f>IF(D6&gt;0.005,Q6-I6,"")</f>
        <v/>
      </c>
      <c r="S6" s="147">
        <f>IF(A6&gt;Mortgage!$B$8*12,0,IF(Mortgage!$B$7=0,MAX(0,Mortgage!$H$5-Mortgage!$H$8*A6),MAX(0,Mortgage!$H$5*(1+(Mortgage!$B$7/12))^A6-Mortgage!$H$8*((1+(Mortgage!$B$7/12))^A6-1)/(Mortgage!$B$7/12))))</f>
        <v/>
      </c>
      <c r="T6" s="149">
        <f>IF(D6&gt;0.005,I6/Mortgage!$B$5,"")</f>
        <v/>
      </c>
      <c r="U6">
        <f>IF(A6&gt;Mortgage!$B$8*12,NA(),B6)</f>
        <v/>
      </c>
      <c r="V6">
        <f>IF(D6&gt;0.005,I6,NA())</f>
        <v/>
      </c>
      <c r="W6">
        <f>IF(A6&gt;Mortgage!$B$8*12,NA(),S6)</f>
        <v/>
      </c>
    </row>
    <row r="7">
      <c r="A7" s="129" t="n">
        <v>2</v>
      </c>
      <c r="B7" s="146">
        <f>EDATE(Mortgage!$B$9,A7-1)</f>
        <v/>
      </c>
      <c r="C7" s="129">
        <f>INT((A7-1)/12)+1</f>
        <v/>
      </c>
      <c r="D7" s="147">
        <f>IF(N(I6)&gt;0.005,I6,0)</f>
        <v/>
      </c>
      <c r="E7" s="147">
        <f>IF(D7&gt;0.005,D7*Mortgage!$B$7/12,0)</f>
        <v/>
      </c>
      <c r="F7" s="147">
        <f>IF(D7&gt;0.005,MIN(Mortgage!$H$8-E7,D7),0)</f>
        <v/>
      </c>
      <c r="G7" s="147">
        <f>IF(D7-F7&gt;0.005,MIN(D7-F7,Mortgage!$B$18+IF(MONTH(B7)=Mortgage!$B$20,Mortgage!$B$19,0)+SUMIFS(Mortgage!$E$6:$E$15,Mortgage!$D$6:$D$15,"&gt;="&amp;B7,Mortgage!$D$6:$D$15,"&lt;"&amp;EDATE(B7,1))+IF(Mortgage!$B$10="Bi-weekly (accelerated)",Mortgage!$H$8/12,0)),0)</f>
        <v/>
      </c>
      <c r="H7" s="147">
        <f>F7+G7</f>
        <v/>
      </c>
      <c r="I7" s="148">
        <f>D7-H7</f>
        <v/>
      </c>
      <c r="J7" s="147">
        <f>E7+F7+G7</f>
        <v/>
      </c>
      <c r="K7" s="147">
        <f>IF(AND(D7&gt;0.005,Mortgage!$H$7&gt;0.8,D7/Mortgage!$B$5&gt;Mortgage!$B$14),Mortgage!$H$5*Mortgage!$B$13/12,0)</f>
        <v/>
      </c>
      <c r="L7" s="147">
        <f>IF(D7&gt;0.005,Mortgage!$B$11/12*(1+Mortgage!$B$16)^(C7-1),0)</f>
        <v/>
      </c>
      <c r="M7" s="147">
        <f>IF(D7&gt;0.005,Mortgage!$B$12/12*(1+Mortgage!$B$16)^(C7-1),0)</f>
        <v/>
      </c>
      <c r="N7" s="147">
        <f>IF(D7&gt;0.005,Mortgage!$B$15,0)</f>
        <v/>
      </c>
      <c r="O7" s="147">
        <f>J7+K7+L7+M7+N7</f>
        <v/>
      </c>
      <c r="P7" s="147">
        <f>P6+E7</f>
        <v/>
      </c>
      <c r="Q7" s="147">
        <f>IF(D7&gt;0.005,Mortgage!$B$5*(1+Mortgage!$B$17)^(A7/12),"")</f>
        <v/>
      </c>
      <c r="R7" s="147">
        <f>IF(D7&gt;0.005,Q7-I7,"")</f>
        <v/>
      </c>
      <c r="S7" s="147">
        <f>IF(A7&gt;Mortgage!$B$8*12,0,IF(Mortgage!$B$7=0,MAX(0,Mortgage!$H$5-Mortgage!$H$8*A7),MAX(0,Mortgage!$H$5*(1+(Mortgage!$B$7/12))^A7-Mortgage!$H$8*((1+(Mortgage!$B$7/12))^A7-1)/(Mortgage!$B$7/12))))</f>
        <v/>
      </c>
      <c r="T7" s="149">
        <f>IF(D7&gt;0.005,I7/Mortgage!$B$5,"")</f>
        <v/>
      </c>
      <c r="U7">
        <f>IF(A7&gt;Mortgage!$B$8*12,NA(),B7)</f>
        <v/>
      </c>
      <c r="V7">
        <f>IF(D7&gt;0.005,I7,NA())</f>
        <v/>
      </c>
      <c r="W7">
        <f>IF(A7&gt;Mortgage!$B$8*12,NA(),S7)</f>
        <v/>
      </c>
    </row>
    <row r="8">
      <c r="A8" s="129" t="n">
        <v>3</v>
      </c>
      <c r="B8" s="146">
        <f>EDATE(Mortgage!$B$9,A8-1)</f>
        <v/>
      </c>
      <c r="C8" s="129">
        <f>INT((A8-1)/12)+1</f>
        <v/>
      </c>
      <c r="D8" s="147">
        <f>IF(N(I7)&gt;0.005,I7,0)</f>
        <v/>
      </c>
      <c r="E8" s="147">
        <f>IF(D8&gt;0.005,D8*Mortgage!$B$7/12,0)</f>
        <v/>
      </c>
      <c r="F8" s="147">
        <f>IF(D8&gt;0.005,MIN(Mortgage!$H$8-E8,D8),0)</f>
        <v/>
      </c>
      <c r="G8" s="147">
        <f>IF(D8-F8&gt;0.005,MIN(D8-F8,Mortgage!$B$18+IF(MONTH(B8)=Mortgage!$B$20,Mortgage!$B$19,0)+SUMIFS(Mortgage!$E$6:$E$15,Mortgage!$D$6:$D$15,"&gt;="&amp;B8,Mortgage!$D$6:$D$15,"&lt;"&amp;EDATE(B8,1))+IF(Mortgage!$B$10="Bi-weekly (accelerated)",Mortgage!$H$8/12,0)),0)</f>
        <v/>
      </c>
      <c r="H8" s="147">
        <f>F8+G8</f>
        <v/>
      </c>
      <c r="I8" s="148">
        <f>D8-H8</f>
        <v/>
      </c>
      <c r="J8" s="147">
        <f>E8+F8+G8</f>
        <v/>
      </c>
      <c r="K8" s="147">
        <f>IF(AND(D8&gt;0.005,Mortgage!$H$7&gt;0.8,D8/Mortgage!$B$5&gt;Mortgage!$B$14),Mortgage!$H$5*Mortgage!$B$13/12,0)</f>
        <v/>
      </c>
      <c r="L8" s="147">
        <f>IF(D8&gt;0.005,Mortgage!$B$11/12*(1+Mortgage!$B$16)^(C8-1),0)</f>
        <v/>
      </c>
      <c r="M8" s="147">
        <f>IF(D8&gt;0.005,Mortgage!$B$12/12*(1+Mortgage!$B$16)^(C8-1),0)</f>
        <v/>
      </c>
      <c r="N8" s="147">
        <f>IF(D8&gt;0.005,Mortgage!$B$15,0)</f>
        <v/>
      </c>
      <c r="O8" s="147">
        <f>J8+K8+L8+M8+N8</f>
        <v/>
      </c>
      <c r="P8" s="147">
        <f>P7+E8</f>
        <v/>
      </c>
      <c r="Q8" s="147">
        <f>IF(D8&gt;0.005,Mortgage!$B$5*(1+Mortgage!$B$17)^(A8/12),"")</f>
        <v/>
      </c>
      <c r="R8" s="147">
        <f>IF(D8&gt;0.005,Q8-I8,"")</f>
        <v/>
      </c>
      <c r="S8" s="147">
        <f>IF(A8&gt;Mortgage!$B$8*12,0,IF(Mortgage!$B$7=0,MAX(0,Mortgage!$H$5-Mortgage!$H$8*A8),MAX(0,Mortgage!$H$5*(1+(Mortgage!$B$7/12))^A8-Mortgage!$H$8*((1+(Mortgage!$B$7/12))^A8-1)/(Mortgage!$B$7/12))))</f>
        <v/>
      </c>
      <c r="T8" s="149">
        <f>IF(D8&gt;0.005,I8/Mortgage!$B$5,"")</f>
        <v/>
      </c>
      <c r="U8">
        <f>IF(A8&gt;Mortgage!$B$8*12,NA(),B8)</f>
        <v/>
      </c>
      <c r="V8">
        <f>IF(D8&gt;0.005,I8,NA())</f>
        <v/>
      </c>
      <c r="W8">
        <f>IF(A8&gt;Mortgage!$B$8*12,NA(),S8)</f>
        <v/>
      </c>
    </row>
    <row r="9">
      <c r="A9" s="129" t="n">
        <v>4</v>
      </c>
      <c r="B9" s="146">
        <f>EDATE(Mortgage!$B$9,A9-1)</f>
        <v/>
      </c>
      <c r="C9" s="129">
        <f>INT((A9-1)/12)+1</f>
        <v/>
      </c>
      <c r="D9" s="147">
        <f>IF(N(I8)&gt;0.005,I8,0)</f>
        <v/>
      </c>
      <c r="E9" s="147">
        <f>IF(D9&gt;0.005,D9*Mortgage!$B$7/12,0)</f>
        <v/>
      </c>
      <c r="F9" s="147">
        <f>IF(D9&gt;0.005,MIN(Mortgage!$H$8-E9,D9),0)</f>
        <v/>
      </c>
      <c r="G9" s="147">
        <f>IF(D9-F9&gt;0.005,MIN(D9-F9,Mortgage!$B$18+IF(MONTH(B9)=Mortgage!$B$20,Mortgage!$B$19,0)+SUMIFS(Mortgage!$E$6:$E$15,Mortgage!$D$6:$D$15,"&gt;="&amp;B9,Mortgage!$D$6:$D$15,"&lt;"&amp;EDATE(B9,1))+IF(Mortgage!$B$10="Bi-weekly (accelerated)",Mortgage!$H$8/12,0)),0)</f>
        <v/>
      </c>
      <c r="H9" s="147">
        <f>F9+G9</f>
        <v/>
      </c>
      <c r="I9" s="148">
        <f>D9-H9</f>
        <v/>
      </c>
      <c r="J9" s="147">
        <f>E9+F9+G9</f>
        <v/>
      </c>
      <c r="K9" s="147">
        <f>IF(AND(D9&gt;0.005,Mortgage!$H$7&gt;0.8,D9/Mortgage!$B$5&gt;Mortgage!$B$14),Mortgage!$H$5*Mortgage!$B$13/12,0)</f>
        <v/>
      </c>
      <c r="L9" s="147">
        <f>IF(D9&gt;0.005,Mortgage!$B$11/12*(1+Mortgage!$B$16)^(C9-1),0)</f>
        <v/>
      </c>
      <c r="M9" s="147">
        <f>IF(D9&gt;0.005,Mortgage!$B$12/12*(1+Mortgage!$B$16)^(C9-1),0)</f>
        <v/>
      </c>
      <c r="N9" s="147">
        <f>IF(D9&gt;0.005,Mortgage!$B$15,0)</f>
        <v/>
      </c>
      <c r="O9" s="147">
        <f>J9+K9+L9+M9+N9</f>
        <v/>
      </c>
      <c r="P9" s="147">
        <f>P8+E9</f>
        <v/>
      </c>
      <c r="Q9" s="147">
        <f>IF(D9&gt;0.005,Mortgage!$B$5*(1+Mortgage!$B$17)^(A9/12),"")</f>
        <v/>
      </c>
      <c r="R9" s="147">
        <f>IF(D9&gt;0.005,Q9-I9,"")</f>
        <v/>
      </c>
      <c r="S9" s="147">
        <f>IF(A9&gt;Mortgage!$B$8*12,0,IF(Mortgage!$B$7=0,MAX(0,Mortgage!$H$5-Mortgage!$H$8*A9),MAX(0,Mortgage!$H$5*(1+(Mortgage!$B$7/12))^A9-Mortgage!$H$8*((1+(Mortgage!$B$7/12))^A9-1)/(Mortgage!$B$7/12))))</f>
        <v/>
      </c>
      <c r="T9" s="149">
        <f>IF(D9&gt;0.005,I9/Mortgage!$B$5,"")</f>
        <v/>
      </c>
      <c r="U9">
        <f>IF(A9&gt;Mortgage!$B$8*12,NA(),B9)</f>
        <v/>
      </c>
      <c r="V9">
        <f>IF(D9&gt;0.005,I9,NA())</f>
        <v/>
      </c>
      <c r="W9">
        <f>IF(A9&gt;Mortgage!$B$8*12,NA(),S9)</f>
        <v/>
      </c>
    </row>
    <row r="10">
      <c r="A10" s="129" t="n">
        <v>5</v>
      </c>
      <c r="B10" s="146">
        <f>EDATE(Mortgage!$B$9,A10-1)</f>
        <v/>
      </c>
      <c r="C10" s="129">
        <f>INT((A10-1)/12)+1</f>
        <v/>
      </c>
      <c r="D10" s="147">
        <f>IF(N(I9)&gt;0.005,I9,0)</f>
        <v/>
      </c>
      <c r="E10" s="147">
        <f>IF(D10&gt;0.005,D10*Mortgage!$B$7/12,0)</f>
        <v/>
      </c>
      <c r="F10" s="147">
        <f>IF(D10&gt;0.005,MIN(Mortgage!$H$8-E10,D10),0)</f>
        <v/>
      </c>
      <c r="G10" s="147">
        <f>IF(D10-F10&gt;0.005,MIN(D10-F10,Mortgage!$B$18+IF(MONTH(B10)=Mortgage!$B$20,Mortgage!$B$19,0)+SUMIFS(Mortgage!$E$6:$E$15,Mortgage!$D$6:$D$15,"&gt;="&amp;B10,Mortgage!$D$6:$D$15,"&lt;"&amp;EDATE(B10,1))+IF(Mortgage!$B$10="Bi-weekly (accelerated)",Mortgage!$H$8/12,0)),0)</f>
        <v/>
      </c>
      <c r="H10" s="147">
        <f>F10+G10</f>
        <v/>
      </c>
      <c r="I10" s="148">
        <f>D10-H10</f>
        <v/>
      </c>
      <c r="J10" s="147">
        <f>E10+F10+G10</f>
        <v/>
      </c>
      <c r="K10" s="147">
        <f>IF(AND(D10&gt;0.005,Mortgage!$H$7&gt;0.8,D10/Mortgage!$B$5&gt;Mortgage!$B$14),Mortgage!$H$5*Mortgage!$B$13/12,0)</f>
        <v/>
      </c>
      <c r="L10" s="147">
        <f>IF(D10&gt;0.005,Mortgage!$B$11/12*(1+Mortgage!$B$16)^(C10-1),0)</f>
        <v/>
      </c>
      <c r="M10" s="147">
        <f>IF(D10&gt;0.005,Mortgage!$B$12/12*(1+Mortgage!$B$16)^(C10-1),0)</f>
        <v/>
      </c>
      <c r="N10" s="147">
        <f>IF(D10&gt;0.005,Mortgage!$B$15,0)</f>
        <v/>
      </c>
      <c r="O10" s="147">
        <f>J10+K10+L10+M10+N10</f>
        <v/>
      </c>
      <c r="P10" s="147">
        <f>P9+E10</f>
        <v/>
      </c>
      <c r="Q10" s="147">
        <f>IF(D10&gt;0.005,Mortgage!$B$5*(1+Mortgage!$B$17)^(A10/12),"")</f>
        <v/>
      </c>
      <c r="R10" s="147">
        <f>IF(D10&gt;0.005,Q10-I10,"")</f>
        <v/>
      </c>
      <c r="S10" s="147">
        <f>IF(A10&gt;Mortgage!$B$8*12,0,IF(Mortgage!$B$7=0,MAX(0,Mortgage!$H$5-Mortgage!$H$8*A10),MAX(0,Mortgage!$H$5*(1+(Mortgage!$B$7/12))^A10-Mortgage!$H$8*((1+(Mortgage!$B$7/12))^A10-1)/(Mortgage!$B$7/12))))</f>
        <v/>
      </c>
      <c r="T10" s="149">
        <f>IF(D10&gt;0.005,I10/Mortgage!$B$5,"")</f>
        <v/>
      </c>
      <c r="U10">
        <f>IF(A10&gt;Mortgage!$B$8*12,NA(),B10)</f>
        <v/>
      </c>
      <c r="V10">
        <f>IF(D10&gt;0.005,I10,NA())</f>
        <v/>
      </c>
      <c r="W10">
        <f>IF(A10&gt;Mortgage!$B$8*12,NA(),S10)</f>
        <v/>
      </c>
    </row>
    <row r="11">
      <c r="A11" s="129" t="n">
        <v>6</v>
      </c>
      <c r="B11" s="146">
        <f>EDATE(Mortgage!$B$9,A11-1)</f>
        <v/>
      </c>
      <c r="C11" s="129">
        <f>INT((A11-1)/12)+1</f>
        <v/>
      </c>
      <c r="D11" s="147">
        <f>IF(N(I10)&gt;0.005,I10,0)</f>
        <v/>
      </c>
      <c r="E11" s="147">
        <f>IF(D11&gt;0.005,D11*Mortgage!$B$7/12,0)</f>
        <v/>
      </c>
      <c r="F11" s="147">
        <f>IF(D11&gt;0.005,MIN(Mortgage!$H$8-E11,D11),0)</f>
        <v/>
      </c>
      <c r="G11" s="147">
        <f>IF(D11-F11&gt;0.005,MIN(D11-F11,Mortgage!$B$18+IF(MONTH(B11)=Mortgage!$B$20,Mortgage!$B$19,0)+SUMIFS(Mortgage!$E$6:$E$15,Mortgage!$D$6:$D$15,"&gt;="&amp;B11,Mortgage!$D$6:$D$15,"&lt;"&amp;EDATE(B11,1))+IF(Mortgage!$B$10="Bi-weekly (accelerated)",Mortgage!$H$8/12,0)),0)</f>
        <v/>
      </c>
      <c r="H11" s="147">
        <f>F11+G11</f>
        <v/>
      </c>
      <c r="I11" s="148">
        <f>D11-H11</f>
        <v/>
      </c>
      <c r="J11" s="147">
        <f>E11+F11+G11</f>
        <v/>
      </c>
      <c r="K11" s="147">
        <f>IF(AND(D11&gt;0.005,Mortgage!$H$7&gt;0.8,D11/Mortgage!$B$5&gt;Mortgage!$B$14),Mortgage!$H$5*Mortgage!$B$13/12,0)</f>
        <v/>
      </c>
      <c r="L11" s="147">
        <f>IF(D11&gt;0.005,Mortgage!$B$11/12*(1+Mortgage!$B$16)^(C11-1),0)</f>
        <v/>
      </c>
      <c r="M11" s="147">
        <f>IF(D11&gt;0.005,Mortgage!$B$12/12*(1+Mortgage!$B$16)^(C11-1),0)</f>
        <v/>
      </c>
      <c r="N11" s="147">
        <f>IF(D11&gt;0.005,Mortgage!$B$15,0)</f>
        <v/>
      </c>
      <c r="O11" s="147">
        <f>J11+K11+L11+M11+N11</f>
        <v/>
      </c>
      <c r="P11" s="147">
        <f>P10+E11</f>
        <v/>
      </c>
      <c r="Q11" s="147">
        <f>IF(D11&gt;0.005,Mortgage!$B$5*(1+Mortgage!$B$17)^(A11/12),"")</f>
        <v/>
      </c>
      <c r="R11" s="147">
        <f>IF(D11&gt;0.005,Q11-I11,"")</f>
        <v/>
      </c>
      <c r="S11" s="147">
        <f>IF(A11&gt;Mortgage!$B$8*12,0,IF(Mortgage!$B$7=0,MAX(0,Mortgage!$H$5-Mortgage!$H$8*A11),MAX(0,Mortgage!$H$5*(1+(Mortgage!$B$7/12))^A11-Mortgage!$H$8*((1+(Mortgage!$B$7/12))^A11-1)/(Mortgage!$B$7/12))))</f>
        <v/>
      </c>
      <c r="T11" s="149">
        <f>IF(D11&gt;0.005,I11/Mortgage!$B$5,"")</f>
        <v/>
      </c>
      <c r="U11">
        <f>IF(A11&gt;Mortgage!$B$8*12,NA(),B11)</f>
        <v/>
      </c>
      <c r="V11">
        <f>IF(D11&gt;0.005,I11,NA())</f>
        <v/>
      </c>
      <c r="W11">
        <f>IF(A11&gt;Mortgage!$B$8*12,NA(),S11)</f>
        <v/>
      </c>
    </row>
    <row r="12">
      <c r="A12" s="129" t="n">
        <v>7</v>
      </c>
      <c r="B12" s="146">
        <f>EDATE(Mortgage!$B$9,A12-1)</f>
        <v/>
      </c>
      <c r="C12" s="129">
        <f>INT((A12-1)/12)+1</f>
        <v/>
      </c>
      <c r="D12" s="147">
        <f>IF(N(I11)&gt;0.005,I11,0)</f>
        <v/>
      </c>
      <c r="E12" s="147">
        <f>IF(D12&gt;0.005,D12*Mortgage!$B$7/12,0)</f>
        <v/>
      </c>
      <c r="F12" s="147">
        <f>IF(D12&gt;0.005,MIN(Mortgage!$H$8-E12,D12),0)</f>
        <v/>
      </c>
      <c r="G12" s="147">
        <f>IF(D12-F12&gt;0.005,MIN(D12-F12,Mortgage!$B$18+IF(MONTH(B12)=Mortgage!$B$20,Mortgage!$B$19,0)+SUMIFS(Mortgage!$E$6:$E$15,Mortgage!$D$6:$D$15,"&gt;="&amp;B12,Mortgage!$D$6:$D$15,"&lt;"&amp;EDATE(B12,1))+IF(Mortgage!$B$10="Bi-weekly (accelerated)",Mortgage!$H$8/12,0)),0)</f>
        <v/>
      </c>
      <c r="H12" s="147">
        <f>F12+G12</f>
        <v/>
      </c>
      <c r="I12" s="148">
        <f>D12-H12</f>
        <v/>
      </c>
      <c r="J12" s="147">
        <f>E12+F12+G12</f>
        <v/>
      </c>
      <c r="K12" s="147">
        <f>IF(AND(D12&gt;0.005,Mortgage!$H$7&gt;0.8,D12/Mortgage!$B$5&gt;Mortgage!$B$14),Mortgage!$H$5*Mortgage!$B$13/12,0)</f>
        <v/>
      </c>
      <c r="L12" s="147">
        <f>IF(D12&gt;0.005,Mortgage!$B$11/12*(1+Mortgage!$B$16)^(C12-1),0)</f>
        <v/>
      </c>
      <c r="M12" s="147">
        <f>IF(D12&gt;0.005,Mortgage!$B$12/12*(1+Mortgage!$B$16)^(C12-1),0)</f>
        <v/>
      </c>
      <c r="N12" s="147">
        <f>IF(D12&gt;0.005,Mortgage!$B$15,0)</f>
        <v/>
      </c>
      <c r="O12" s="147">
        <f>J12+K12+L12+M12+N12</f>
        <v/>
      </c>
      <c r="P12" s="147">
        <f>P11+E12</f>
        <v/>
      </c>
      <c r="Q12" s="147">
        <f>IF(D12&gt;0.005,Mortgage!$B$5*(1+Mortgage!$B$17)^(A12/12),"")</f>
        <v/>
      </c>
      <c r="R12" s="147">
        <f>IF(D12&gt;0.005,Q12-I12,"")</f>
        <v/>
      </c>
      <c r="S12" s="147">
        <f>IF(A12&gt;Mortgage!$B$8*12,0,IF(Mortgage!$B$7=0,MAX(0,Mortgage!$H$5-Mortgage!$H$8*A12),MAX(0,Mortgage!$H$5*(1+(Mortgage!$B$7/12))^A12-Mortgage!$H$8*((1+(Mortgage!$B$7/12))^A12-1)/(Mortgage!$B$7/12))))</f>
        <v/>
      </c>
      <c r="T12" s="149">
        <f>IF(D12&gt;0.005,I12/Mortgage!$B$5,"")</f>
        <v/>
      </c>
      <c r="U12">
        <f>IF(A12&gt;Mortgage!$B$8*12,NA(),B12)</f>
        <v/>
      </c>
      <c r="V12">
        <f>IF(D12&gt;0.005,I12,NA())</f>
        <v/>
      </c>
      <c r="W12">
        <f>IF(A12&gt;Mortgage!$B$8*12,NA(),S12)</f>
        <v/>
      </c>
    </row>
    <row r="13">
      <c r="A13" s="129" t="n">
        <v>8</v>
      </c>
      <c r="B13" s="146">
        <f>EDATE(Mortgage!$B$9,A13-1)</f>
        <v/>
      </c>
      <c r="C13" s="129">
        <f>INT((A13-1)/12)+1</f>
        <v/>
      </c>
      <c r="D13" s="147">
        <f>IF(N(I12)&gt;0.005,I12,0)</f>
        <v/>
      </c>
      <c r="E13" s="147">
        <f>IF(D13&gt;0.005,D13*Mortgage!$B$7/12,0)</f>
        <v/>
      </c>
      <c r="F13" s="147">
        <f>IF(D13&gt;0.005,MIN(Mortgage!$H$8-E13,D13),0)</f>
        <v/>
      </c>
      <c r="G13" s="147">
        <f>IF(D13-F13&gt;0.005,MIN(D13-F13,Mortgage!$B$18+IF(MONTH(B13)=Mortgage!$B$20,Mortgage!$B$19,0)+SUMIFS(Mortgage!$E$6:$E$15,Mortgage!$D$6:$D$15,"&gt;="&amp;B13,Mortgage!$D$6:$D$15,"&lt;"&amp;EDATE(B13,1))+IF(Mortgage!$B$10="Bi-weekly (accelerated)",Mortgage!$H$8/12,0)),0)</f>
        <v/>
      </c>
      <c r="H13" s="147">
        <f>F13+G13</f>
        <v/>
      </c>
      <c r="I13" s="148">
        <f>D13-H13</f>
        <v/>
      </c>
      <c r="J13" s="147">
        <f>E13+F13+G13</f>
        <v/>
      </c>
      <c r="K13" s="147">
        <f>IF(AND(D13&gt;0.005,Mortgage!$H$7&gt;0.8,D13/Mortgage!$B$5&gt;Mortgage!$B$14),Mortgage!$H$5*Mortgage!$B$13/12,0)</f>
        <v/>
      </c>
      <c r="L13" s="147">
        <f>IF(D13&gt;0.005,Mortgage!$B$11/12*(1+Mortgage!$B$16)^(C13-1),0)</f>
        <v/>
      </c>
      <c r="M13" s="147">
        <f>IF(D13&gt;0.005,Mortgage!$B$12/12*(1+Mortgage!$B$16)^(C13-1),0)</f>
        <v/>
      </c>
      <c r="N13" s="147">
        <f>IF(D13&gt;0.005,Mortgage!$B$15,0)</f>
        <v/>
      </c>
      <c r="O13" s="147">
        <f>J13+K13+L13+M13+N13</f>
        <v/>
      </c>
      <c r="P13" s="147">
        <f>P12+E13</f>
        <v/>
      </c>
      <c r="Q13" s="147">
        <f>IF(D13&gt;0.005,Mortgage!$B$5*(1+Mortgage!$B$17)^(A13/12),"")</f>
        <v/>
      </c>
      <c r="R13" s="147">
        <f>IF(D13&gt;0.005,Q13-I13,"")</f>
        <v/>
      </c>
      <c r="S13" s="147">
        <f>IF(A13&gt;Mortgage!$B$8*12,0,IF(Mortgage!$B$7=0,MAX(0,Mortgage!$H$5-Mortgage!$H$8*A13),MAX(0,Mortgage!$H$5*(1+(Mortgage!$B$7/12))^A13-Mortgage!$H$8*((1+(Mortgage!$B$7/12))^A13-1)/(Mortgage!$B$7/12))))</f>
        <v/>
      </c>
      <c r="T13" s="149">
        <f>IF(D13&gt;0.005,I13/Mortgage!$B$5,"")</f>
        <v/>
      </c>
      <c r="U13">
        <f>IF(A13&gt;Mortgage!$B$8*12,NA(),B13)</f>
        <v/>
      </c>
      <c r="V13">
        <f>IF(D13&gt;0.005,I13,NA())</f>
        <v/>
      </c>
      <c r="W13">
        <f>IF(A13&gt;Mortgage!$B$8*12,NA(),S13)</f>
        <v/>
      </c>
    </row>
    <row r="14">
      <c r="A14" s="129" t="n">
        <v>9</v>
      </c>
      <c r="B14" s="146">
        <f>EDATE(Mortgage!$B$9,A14-1)</f>
        <v/>
      </c>
      <c r="C14" s="129">
        <f>INT((A14-1)/12)+1</f>
        <v/>
      </c>
      <c r="D14" s="147">
        <f>IF(N(I13)&gt;0.005,I13,0)</f>
        <v/>
      </c>
      <c r="E14" s="147">
        <f>IF(D14&gt;0.005,D14*Mortgage!$B$7/12,0)</f>
        <v/>
      </c>
      <c r="F14" s="147">
        <f>IF(D14&gt;0.005,MIN(Mortgage!$H$8-E14,D14),0)</f>
        <v/>
      </c>
      <c r="G14" s="147">
        <f>IF(D14-F14&gt;0.005,MIN(D14-F14,Mortgage!$B$18+IF(MONTH(B14)=Mortgage!$B$20,Mortgage!$B$19,0)+SUMIFS(Mortgage!$E$6:$E$15,Mortgage!$D$6:$D$15,"&gt;="&amp;B14,Mortgage!$D$6:$D$15,"&lt;"&amp;EDATE(B14,1))+IF(Mortgage!$B$10="Bi-weekly (accelerated)",Mortgage!$H$8/12,0)),0)</f>
        <v/>
      </c>
      <c r="H14" s="147">
        <f>F14+G14</f>
        <v/>
      </c>
      <c r="I14" s="148">
        <f>D14-H14</f>
        <v/>
      </c>
      <c r="J14" s="147">
        <f>E14+F14+G14</f>
        <v/>
      </c>
      <c r="K14" s="147">
        <f>IF(AND(D14&gt;0.005,Mortgage!$H$7&gt;0.8,D14/Mortgage!$B$5&gt;Mortgage!$B$14),Mortgage!$H$5*Mortgage!$B$13/12,0)</f>
        <v/>
      </c>
      <c r="L14" s="147">
        <f>IF(D14&gt;0.005,Mortgage!$B$11/12*(1+Mortgage!$B$16)^(C14-1),0)</f>
        <v/>
      </c>
      <c r="M14" s="147">
        <f>IF(D14&gt;0.005,Mortgage!$B$12/12*(1+Mortgage!$B$16)^(C14-1),0)</f>
        <v/>
      </c>
      <c r="N14" s="147">
        <f>IF(D14&gt;0.005,Mortgage!$B$15,0)</f>
        <v/>
      </c>
      <c r="O14" s="147">
        <f>J14+K14+L14+M14+N14</f>
        <v/>
      </c>
      <c r="P14" s="147">
        <f>P13+E14</f>
        <v/>
      </c>
      <c r="Q14" s="147">
        <f>IF(D14&gt;0.005,Mortgage!$B$5*(1+Mortgage!$B$17)^(A14/12),"")</f>
        <v/>
      </c>
      <c r="R14" s="147">
        <f>IF(D14&gt;0.005,Q14-I14,"")</f>
        <v/>
      </c>
      <c r="S14" s="147">
        <f>IF(A14&gt;Mortgage!$B$8*12,0,IF(Mortgage!$B$7=0,MAX(0,Mortgage!$H$5-Mortgage!$H$8*A14),MAX(0,Mortgage!$H$5*(1+(Mortgage!$B$7/12))^A14-Mortgage!$H$8*((1+(Mortgage!$B$7/12))^A14-1)/(Mortgage!$B$7/12))))</f>
        <v/>
      </c>
      <c r="T14" s="149">
        <f>IF(D14&gt;0.005,I14/Mortgage!$B$5,"")</f>
        <v/>
      </c>
      <c r="U14">
        <f>IF(A14&gt;Mortgage!$B$8*12,NA(),B14)</f>
        <v/>
      </c>
      <c r="V14">
        <f>IF(D14&gt;0.005,I14,NA())</f>
        <v/>
      </c>
      <c r="W14">
        <f>IF(A14&gt;Mortgage!$B$8*12,NA(),S14)</f>
        <v/>
      </c>
    </row>
    <row r="15">
      <c r="A15" s="129" t="n">
        <v>10</v>
      </c>
      <c r="B15" s="146">
        <f>EDATE(Mortgage!$B$9,A15-1)</f>
        <v/>
      </c>
      <c r="C15" s="129">
        <f>INT((A15-1)/12)+1</f>
        <v/>
      </c>
      <c r="D15" s="147">
        <f>IF(N(I14)&gt;0.005,I14,0)</f>
        <v/>
      </c>
      <c r="E15" s="147">
        <f>IF(D15&gt;0.005,D15*Mortgage!$B$7/12,0)</f>
        <v/>
      </c>
      <c r="F15" s="147">
        <f>IF(D15&gt;0.005,MIN(Mortgage!$H$8-E15,D15),0)</f>
        <v/>
      </c>
      <c r="G15" s="147">
        <f>IF(D15-F15&gt;0.005,MIN(D15-F15,Mortgage!$B$18+IF(MONTH(B15)=Mortgage!$B$20,Mortgage!$B$19,0)+SUMIFS(Mortgage!$E$6:$E$15,Mortgage!$D$6:$D$15,"&gt;="&amp;B15,Mortgage!$D$6:$D$15,"&lt;"&amp;EDATE(B15,1))+IF(Mortgage!$B$10="Bi-weekly (accelerated)",Mortgage!$H$8/12,0)),0)</f>
        <v/>
      </c>
      <c r="H15" s="147">
        <f>F15+G15</f>
        <v/>
      </c>
      <c r="I15" s="148">
        <f>D15-H15</f>
        <v/>
      </c>
      <c r="J15" s="147">
        <f>E15+F15+G15</f>
        <v/>
      </c>
      <c r="K15" s="147">
        <f>IF(AND(D15&gt;0.005,Mortgage!$H$7&gt;0.8,D15/Mortgage!$B$5&gt;Mortgage!$B$14),Mortgage!$H$5*Mortgage!$B$13/12,0)</f>
        <v/>
      </c>
      <c r="L15" s="147">
        <f>IF(D15&gt;0.005,Mortgage!$B$11/12*(1+Mortgage!$B$16)^(C15-1),0)</f>
        <v/>
      </c>
      <c r="M15" s="147">
        <f>IF(D15&gt;0.005,Mortgage!$B$12/12*(1+Mortgage!$B$16)^(C15-1),0)</f>
        <v/>
      </c>
      <c r="N15" s="147">
        <f>IF(D15&gt;0.005,Mortgage!$B$15,0)</f>
        <v/>
      </c>
      <c r="O15" s="147">
        <f>J15+K15+L15+M15+N15</f>
        <v/>
      </c>
      <c r="P15" s="147">
        <f>P14+E15</f>
        <v/>
      </c>
      <c r="Q15" s="147">
        <f>IF(D15&gt;0.005,Mortgage!$B$5*(1+Mortgage!$B$17)^(A15/12),"")</f>
        <v/>
      </c>
      <c r="R15" s="147">
        <f>IF(D15&gt;0.005,Q15-I15,"")</f>
        <v/>
      </c>
      <c r="S15" s="147">
        <f>IF(A15&gt;Mortgage!$B$8*12,0,IF(Mortgage!$B$7=0,MAX(0,Mortgage!$H$5-Mortgage!$H$8*A15),MAX(0,Mortgage!$H$5*(1+(Mortgage!$B$7/12))^A15-Mortgage!$H$8*((1+(Mortgage!$B$7/12))^A15-1)/(Mortgage!$B$7/12))))</f>
        <v/>
      </c>
      <c r="T15" s="149">
        <f>IF(D15&gt;0.005,I15/Mortgage!$B$5,"")</f>
        <v/>
      </c>
      <c r="U15">
        <f>IF(A15&gt;Mortgage!$B$8*12,NA(),B15)</f>
        <v/>
      </c>
      <c r="V15">
        <f>IF(D15&gt;0.005,I15,NA())</f>
        <v/>
      </c>
      <c r="W15">
        <f>IF(A15&gt;Mortgage!$B$8*12,NA(),S15)</f>
        <v/>
      </c>
    </row>
    <row r="16">
      <c r="A16" s="129" t="n">
        <v>11</v>
      </c>
      <c r="B16" s="146">
        <f>EDATE(Mortgage!$B$9,A16-1)</f>
        <v/>
      </c>
      <c r="C16" s="129">
        <f>INT((A16-1)/12)+1</f>
        <v/>
      </c>
      <c r="D16" s="147">
        <f>IF(N(I15)&gt;0.005,I15,0)</f>
        <v/>
      </c>
      <c r="E16" s="147">
        <f>IF(D16&gt;0.005,D16*Mortgage!$B$7/12,0)</f>
        <v/>
      </c>
      <c r="F16" s="147">
        <f>IF(D16&gt;0.005,MIN(Mortgage!$H$8-E16,D16),0)</f>
        <v/>
      </c>
      <c r="G16" s="147">
        <f>IF(D16-F16&gt;0.005,MIN(D16-F16,Mortgage!$B$18+IF(MONTH(B16)=Mortgage!$B$20,Mortgage!$B$19,0)+SUMIFS(Mortgage!$E$6:$E$15,Mortgage!$D$6:$D$15,"&gt;="&amp;B16,Mortgage!$D$6:$D$15,"&lt;"&amp;EDATE(B16,1))+IF(Mortgage!$B$10="Bi-weekly (accelerated)",Mortgage!$H$8/12,0)),0)</f>
        <v/>
      </c>
      <c r="H16" s="147">
        <f>F16+G16</f>
        <v/>
      </c>
      <c r="I16" s="148">
        <f>D16-H16</f>
        <v/>
      </c>
      <c r="J16" s="147">
        <f>E16+F16+G16</f>
        <v/>
      </c>
      <c r="K16" s="147">
        <f>IF(AND(D16&gt;0.005,Mortgage!$H$7&gt;0.8,D16/Mortgage!$B$5&gt;Mortgage!$B$14),Mortgage!$H$5*Mortgage!$B$13/12,0)</f>
        <v/>
      </c>
      <c r="L16" s="147">
        <f>IF(D16&gt;0.005,Mortgage!$B$11/12*(1+Mortgage!$B$16)^(C16-1),0)</f>
        <v/>
      </c>
      <c r="M16" s="147">
        <f>IF(D16&gt;0.005,Mortgage!$B$12/12*(1+Mortgage!$B$16)^(C16-1),0)</f>
        <v/>
      </c>
      <c r="N16" s="147">
        <f>IF(D16&gt;0.005,Mortgage!$B$15,0)</f>
        <v/>
      </c>
      <c r="O16" s="147">
        <f>J16+K16+L16+M16+N16</f>
        <v/>
      </c>
      <c r="P16" s="147">
        <f>P15+E16</f>
        <v/>
      </c>
      <c r="Q16" s="147">
        <f>IF(D16&gt;0.005,Mortgage!$B$5*(1+Mortgage!$B$17)^(A16/12),"")</f>
        <v/>
      </c>
      <c r="R16" s="147">
        <f>IF(D16&gt;0.005,Q16-I16,"")</f>
        <v/>
      </c>
      <c r="S16" s="147">
        <f>IF(A16&gt;Mortgage!$B$8*12,0,IF(Mortgage!$B$7=0,MAX(0,Mortgage!$H$5-Mortgage!$H$8*A16),MAX(0,Mortgage!$H$5*(1+(Mortgage!$B$7/12))^A16-Mortgage!$H$8*((1+(Mortgage!$B$7/12))^A16-1)/(Mortgage!$B$7/12))))</f>
        <v/>
      </c>
      <c r="T16" s="149">
        <f>IF(D16&gt;0.005,I16/Mortgage!$B$5,"")</f>
        <v/>
      </c>
      <c r="U16">
        <f>IF(A16&gt;Mortgage!$B$8*12,NA(),B16)</f>
        <v/>
      </c>
      <c r="V16">
        <f>IF(D16&gt;0.005,I16,NA())</f>
        <v/>
      </c>
      <c r="W16">
        <f>IF(A16&gt;Mortgage!$B$8*12,NA(),S16)</f>
        <v/>
      </c>
    </row>
    <row r="17">
      <c r="A17" s="129" t="n">
        <v>12</v>
      </c>
      <c r="B17" s="146">
        <f>EDATE(Mortgage!$B$9,A17-1)</f>
        <v/>
      </c>
      <c r="C17" s="129">
        <f>INT((A17-1)/12)+1</f>
        <v/>
      </c>
      <c r="D17" s="147">
        <f>IF(N(I16)&gt;0.005,I16,0)</f>
        <v/>
      </c>
      <c r="E17" s="147">
        <f>IF(D17&gt;0.005,D17*Mortgage!$B$7/12,0)</f>
        <v/>
      </c>
      <c r="F17" s="147">
        <f>IF(D17&gt;0.005,MIN(Mortgage!$H$8-E17,D17),0)</f>
        <v/>
      </c>
      <c r="G17" s="147">
        <f>IF(D17-F17&gt;0.005,MIN(D17-F17,Mortgage!$B$18+IF(MONTH(B17)=Mortgage!$B$20,Mortgage!$B$19,0)+SUMIFS(Mortgage!$E$6:$E$15,Mortgage!$D$6:$D$15,"&gt;="&amp;B17,Mortgage!$D$6:$D$15,"&lt;"&amp;EDATE(B17,1))+IF(Mortgage!$B$10="Bi-weekly (accelerated)",Mortgage!$H$8/12,0)),0)</f>
        <v/>
      </c>
      <c r="H17" s="147">
        <f>F17+G17</f>
        <v/>
      </c>
      <c r="I17" s="148">
        <f>D17-H17</f>
        <v/>
      </c>
      <c r="J17" s="147">
        <f>E17+F17+G17</f>
        <v/>
      </c>
      <c r="K17" s="147">
        <f>IF(AND(D17&gt;0.005,Mortgage!$H$7&gt;0.8,D17/Mortgage!$B$5&gt;Mortgage!$B$14),Mortgage!$H$5*Mortgage!$B$13/12,0)</f>
        <v/>
      </c>
      <c r="L17" s="147">
        <f>IF(D17&gt;0.005,Mortgage!$B$11/12*(1+Mortgage!$B$16)^(C17-1),0)</f>
        <v/>
      </c>
      <c r="M17" s="147">
        <f>IF(D17&gt;0.005,Mortgage!$B$12/12*(1+Mortgage!$B$16)^(C17-1),0)</f>
        <v/>
      </c>
      <c r="N17" s="147">
        <f>IF(D17&gt;0.005,Mortgage!$B$15,0)</f>
        <v/>
      </c>
      <c r="O17" s="147">
        <f>J17+K17+L17+M17+N17</f>
        <v/>
      </c>
      <c r="P17" s="147">
        <f>P16+E17</f>
        <v/>
      </c>
      <c r="Q17" s="147">
        <f>IF(D17&gt;0.005,Mortgage!$B$5*(1+Mortgage!$B$17)^(A17/12),"")</f>
        <v/>
      </c>
      <c r="R17" s="147">
        <f>IF(D17&gt;0.005,Q17-I17,"")</f>
        <v/>
      </c>
      <c r="S17" s="147">
        <f>IF(A17&gt;Mortgage!$B$8*12,0,IF(Mortgage!$B$7=0,MAX(0,Mortgage!$H$5-Mortgage!$H$8*A17),MAX(0,Mortgage!$H$5*(1+(Mortgage!$B$7/12))^A17-Mortgage!$H$8*((1+(Mortgage!$B$7/12))^A17-1)/(Mortgage!$B$7/12))))</f>
        <v/>
      </c>
      <c r="T17" s="149">
        <f>IF(D17&gt;0.005,I17/Mortgage!$B$5,"")</f>
        <v/>
      </c>
      <c r="U17">
        <f>IF(A17&gt;Mortgage!$B$8*12,NA(),B17)</f>
        <v/>
      </c>
      <c r="V17">
        <f>IF(D17&gt;0.005,I17,NA())</f>
        <v/>
      </c>
      <c r="W17">
        <f>IF(A17&gt;Mortgage!$B$8*12,NA(),S17)</f>
        <v/>
      </c>
    </row>
    <row r="18">
      <c r="A18" s="129" t="n">
        <v>13</v>
      </c>
      <c r="B18" s="146">
        <f>EDATE(Mortgage!$B$9,A18-1)</f>
        <v/>
      </c>
      <c r="C18" s="129">
        <f>INT((A18-1)/12)+1</f>
        <v/>
      </c>
      <c r="D18" s="147">
        <f>IF(N(I17)&gt;0.005,I17,0)</f>
        <v/>
      </c>
      <c r="E18" s="147">
        <f>IF(D18&gt;0.005,D18*Mortgage!$B$7/12,0)</f>
        <v/>
      </c>
      <c r="F18" s="147">
        <f>IF(D18&gt;0.005,MIN(Mortgage!$H$8-E18,D18),0)</f>
        <v/>
      </c>
      <c r="G18" s="147">
        <f>IF(D18-F18&gt;0.005,MIN(D18-F18,Mortgage!$B$18+IF(MONTH(B18)=Mortgage!$B$20,Mortgage!$B$19,0)+SUMIFS(Mortgage!$E$6:$E$15,Mortgage!$D$6:$D$15,"&gt;="&amp;B18,Mortgage!$D$6:$D$15,"&lt;"&amp;EDATE(B18,1))+IF(Mortgage!$B$10="Bi-weekly (accelerated)",Mortgage!$H$8/12,0)),0)</f>
        <v/>
      </c>
      <c r="H18" s="147">
        <f>F18+G18</f>
        <v/>
      </c>
      <c r="I18" s="148">
        <f>D18-H18</f>
        <v/>
      </c>
      <c r="J18" s="147">
        <f>E18+F18+G18</f>
        <v/>
      </c>
      <c r="K18" s="147">
        <f>IF(AND(D18&gt;0.005,Mortgage!$H$7&gt;0.8,D18/Mortgage!$B$5&gt;Mortgage!$B$14),Mortgage!$H$5*Mortgage!$B$13/12,0)</f>
        <v/>
      </c>
      <c r="L18" s="147">
        <f>IF(D18&gt;0.005,Mortgage!$B$11/12*(1+Mortgage!$B$16)^(C18-1),0)</f>
        <v/>
      </c>
      <c r="M18" s="147">
        <f>IF(D18&gt;0.005,Mortgage!$B$12/12*(1+Mortgage!$B$16)^(C18-1),0)</f>
        <v/>
      </c>
      <c r="N18" s="147">
        <f>IF(D18&gt;0.005,Mortgage!$B$15,0)</f>
        <v/>
      </c>
      <c r="O18" s="147">
        <f>J18+K18+L18+M18+N18</f>
        <v/>
      </c>
      <c r="P18" s="147">
        <f>P17+E18</f>
        <v/>
      </c>
      <c r="Q18" s="147">
        <f>IF(D18&gt;0.005,Mortgage!$B$5*(1+Mortgage!$B$17)^(A18/12),"")</f>
        <v/>
      </c>
      <c r="R18" s="147">
        <f>IF(D18&gt;0.005,Q18-I18,"")</f>
        <v/>
      </c>
      <c r="S18" s="147">
        <f>IF(A18&gt;Mortgage!$B$8*12,0,IF(Mortgage!$B$7=0,MAX(0,Mortgage!$H$5-Mortgage!$H$8*A18),MAX(0,Mortgage!$H$5*(1+(Mortgage!$B$7/12))^A18-Mortgage!$H$8*((1+(Mortgage!$B$7/12))^A18-1)/(Mortgage!$B$7/12))))</f>
        <v/>
      </c>
      <c r="T18" s="149">
        <f>IF(D18&gt;0.005,I18/Mortgage!$B$5,"")</f>
        <v/>
      </c>
      <c r="U18">
        <f>IF(A18&gt;Mortgage!$B$8*12,NA(),B18)</f>
        <v/>
      </c>
      <c r="V18">
        <f>IF(D18&gt;0.005,I18,NA())</f>
        <v/>
      </c>
      <c r="W18">
        <f>IF(A18&gt;Mortgage!$B$8*12,NA(),S18)</f>
        <v/>
      </c>
    </row>
    <row r="19">
      <c r="A19" s="129" t="n">
        <v>14</v>
      </c>
      <c r="B19" s="146">
        <f>EDATE(Mortgage!$B$9,A19-1)</f>
        <v/>
      </c>
      <c r="C19" s="129">
        <f>INT((A19-1)/12)+1</f>
        <v/>
      </c>
      <c r="D19" s="147">
        <f>IF(N(I18)&gt;0.005,I18,0)</f>
        <v/>
      </c>
      <c r="E19" s="147">
        <f>IF(D19&gt;0.005,D19*Mortgage!$B$7/12,0)</f>
        <v/>
      </c>
      <c r="F19" s="147">
        <f>IF(D19&gt;0.005,MIN(Mortgage!$H$8-E19,D19),0)</f>
        <v/>
      </c>
      <c r="G19" s="147">
        <f>IF(D19-F19&gt;0.005,MIN(D19-F19,Mortgage!$B$18+IF(MONTH(B19)=Mortgage!$B$20,Mortgage!$B$19,0)+SUMIFS(Mortgage!$E$6:$E$15,Mortgage!$D$6:$D$15,"&gt;="&amp;B19,Mortgage!$D$6:$D$15,"&lt;"&amp;EDATE(B19,1))+IF(Mortgage!$B$10="Bi-weekly (accelerated)",Mortgage!$H$8/12,0)),0)</f>
        <v/>
      </c>
      <c r="H19" s="147">
        <f>F19+G19</f>
        <v/>
      </c>
      <c r="I19" s="148">
        <f>D19-H19</f>
        <v/>
      </c>
      <c r="J19" s="147">
        <f>E19+F19+G19</f>
        <v/>
      </c>
      <c r="K19" s="147">
        <f>IF(AND(D19&gt;0.005,Mortgage!$H$7&gt;0.8,D19/Mortgage!$B$5&gt;Mortgage!$B$14),Mortgage!$H$5*Mortgage!$B$13/12,0)</f>
        <v/>
      </c>
      <c r="L19" s="147">
        <f>IF(D19&gt;0.005,Mortgage!$B$11/12*(1+Mortgage!$B$16)^(C19-1),0)</f>
        <v/>
      </c>
      <c r="M19" s="147">
        <f>IF(D19&gt;0.005,Mortgage!$B$12/12*(1+Mortgage!$B$16)^(C19-1),0)</f>
        <v/>
      </c>
      <c r="N19" s="147">
        <f>IF(D19&gt;0.005,Mortgage!$B$15,0)</f>
        <v/>
      </c>
      <c r="O19" s="147">
        <f>J19+K19+L19+M19+N19</f>
        <v/>
      </c>
      <c r="P19" s="147">
        <f>P18+E19</f>
        <v/>
      </c>
      <c r="Q19" s="147">
        <f>IF(D19&gt;0.005,Mortgage!$B$5*(1+Mortgage!$B$17)^(A19/12),"")</f>
        <v/>
      </c>
      <c r="R19" s="147">
        <f>IF(D19&gt;0.005,Q19-I19,"")</f>
        <v/>
      </c>
      <c r="S19" s="147">
        <f>IF(A19&gt;Mortgage!$B$8*12,0,IF(Mortgage!$B$7=0,MAX(0,Mortgage!$H$5-Mortgage!$H$8*A19),MAX(0,Mortgage!$H$5*(1+(Mortgage!$B$7/12))^A19-Mortgage!$H$8*((1+(Mortgage!$B$7/12))^A19-1)/(Mortgage!$B$7/12))))</f>
        <v/>
      </c>
      <c r="T19" s="149">
        <f>IF(D19&gt;0.005,I19/Mortgage!$B$5,"")</f>
        <v/>
      </c>
      <c r="U19">
        <f>IF(A19&gt;Mortgage!$B$8*12,NA(),B19)</f>
        <v/>
      </c>
      <c r="V19">
        <f>IF(D19&gt;0.005,I19,NA())</f>
        <v/>
      </c>
      <c r="W19">
        <f>IF(A19&gt;Mortgage!$B$8*12,NA(),S19)</f>
        <v/>
      </c>
    </row>
    <row r="20">
      <c r="A20" s="129" t="n">
        <v>15</v>
      </c>
      <c r="B20" s="146">
        <f>EDATE(Mortgage!$B$9,A20-1)</f>
        <v/>
      </c>
      <c r="C20" s="129">
        <f>INT((A20-1)/12)+1</f>
        <v/>
      </c>
      <c r="D20" s="147">
        <f>IF(N(I19)&gt;0.005,I19,0)</f>
        <v/>
      </c>
      <c r="E20" s="147">
        <f>IF(D20&gt;0.005,D20*Mortgage!$B$7/12,0)</f>
        <v/>
      </c>
      <c r="F20" s="147">
        <f>IF(D20&gt;0.005,MIN(Mortgage!$H$8-E20,D20),0)</f>
        <v/>
      </c>
      <c r="G20" s="147">
        <f>IF(D20-F20&gt;0.005,MIN(D20-F20,Mortgage!$B$18+IF(MONTH(B20)=Mortgage!$B$20,Mortgage!$B$19,0)+SUMIFS(Mortgage!$E$6:$E$15,Mortgage!$D$6:$D$15,"&gt;="&amp;B20,Mortgage!$D$6:$D$15,"&lt;"&amp;EDATE(B20,1))+IF(Mortgage!$B$10="Bi-weekly (accelerated)",Mortgage!$H$8/12,0)),0)</f>
        <v/>
      </c>
      <c r="H20" s="147">
        <f>F20+G20</f>
        <v/>
      </c>
      <c r="I20" s="148">
        <f>D20-H20</f>
        <v/>
      </c>
      <c r="J20" s="147">
        <f>E20+F20+G20</f>
        <v/>
      </c>
      <c r="K20" s="147">
        <f>IF(AND(D20&gt;0.005,Mortgage!$H$7&gt;0.8,D20/Mortgage!$B$5&gt;Mortgage!$B$14),Mortgage!$H$5*Mortgage!$B$13/12,0)</f>
        <v/>
      </c>
      <c r="L20" s="147">
        <f>IF(D20&gt;0.005,Mortgage!$B$11/12*(1+Mortgage!$B$16)^(C20-1),0)</f>
        <v/>
      </c>
      <c r="M20" s="147">
        <f>IF(D20&gt;0.005,Mortgage!$B$12/12*(1+Mortgage!$B$16)^(C20-1),0)</f>
        <v/>
      </c>
      <c r="N20" s="147">
        <f>IF(D20&gt;0.005,Mortgage!$B$15,0)</f>
        <v/>
      </c>
      <c r="O20" s="147">
        <f>J20+K20+L20+M20+N20</f>
        <v/>
      </c>
      <c r="P20" s="147">
        <f>P19+E20</f>
        <v/>
      </c>
      <c r="Q20" s="147">
        <f>IF(D20&gt;0.005,Mortgage!$B$5*(1+Mortgage!$B$17)^(A20/12),"")</f>
        <v/>
      </c>
      <c r="R20" s="147">
        <f>IF(D20&gt;0.005,Q20-I20,"")</f>
        <v/>
      </c>
      <c r="S20" s="147">
        <f>IF(A20&gt;Mortgage!$B$8*12,0,IF(Mortgage!$B$7=0,MAX(0,Mortgage!$H$5-Mortgage!$H$8*A20),MAX(0,Mortgage!$H$5*(1+(Mortgage!$B$7/12))^A20-Mortgage!$H$8*((1+(Mortgage!$B$7/12))^A20-1)/(Mortgage!$B$7/12))))</f>
        <v/>
      </c>
      <c r="T20" s="149">
        <f>IF(D20&gt;0.005,I20/Mortgage!$B$5,"")</f>
        <v/>
      </c>
      <c r="U20">
        <f>IF(A20&gt;Mortgage!$B$8*12,NA(),B20)</f>
        <v/>
      </c>
      <c r="V20">
        <f>IF(D20&gt;0.005,I20,NA())</f>
        <v/>
      </c>
      <c r="W20">
        <f>IF(A20&gt;Mortgage!$B$8*12,NA(),S20)</f>
        <v/>
      </c>
    </row>
    <row r="21">
      <c r="A21" s="129" t="n">
        <v>16</v>
      </c>
      <c r="B21" s="146">
        <f>EDATE(Mortgage!$B$9,A21-1)</f>
        <v/>
      </c>
      <c r="C21" s="129">
        <f>INT((A21-1)/12)+1</f>
        <v/>
      </c>
      <c r="D21" s="147">
        <f>IF(N(I20)&gt;0.005,I20,0)</f>
        <v/>
      </c>
      <c r="E21" s="147">
        <f>IF(D21&gt;0.005,D21*Mortgage!$B$7/12,0)</f>
        <v/>
      </c>
      <c r="F21" s="147">
        <f>IF(D21&gt;0.005,MIN(Mortgage!$H$8-E21,D21),0)</f>
        <v/>
      </c>
      <c r="G21" s="147">
        <f>IF(D21-F21&gt;0.005,MIN(D21-F21,Mortgage!$B$18+IF(MONTH(B21)=Mortgage!$B$20,Mortgage!$B$19,0)+SUMIFS(Mortgage!$E$6:$E$15,Mortgage!$D$6:$D$15,"&gt;="&amp;B21,Mortgage!$D$6:$D$15,"&lt;"&amp;EDATE(B21,1))+IF(Mortgage!$B$10="Bi-weekly (accelerated)",Mortgage!$H$8/12,0)),0)</f>
        <v/>
      </c>
      <c r="H21" s="147">
        <f>F21+G21</f>
        <v/>
      </c>
      <c r="I21" s="148">
        <f>D21-H21</f>
        <v/>
      </c>
      <c r="J21" s="147">
        <f>E21+F21+G21</f>
        <v/>
      </c>
      <c r="K21" s="147">
        <f>IF(AND(D21&gt;0.005,Mortgage!$H$7&gt;0.8,D21/Mortgage!$B$5&gt;Mortgage!$B$14),Mortgage!$H$5*Mortgage!$B$13/12,0)</f>
        <v/>
      </c>
      <c r="L21" s="147">
        <f>IF(D21&gt;0.005,Mortgage!$B$11/12*(1+Mortgage!$B$16)^(C21-1),0)</f>
        <v/>
      </c>
      <c r="M21" s="147">
        <f>IF(D21&gt;0.005,Mortgage!$B$12/12*(1+Mortgage!$B$16)^(C21-1),0)</f>
        <v/>
      </c>
      <c r="N21" s="147">
        <f>IF(D21&gt;0.005,Mortgage!$B$15,0)</f>
        <v/>
      </c>
      <c r="O21" s="147">
        <f>J21+K21+L21+M21+N21</f>
        <v/>
      </c>
      <c r="P21" s="147">
        <f>P20+E21</f>
        <v/>
      </c>
      <c r="Q21" s="147">
        <f>IF(D21&gt;0.005,Mortgage!$B$5*(1+Mortgage!$B$17)^(A21/12),"")</f>
        <v/>
      </c>
      <c r="R21" s="147">
        <f>IF(D21&gt;0.005,Q21-I21,"")</f>
        <v/>
      </c>
      <c r="S21" s="147">
        <f>IF(A21&gt;Mortgage!$B$8*12,0,IF(Mortgage!$B$7=0,MAX(0,Mortgage!$H$5-Mortgage!$H$8*A21),MAX(0,Mortgage!$H$5*(1+(Mortgage!$B$7/12))^A21-Mortgage!$H$8*((1+(Mortgage!$B$7/12))^A21-1)/(Mortgage!$B$7/12))))</f>
        <v/>
      </c>
      <c r="T21" s="149">
        <f>IF(D21&gt;0.005,I21/Mortgage!$B$5,"")</f>
        <v/>
      </c>
      <c r="U21">
        <f>IF(A21&gt;Mortgage!$B$8*12,NA(),B21)</f>
        <v/>
      </c>
      <c r="V21">
        <f>IF(D21&gt;0.005,I21,NA())</f>
        <v/>
      </c>
      <c r="W21">
        <f>IF(A21&gt;Mortgage!$B$8*12,NA(),S21)</f>
        <v/>
      </c>
    </row>
    <row r="22">
      <c r="A22" s="129" t="n">
        <v>17</v>
      </c>
      <c r="B22" s="146">
        <f>EDATE(Mortgage!$B$9,A22-1)</f>
        <v/>
      </c>
      <c r="C22" s="129">
        <f>INT((A22-1)/12)+1</f>
        <v/>
      </c>
      <c r="D22" s="147">
        <f>IF(N(I21)&gt;0.005,I21,0)</f>
        <v/>
      </c>
      <c r="E22" s="147">
        <f>IF(D22&gt;0.005,D22*Mortgage!$B$7/12,0)</f>
        <v/>
      </c>
      <c r="F22" s="147">
        <f>IF(D22&gt;0.005,MIN(Mortgage!$H$8-E22,D22),0)</f>
        <v/>
      </c>
      <c r="G22" s="147">
        <f>IF(D22-F22&gt;0.005,MIN(D22-F22,Mortgage!$B$18+IF(MONTH(B22)=Mortgage!$B$20,Mortgage!$B$19,0)+SUMIFS(Mortgage!$E$6:$E$15,Mortgage!$D$6:$D$15,"&gt;="&amp;B22,Mortgage!$D$6:$D$15,"&lt;"&amp;EDATE(B22,1))+IF(Mortgage!$B$10="Bi-weekly (accelerated)",Mortgage!$H$8/12,0)),0)</f>
        <v/>
      </c>
      <c r="H22" s="147">
        <f>F22+G22</f>
        <v/>
      </c>
      <c r="I22" s="148">
        <f>D22-H22</f>
        <v/>
      </c>
      <c r="J22" s="147">
        <f>E22+F22+G22</f>
        <v/>
      </c>
      <c r="K22" s="147">
        <f>IF(AND(D22&gt;0.005,Mortgage!$H$7&gt;0.8,D22/Mortgage!$B$5&gt;Mortgage!$B$14),Mortgage!$H$5*Mortgage!$B$13/12,0)</f>
        <v/>
      </c>
      <c r="L22" s="147">
        <f>IF(D22&gt;0.005,Mortgage!$B$11/12*(1+Mortgage!$B$16)^(C22-1),0)</f>
        <v/>
      </c>
      <c r="M22" s="147">
        <f>IF(D22&gt;0.005,Mortgage!$B$12/12*(1+Mortgage!$B$16)^(C22-1),0)</f>
        <v/>
      </c>
      <c r="N22" s="147">
        <f>IF(D22&gt;0.005,Mortgage!$B$15,0)</f>
        <v/>
      </c>
      <c r="O22" s="147">
        <f>J22+K22+L22+M22+N22</f>
        <v/>
      </c>
      <c r="P22" s="147">
        <f>P21+E22</f>
        <v/>
      </c>
      <c r="Q22" s="147">
        <f>IF(D22&gt;0.005,Mortgage!$B$5*(1+Mortgage!$B$17)^(A22/12),"")</f>
        <v/>
      </c>
      <c r="R22" s="147">
        <f>IF(D22&gt;0.005,Q22-I22,"")</f>
        <v/>
      </c>
      <c r="S22" s="147">
        <f>IF(A22&gt;Mortgage!$B$8*12,0,IF(Mortgage!$B$7=0,MAX(0,Mortgage!$H$5-Mortgage!$H$8*A22),MAX(0,Mortgage!$H$5*(1+(Mortgage!$B$7/12))^A22-Mortgage!$H$8*((1+(Mortgage!$B$7/12))^A22-1)/(Mortgage!$B$7/12))))</f>
        <v/>
      </c>
      <c r="T22" s="149">
        <f>IF(D22&gt;0.005,I22/Mortgage!$B$5,"")</f>
        <v/>
      </c>
      <c r="U22">
        <f>IF(A22&gt;Mortgage!$B$8*12,NA(),B22)</f>
        <v/>
      </c>
      <c r="V22">
        <f>IF(D22&gt;0.005,I22,NA())</f>
        <v/>
      </c>
      <c r="W22">
        <f>IF(A22&gt;Mortgage!$B$8*12,NA(),S22)</f>
        <v/>
      </c>
    </row>
    <row r="23">
      <c r="A23" s="129" t="n">
        <v>18</v>
      </c>
      <c r="B23" s="146">
        <f>EDATE(Mortgage!$B$9,A23-1)</f>
        <v/>
      </c>
      <c r="C23" s="129">
        <f>INT((A23-1)/12)+1</f>
        <v/>
      </c>
      <c r="D23" s="147">
        <f>IF(N(I22)&gt;0.005,I22,0)</f>
        <v/>
      </c>
      <c r="E23" s="147">
        <f>IF(D23&gt;0.005,D23*Mortgage!$B$7/12,0)</f>
        <v/>
      </c>
      <c r="F23" s="147">
        <f>IF(D23&gt;0.005,MIN(Mortgage!$H$8-E23,D23),0)</f>
        <v/>
      </c>
      <c r="G23" s="147">
        <f>IF(D23-F23&gt;0.005,MIN(D23-F23,Mortgage!$B$18+IF(MONTH(B23)=Mortgage!$B$20,Mortgage!$B$19,0)+SUMIFS(Mortgage!$E$6:$E$15,Mortgage!$D$6:$D$15,"&gt;="&amp;B23,Mortgage!$D$6:$D$15,"&lt;"&amp;EDATE(B23,1))+IF(Mortgage!$B$10="Bi-weekly (accelerated)",Mortgage!$H$8/12,0)),0)</f>
        <v/>
      </c>
      <c r="H23" s="147">
        <f>F23+G23</f>
        <v/>
      </c>
      <c r="I23" s="148">
        <f>D23-H23</f>
        <v/>
      </c>
      <c r="J23" s="147">
        <f>E23+F23+G23</f>
        <v/>
      </c>
      <c r="K23" s="147">
        <f>IF(AND(D23&gt;0.005,Mortgage!$H$7&gt;0.8,D23/Mortgage!$B$5&gt;Mortgage!$B$14),Mortgage!$H$5*Mortgage!$B$13/12,0)</f>
        <v/>
      </c>
      <c r="L23" s="147">
        <f>IF(D23&gt;0.005,Mortgage!$B$11/12*(1+Mortgage!$B$16)^(C23-1),0)</f>
        <v/>
      </c>
      <c r="M23" s="147">
        <f>IF(D23&gt;0.005,Mortgage!$B$12/12*(1+Mortgage!$B$16)^(C23-1),0)</f>
        <v/>
      </c>
      <c r="N23" s="147">
        <f>IF(D23&gt;0.005,Mortgage!$B$15,0)</f>
        <v/>
      </c>
      <c r="O23" s="147">
        <f>J23+K23+L23+M23+N23</f>
        <v/>
      </c>
      <c r="P23" s="147">
        <f>P22+E23</f>
        <v/>
      </c>
      <c r="Q23" s="147">
        <f>IF(D23&gt;0.005,Mortgage!$B$5*(1+Mortgage!$B$17)^(A23/12),"")</f>
        <v/>
      </c>
      <c r="R23" s="147">
        <f>IF(D23&gt;0.005,Q23-I23,"")</f>
        <v/>
      </c>
      <c r="S23" s="147">
        <f>IF(A23&gt;Mortgage!$B$8*12,0,IF(Mortgage!$B$7=0,MAX(0,Mortgage!$H$5-Mortgage!$H$8*A23),MAX(0,Mortgage!$H$5*(1+(Mortgage!$B$7/12))^A23-Mortgage!$H$8*((1+(Mortgage!$B$7/12))^A23-1)/(Mortgage!$B$7/12))))</f>
        <v/>
      </c>
      <c r="T23" s="149">
        <f>IF(D23&gt;0.005,I23/Mortgage!$B$5,"")</f>
        <v/>
      </c>
      <c r="U23">
        <f>IF(A23&gt;Mortgage!$B$8*12,NA(),B23)</f>
        <v/>
      </c>
      <c r="V23">
        <f>IF(D23&gt;0.005,I23,NA())</f>
        <v/>
      </c>
      <c r="W23">
        <f>IF(A23&gt;Mortgage!$B$8*12,NA(),S23)</f>
        <v/>
      </c>
    </row>
    <row r="24">
      <c r="A24" s="129" t="n">
        <v>19</v>
      </c>
      <c r="B24" s="146">
        <f>EDATE(Mortgage!$B$9,A24-1)</f>
        <v/>
      </c>
      <c r="C24" s="129">
        <f>INT((A24-1)/12)+1</f>
        <v/>
      </c>
      <c r="D24" s="147">
        <f>IF(N(I23)&gt;0.005,I23,0)</f>
        <v/>
      </c>
      <c r="E24" s="147">
        <f>IF(D24&gt;0.005,D24*Mortgage!$B$7/12,0)</f>
        <v/>
      </c>
      <c r="F24" s="147">
        <f>IF(D24&gt;0.005,MIN(Mortgage!$H$8-E24,D24),0)</f>
        <v/>
      </c>
      <c r="G24" s="147">
        <f>IF(D24-F24&gt;0.005,MIN(D24-F24,Mortgage!$B$18+IF(MONTH(B24)=Mortgage!$B$20,Mortgage!$B$19,0)+SUMIFS(Mortgage!$E$6:$E$15,Mortgage!$D$6:$D$15,"&gt;="&amp;B24,Mortgage!$D$6:$D$15,"&lt;"&amp;EDATE(B24,1))+IF(Mortgage!$B$10="Bi-weekly (accelerated)",Mortgage!$H$8/12,0)),0)</f>
        <v/>
      </c>
      <c r="H24" s="147">
        <f>F24+G24</f>
        <v/>
      </c>
      <c r="I24" s="148">
        <f>D24-H24</f>
        <v/>
      </c>
      <c r="J24" s="147">
        <f>E24+F24+G24</f>
        <v/>
      </c>
      <c r="K24" s="147">
        <f>IF(AND(D24&gt;0.005,Mortgage!$H$7&gt;0.8,D24/Mortgage!$B$5&gt;Mortgage!$B$14),Mortgage!$H$5*Mortgage!$B$13/12,0)</f>
        <v/>
      </c>
      <c r="L24" s="147">
        <f>IF(D24&gt;0.005,Mortgage!$B$11/12*(1+Mortgage!$B$16)^(C24-1),0)</f>
        <v/>
      </c>
      <c r="M24" s="147">
        <f>IF(D24&gt;0.005,Mortgage!$B$12/12*(1+Mortgage!$B$16)^(C24-1),0)</f>
        <v/>
      </c>
      <c r="N24" s="147">
        <f>IF(D24&gt;0.005,Mortgage!$B$15,0)</f>
        <v/>
      </c>
      <c r="O24" s="147">
        <f>J24+K24+L24+M24+N24</f>
        <v/>
      </c>
      <c r="P24" s="147">
        <f>P23+E24</f>
        <v/>
      </c>
      <c r="Q24" s="147">
        <f>IF(D24&gt;0.005,Mortgage!$B$5*(1+Mortgage!$B$17)^(A24/12),"")</f>
        <v/>
      </c>
      <c r="R24" s="147">
        <f>IF(D24&gt;0.005,Q24-I24,"")</f>
        <v/>
      </c>
      <c r="S24" s="147">
        <f>IF(A24&gt;Mortgage!$B$8*12,0,IF(Mortgage!$B$7=0,MAX(0,Mortgage!$H$5-Mortgage!$H$8*A24),MAX(0,Mortgage!$H$5*(1+(Mortgage!$B$7/12))^A24-Mortgage!$H$8*((1+(Mortgage!$B$7/12))^A24-1)/(Mortgage!$B$7/12))))</f>
        <v/>
      </c>
      <c r="T24" s="149">
        <f>IF(D24&gt;0.005,I24/Mortgage!$B$5,"")</f>
        <v/>
      </c>
      <c r="U24">
        <f>IF(A24&gt;Mortgage!$B$8*12,NA(),B24)</f>
        <v/>
      </c>
      <c r="V24">
        <f>IF(D24&gt;0.005,I24,NA())</f>
        <v/>
      </c>
      <c r="W24">
        <f>IF(A24&gt;Mortgage!$B$8*12,NA(),S24)</f>
        <v/>
      </c>
    </row>
    <row r="25">
      <c r="A25" s="129" t="n">
        <v>20</v>
      </c>
      <c r="B25" s="146">
        <f>EDATE(Mortgage!$B$9,A25-1)</f>
        <v/>
      </c>
      <c r="C25" s="129">
        <f>INT((A25-1)/12)+1</f>
        <v/>
      </c>
      <c r="D25" s="147">
        <f>IF(N(I24)&gt;0.005,I24,0)</f>
        <v/>
      </c>
      <c r="E25" s="147">
        <f>IF(D25&gt;0.005,D25*Mortgage!$B$7/12,0)</f>
        <v/>
      </c>
      <c r="F25" s="147">
        <f>IF(D25&gt;0.005,MIN(Mortgage!$H$8-E25,D25),0)</f>
        <v/>
      </c>
      <c r="G25" s="147">
        <f>IF(D25-F25&gt;0.005,MIN(D25-F25,Mortgage!$B$18+IF(MONTH(B25)=Mortgage!$B$20,Mortgage!$B$19,0)+SUMIFS(Mortgage!$E$6:$E$15,Mortgage!$D$6:$D$15,"&gt;="&amp;B25,Mortgage!$D$6:$D$15,"&lt;"&amp;EDATE(B25,1))+IF(Mortgage!$B$10="Bi-weekly (accelerated)",Mortgage!$H$8/12,0)),0)</f>
        <v/>
      </c>
      <c r="H25" s="147">
        <f>F25+G25</f>
        <v/>
      </c>
      <c r="I25" s="148">
        <f>D25-H25</f>
        <v/>
      </c>
      <c r="J25" s="147">
        <f>E25+F25+G25</f>
        <v/>
      </c>
      <c r="K25" s="147">
        <f>IF(AND(D25&gt;0.005,Mortgage!$H$7&gt;0.8,D25/Mortgage!$B$5&gt;Mortgage!$B$14),Mortgage!$H$5*Mortgage!$B$13/12,0)</f>
        <v/>
      </c>
      <c r="L25" s="147">
        <f>IF(D25&gt;0.005,Mortgage!$B$11/12*(1+Mortgage!$B$16)^(C25-1),0)</f>
        <v/>
      </c>
      <c r="M25" s="147">
        <f>IF(D25&gt;0.005,Mortgage!$B$12/12*(1+Mortgage!$B$16)^(C25-1),0)</f>
        <v/>
      </c>
      <c r="N25" s="147">
        <f>IF(D25&gt;0.005,Mortgage!$B$15,0)</f>
        <v/>
      </c>
      <c r="O25" s="147">
        <f>J25+K25+L25+M25+N25</f>
        <v/>
      </c>
      <c r="P25" s="147">
        <f>P24+E25</f>
        <v/>
      </c>
      <c r="Q25" s="147">
        <f>IF(D25&gt;0.005,Mortgage!$B$5*(1+Mortgage!$B$17)^(A25/12),"")</f>
        <v/>
      </c>
      <c r="R25" s="147">
        <f>IF(D25&gt;0.005,Q25-I25,"")</f>
        <v/>
      </c>
      <c r="S25" s="147">
        <f>IF(A25&gt;Mortgage!$B$8*12,0,IF(Mortgage!$B$7=0,MAX(0,Mortgage!$H$5-Mortgage!$H$8*A25),MAX(0,Mortgage!$H$5*(1+(Mortgage!$B$7/12))^A25-Mortgage!$H$8*((1+(Mortgage!$B$7/12))^A25-1)/(Mortgage!$B$7/12))))</f>
        <v/>
      </c>
      <c r="T25" s="149">
        <f>IF(D25&gt;0.005,I25/Mortgage!$B$5,"")</f>
        <v/>
      </c>
      <c r="U25">
        <f>IF(A25&gt;Mortgage!$B$8*12,NA(),B25)</f>
        <v/>
      </c>
      <c r="V25">
        <f>IF(D25&gt;0.005,I25,NA())</f>
        <v/>
      </c>
      <c r="W25">
        <f>IF(A25&gt;Mortgage!$B$8*12,NA(),S25)</f>
        <v/>
      </c>
    </row>
    <row r="26">
      <c r="A26" s="129" t="n">
        <v>21</v>
      </c>
      <c r="B26" s="146">
        <f>EDATE(Mortgage!$B$9,A26-1)</f>
        <v/>
      </c>
      <c r="C26" s="129">
        <f>INT((A26-1)/12)+1</f>
        <v/>
      </c>
      <c r="D26" s="147">
        <f>IF(N(I25)&gt;0.005,I25,0)</f>
        <v/>
      </c>
      <c r="E26" s="147">
        <f>IF(D26&gt;0.005,D26*Mortgage!$B$7/12,0)</f>
        <v/>
      </c>
      <c r="F26" s="147">
        <f>IF(D26&gt;0.005,MIN(Mortgage!$H$8-E26,D26),0)</f>
        <v/>
      </c>
      <c r="G26" s="147">
        <f>IF(D26-F26&gt;0.005,MIN(D26-F26,Mortgage!$B$18+IF(MONTH(B26)=Mortgage!$B$20,Mortgage!$B$19,0)+SUMIFS(Mortgage!$E$6:$E$15,Mortgage!$D$6:$D$15,"&gt;="&amp;B26,Mortgage!$D$6:$D$15,"&lt;"&amp;EDATE(B26,1))+IF(Mortgage!$B$10="Bi-weekly (accelerated)",Mortgage!$H$8/12,0)),0)</f>
        <v/>
      </c>
      <c r="H26" s="147">
        <f>F26+G26</f>
        <v/>
      </c>
      <c r="I26" s="148">
        <f>D26-H26</f>
        <v/>
      </c>
      <c r="J26" s="147">
        <f>E26+F26+G26</f>
        <v/>
      </c>
      <c r="K26" s="147">
        <f>IF(AND(D26&gt;0.005,Mortgage!$H$7&gt;0.8,D26/Mortgage!$B$5&gt;Mortgage!$B$14),Mortgage!$H$5*Mortgage!$B$13/12,0)</f>
        <v/>
      </c>
      <c r="L26" s="147">
        <f>IF(D26&gt;0.005,Mortgage!$B$11/12*(1+Mortgage!$B$16)^(C26-1),0)</f>
        <v/>
      </c>
      <c r="M26" s="147">
        <f>IF(D26&gt;0.005,Mortgage!$B$12/12*(1+Mortgage!$B$16)^(C26-1),0)</f>
        <v/>
      </c>
      <c r="N26" s="147">
        <f>IF(D26&gt;0.005,Mortgage!$B$15,0)</f>
        <v/>
      </c>
      <c r="O26" s="147">
        <f>J26+K26+L26+M26+N26</f>
        <v/>
      </c>
      <c r="P26" s="147">
        <f>P25+E26</f>
        <v/>
      </c>
      <c r="Q26" s="147">
        <f>IF(D26&gt;0.005,Mortgage!$B$5*(1+Mortgage!$B$17)^(A26/12),"")</f>
        <v/>
      </c>
      <c r="R26" s="147">
        <f>IF(D26&gt;0.005,Q26-I26,"")</f>
        <v/>
      </c>
      <c r="S26" s="147">
        <f>IF(A26&gt;Mortgage!$B$8*12,0,IF(Mortgage!$B$7=0,MAX(0,Mortgage!$H$5-Mortgage!$H$8*A26),MAX(0,Mortgage!$H$5*(1+(Mortgage!$B$7/12))^A26-Mortgage!$H$8*((1+(Mortgage!$B$7/12))^A26-1)/(Mortgage!$B$7/12))))</f>
        <v/>
      </c>
      <c r="T26" s="149">
        <f>IF(D26&gt;0.005,I26/Mortgage!$B$5,"")</f>
        <v/>
      </c>
      <c r="U26">
        <f>IF(A26&gt;Mortgage!$B$8*12,NA(),B26)</f>
        <v/>
      </c>
      <c r="V26">
        <f>IF(D26&gt;0.005,I26,NA())</f>
        <v/>
      </c>
      <c r="W26">
        <f>IF(A26&gt;Mortgage!$B$8*12,NA(),S26)</f>
        <v/>
      </c>
    </row>
    <row r="27">
      <c r="A27" s="129" t="n">
        <v>22</v>
      </c>
      <c r="B27" s="146">
        <f>EDATE(Mortgage!$B$9,A27-1)</f>
        <v/>
      </c>
      <c r="C27" s="129">
        <f>INT((A27-1)/12)+1</f>
        <v/>
      </c>
      <c r="D27" s="147">
        <f>IF(N(I26)&gt;0.005,I26,0)</f>
        <v/>
      </c>
      <c r="E27" s="147">
        <f>IF(D27&gt;0.005,D27*Mortgage!$B$7/12,0)</f>
        <v/>
      </c>
      <c r="F27" s="147">
        <f>IF(D27&gt;0.005,MIN(Mortgage!$H$8-E27,D27),0)</f>
        <v/>
      </c>
      <c r="G27" s="147">
        <f>IF(D27-F27&gt;0.005,MIN(D27-F27,Mortgage!$B$18+IF(MONTH(B27)=Mortgage!$B$20,Mortgage!$B$19,0)+SUMIFS(Mortgage!$E$6:$E$15,Mortgage!$D$6:$D$15,"&gt;="&amp;B27,Mortgage!$D$6:$D$15,"&lt;"&amp;EDATE(B27,1))+IF(Mortgage!$B$10="Bi-weekly (accelerated)",Mortgage!$H$8/12,0)),0)</f>
        <v/>
      </c>
      <c r="H27" s="147">
        <f>F27+G27</f>
        <v/>
      </c>
      <c r="I27" s="148">
        <f>D27-H27</f>
        <v/>
      </c>
      <c r="J27" s="147">
        <f>E27+F27+G27</f>
        <v/>
      </c>
      <c r="K27" s="147">
        <f>IF(AND(D27&gt;0.005,Mortgage!$H$7&gt;0.8,D27/Mortgage!$B$5&gt;Mortgage!$B$14),Mortgage!$H$5*Mortgage!$B$13/12,0)</f>
        <v/>
      </c>
      <c r="L27" s="147">
        <f>IF(D27&gt;0.005,Mortgage!$B$11/12*(1+Mortgage!$B$16)^(C27-1),0)</f>
        <v/>
      </c>
      <c r="M27" s="147">
        <f>IF(D27&gt;0.005,Mortgage!$B$12/12*(1+Mortgage!$B$16)^(C27-1),0)</f>
        <v/>
      </c>
      <c r="N27" s="147">
        <f>IF(D27&gt;0.005,Mortgage!$B$15,0)</f>
        <v/>
      </c>
      <c r="O27" s="147">
        <f>J27+K27+L27+M27+N27</f>
        <v/>
      </c>
      <c r="P27" s="147">
        <f>P26+E27</f>
        <v/>
      </c>
      <c r="Q27" s="147">
        <f>IF(D27&gt;0.005,Mortgage!$B$5*(1+Mortgage!$B$17)^(A27/12),"")</f>
        <v/>
      </c>
      <c r="R27" s="147">
        <f>IF(D27&gt;0.005,Q27-I27,"")</f>
        <v/>
      </c>
      <c r="S27" s="147">
        <f>IF(A27&gt;Mortgage!$B$8*12,0,IF(Mortgage!$B$7=0,MAX(0,Mortgage!$H$5-Mortgage!$H$8*A27),MAX(0,Mortgage!$H$5*(1+(Mortgage!$B$7/12))^A27-Mortgage!$H$8*((1+(Mortgage!$B$7/12))^A27-1)/(Mortgage!$B$7/12))))</f>
        <v/>
      </c>
      <c r="T27" s="149">
        <f>IF(D27&gt;0.005,I27/Mortgage!$B$5,"")</f>
        <v/>
      </c>
      <c r="U27">
        <f>IF(A27&gt;Mortgage!$B$8*12,NA(),B27)</f>
        <v/>
      </c>
      <c r="V27">
        <f>IF(D27&gt;0.005,I27,NA())</f>
        <v/>
      </c>
      <c r="W27">
        <f>IF(A27&gt;Mortgage!$B$8*12,NA(),S27)</f>
        <v/>
      </c>
    </row>
    <row r="28">
      <c r="A28" s="129" t="n">
        <v>23</v>
      </c>
      <c r="B28" s="146">
        <f>EDATE(Mortgage!$B$9,A28-1)</f>
        <v/>
      </c>
      <c r="C28" s="129">
        <f>INT((A28-1)/12)+1</f>
        <v/>
      </c>
      <c r="D28" s="147">
        <f>IF(N(I27)&gt;0.005,I27,0)</f>
        <v/>
      </c>
      <c r="E28" s="147">
        <f>IF(D28&gt;0.005,D28*Mortgage!$B$7/12,0)</f>
        <v/>
      </c>
      <c r="F28" s="147">
        <f>IF(D28&gt;0.005,MIN(Mortgage!$H$8-E28,D28),0)</f>
        <v/>
      </c>
      <c r="G28" s="147">
        <f>IF(D28-F28&gt;0.005,MIN(D28-F28,Mortgage!$B$18+IF(MONTH(B28)=Mortgage!$B$20,Mortgage!$B$19,0)+SUMIFS(Mortgage!$E$6:$E$15,Mortgage!$D$6:$D$15,"&gt;="&amp;B28,Mortgage!$D$6:$D$15,"&lt;"&amp;EDATE(B28,1))+IF(Mortgage!$B$10="Bi-weekly (accelerated)",Mortgage!$H$8/12,0)),0)</f>
        <v/>
      </c>
      <c r="H28" s="147">
        <f>F28+G28</f>
        <v/>
      </c>
      <c r="I28" s="148">
        <f>D28-H28</f>
        <v/>
      </c>
      <c r="J28" s="147">
        <f>E28+F28+G28</f>
        <v/>
      </c>
      <c r="K28" s="147">
        <f>IF(AND(D28&gt;0.005,Mortgage!$H$7&gt;0.8,D28/Mortgage!$B$5&gt;Mortgage!$B$14),Mortgage!$H$5*Mortgage!$B$13/12,0)</f>
        <v/>
      </c>
      <c r="L28" s="147">
        <f>IF(D28&gt;0.005,Mortgage!$B$11/12*(1+Mortgage!$B$16)^(C28-1),0)</f>
        <v/>
      </c>
      <c r="M28" s="147">
        <f>IF(D28&gt;0.005,Mortgage!$B$12/12*(1+Mortgage!$B$16)^(C28-1),0)</f>
        <v/>
      </c>
      <c r="N28" s="147">
        <f>IF(D28&gt;0.005,Mortgage!$B$15,0)</f>
        <v/>
      </c>
      <c r="O28" s="147">
        <f>J28+K28+L28+M28+N28</f>
        <v/>
      </c>
      <c r="P28" s="147">
        <f>P27+E28</f>
        <v/>
      </c>
      <c r="Q28" s="147">
        <f>IF(D28&gt;0.005,Mortgage!$B$5*(1+Mortgage!$B$17)^(A28/12),"")</f>
        <v/>
      </c>
      <c r="R28" s="147">
        <f>IF(D28&gt;0.005,Q28-I28,"")</f>
        <v/>
      </c>
      <c r="S28" s="147">
        <f>IF(A28&gt;Mortgage!$B$8*12,0,IF(Mortgage!$B$7=0,MAX(0,Mortgage!$H$5-Mortgage!$H$8*A28),MAX(0,Mortgage!$H$5*(1+(Mortgage!$B$7/12))^A28-Mortgage!$H$8*((1+(Mortgage!$B$7/12))^A28-1)/(Mortgage!$B$7/12))))</f>
        <v/>
      </c>
      <c r="T28" s="149">
        <f>IF(D28&gt;0.005,I28/Mortgage!$B$5,"")</f>
        <v/>
      </c>
      <c r="U28">
        <f>IF(A28&gt;Mortgage!$B$8*12,NA(),B28)</f>
        <v/>
      </c>
      <c r="V28">
        <f>IF(D28&gt;0.005,I28,NA())</f>
        <v/>
      </c>
      <c r="W28">
        <f>IF(A28&gt;Mortgage!$B$8*12,NA(),S28)</f>
        <v/>
      </c>
    </row>
    <row r="29">
      <c r="A29" s="129" t="n">
        <v>24</v>
      </c>
      <c r="B29" s="146">
        <f>EDATE(Mortgage!$B$9,A29-1)</f>
        <v/>
      </c>
      <c r="C29" s="129">
        <f>INT((A29-1)/12)+1</f>
        <v/>
      </c>
      <c r="D29" s="147">
        <f>IF(N(I28)&gt;0.005,I28,0)</f>
        <v/>
      </c>
      <c r="E29" s="147">
        <f>IF(D29&gt;0.005,D29*Mortgage!$B$7/12,0)</f>
        <v/>
      </c>
      <c r="F29" s="147">
        <f>IF(D29&gt;0.005,MIN(Mortgage!$H$8-E29,D29),0)</f>
        <v/>
      </c>
      <c r="G29" s="147">
        <f>IF(D29-F29&gt;0.005,MIN(D29-F29,Mortgage!$B$18+IF(MONTH(B29)=Mortgage!$B$20,Mortgage!$B$19,0)+SUMIFS(Mortgage!$E$6:$E$15,Mortgage!$D$6:$D$15,"&gt;="&amp;B29,Mortgage!$D$6:$D$15,"&lt;"&amp;EDATE(B29,1))+IF(Mortgage!$B$10="Bi-weekly (accelerated)",Mortgage!$H$8/12,0)),0)</f>
        <v/>
      </c>
      <c r="H29" s="147">
        <f>F29+G29</f>
        <v/>
      </c>
      <c r="I29" s="148">
        <f>D29-H29</f>
        <v/>
      </c>
      <c r="J29" s="147">
        <f>E29+F29+G29</f>
        <v/>
      </c>
      <c r="K29" s="147">
        <f>IF(AND(D29&gt;0.005,Mortgage!$H$7&gt;0.8,D29/Mortgage!$B$5&gt;Mortgage!$B$14),Mortgage!$H$5*Mortgage!$B$13/12,0)</f>
        <v/>
      </c>
      <c r="L29" s="147">
        <f>IF(D29&gt;0.005,Mortgage!$B$11/12*(1+Mortgage!$B$16)^(C29-1),0)</f>
        <v/>
      </c>
      <c r="M29" s="147">
        <f>IF(D29&gt;0.005,Mortgage!$B$12/12*(1+Mortgage!$B$16)^(C29-1),0)</f>
        <v/>
      </c>
      <c r="N29" s="147">
        <f>IF(D29&gt;0.005,Mortgage!$B$15,0)</f>
        <v/>
      </c>
      <c r="O29" s="147">
        <f>J29+K29+L29+M29+N29</f>
        <v/>
      </c>
      <c r="P29" s="147">
        <f>P28+E29</f>
        <v/>
      </c>
      <c r="Q29" s="147">
        <f>IF(D29&gt;0.005,Mortgage!$B$5*(1+Mortgage!$B$17)^(A29/12),"")</f>
        <v/>
      </c>
      <c r="R29" s="147">
        <f>IF(D29&gt;0.005,Q29-I29,"")</f>
        <v/>
      </c>
      <c r="S29" s="147">
        <f>IF(A29&gt;Mortgage!$B$8*12,0,IF(Mortgage!$B$7=0,MAX(0,Mortgage!$H$5-Mortgage!$H$8*A29),MAX(0,Mortgage!$H$5*(1+(Mortgage!$B$7/12))^A29-Mortgage!$H$8*((1+(Mortgage!$B$7/12))^A29-1)/(Mortgage!$B$7/12))))</f>
        <v/>
      </c>
      <c r="T29" s="149">
        <f>IF(D29&gt;0.005,I29/Mortgage!$B$5,"")</f>
        <v/>
      </c>
      <c r="U29">
        <f>IF(A29&gt;Mortgage!$B$8*12,NA(),B29)</f>
        <v/>
      </c>
      <c r="V29">
        <f>IF(D29&gt;0.005,I29,NA())</f>
        <v/>
      </c>
      <c r="W29">
        <f>IF(A29&gt;Mortgage!$B$8*12,NA(),S29)</f>
        <v/>
      </c>
    </row>
    <row r="30">
      <c r="A30" s="129" t="n">
        <v>25</v>
      </c>
      <c r="B30" s="146">
        <f>EDATE(Mortgage!$B$9,A30-1)</f>
        <v/>
      </c>
      <c r="C30" s="129">
        <f>INT((A30-1)/12)+1</f>
        <v/>
      </c>
      <c r="D30" s="147">
        <f>IF(N(I29)&gt;0.005,I29,0)</f>
        <v/>
      </c>
      <c r="E30" s="147">
        <f>IF(D30&gt;0.005,D30*Mortgage!$B$7/12,0)</f>
        <v/>
      </c>
      <c r="F30" s="147">
        <f>IF(D30&gt;0.005,MIN(Mortgage!$H$8-E30,D30),0)</f>
        <v/>
      </c>
      <c r="G30" s="147">
        <f>IF(D30-F30&gt;0.005,MIN(D30-F30,Mortgage!$B$18+IF(MONTH(B30)=Mortgage!$B$20,Mortgage!$B$19,0)+SUMIFS(Mortgage!$E$6:$E$15,Mortgage!$D$6:$D$15,"&gt;="&amp;B30,Mortgage!$D$6:$D$15,"&lt;"&amp;EDATE(B30,1))+IF(Mortgage!$B$10="Bi-weekly (accelerated)",Mortgage!$H$8/12,0)),0)</f>
        <v/>
      </c>
      <c r="H30" s="147">
        <f>F30+G30</f>
        <v/>
      </c>
      <c r="I30" s="148">
        <f>D30-H30</f>
        <v/>
      </c>
      <c r="J30" s="147">
        <f>E30+F30+G30</f>
        <v/>
      </c>
      <c r="K30" s="147">
        <f>IF(AND(D30&gt;0.005,Mortgage!$H$7&gt;0.8,D30/Mortgage!$B$5&gt;Mortgage!$B$14),Mortgage!$H$5*Mortgage!$B$13/12,0)</f>
        <v/>
      </c>
      <c r="L30" s="147">
        <f>IF(D30&gt;0.005,Mortgage!$B$11/12*(1+Mortgage!$B$16)^(C30-1),0)</f>
        <v/>
      </c>
      <c r="M30" s="147">
        <f>IF(D30&gt;0.005,Mortgage!$B$12/12*(1+Mortgage!$B$16)^(C30-1),0)</f>
        <v/>
      </c>
      <c r="N30" s="147">
        <f>IF(D30&gt;0.005,Mortgage!$B$15,0)</f>
        <v/>
      </c>
      <c r="O30" s="147">
        <f>J30+K30+L30+M30+N30</f>
        <v/>
      </c>
      <c r="P30" s="147">
        <f>P29+E30</f>
        <v/>
      </c>
      <c r="Q30" s="147">
        <f>IF(D30&gt;0.005,Mortgage!$B$5*(1+Mortgage!$B$17)^(A30/12),"")</f>
        <v/>
      </c>
      <c r="R30" s="147">
        <f>IF(D30&gt;0.005,Q30-I30,"")</f>
        <v/>
      </c>
      <c r="S30" s="147">
        <f>IF(A30&gt;Mortgage!$B$8*12,0,IF(Mortgage!$B$7=0,MAX(0,Mortgage!$H$5-Mortgage!$H$8*A30),MAX(0,Mortgage!$H$5*(1+(Mortgage!$B$7/12))^A30-Mortgage!$H$8*((1+(Mortgage!$B$7/12))^A30-1)/(Mortgage!$B$7/12))))</f>
        <v/>
      </c>
      <c r="T30" s="149">
        <f>IF(D30&gt;0.005,I30/Mortgage!$B$5,"")</f>
        <v/>
      </c>
      <c r="U30">
        <f>IF(A30&gt;Mortgage!$B$8*12,NA(),B30)</f>
        <v/>
      </c>
      <c r="V30">
        <f>IF(D30&gt;0.005,I30,NA())</f>
        <v/>
      </c>
      <c r="W30">
        <f>IF(A30&gt;Mortgage!$B$8*12,NA(),S30)</f>
        <v/>
      </c>
    </row>
    <row r="31">
      <c r="A31" s="129" t="n">
        <v>26</v>
      </c>
      <c r="B31" s="146">
        <f>EDATE(Mortgage!$B$9,A31-1)</f>
        <v/>
      </c>
      <c r="C31" s="129">
        <f>INT((A31-1)/12)+1</f>
        <v/>
      </c>
      <c r="D31" s="147">
        <f>IF(N(I30)&gt;0.005,I30,0)</f>
        <v/>
      </c>
      <c r="E31" s="147">
        <f>IF(D31&gt;0.005,D31*Mortgage!$B$7/12,0)</f>
        <v/>
      </c>
      <c r="F31" s="147">
        <f>IF(D31&gt;0.005,MIN(Mortgage!$H$8-E31,D31),0)</f>
        <v/>
      </c>
      <c r="G31" s="147">
        <f>IF(D31-F31&gt;0.005,MIN(D31-F31,Mortgage!$B$18+IF(MONTH(B31)=Mortgage!$B$20,Mortgage!$B$19,0)+SUMIFS(Mortgage!$E$6:$E$15,Mortgage!$D$6:$D$15,"&gt;="&amp;B31,Mortgage!$D$6:$D$15,"&lt;"&amp;EDATE(B31,1))+IF(Mortgage!$B$10="Bi-weekly (accelerated)",Mortgage!$H$8/12,0)),0)</f>
        <v/>
      </c>
      <c r="H31" s="147">
        <f>F31+G31</f>
        <v/>
      </c>
      <c r="I31" s="148">
        <f>D31-H31</f>
        <v/>
      </c>
      <c r="J31" s="147">
        <f>E31+F31+G31</f>
        <v/>
      </c>
      <c r="K31" s="147">
        <f>IF(AND(D31&gt;0.005,Mortgage!$H$7&gt;0.8,D31/Mortgage!$B$5&gt;Mortgage!$B$14),Mortgage!$H$5*Mortgage!$B$13/12,0)</f>
        <v/>
      </c>
      <c r="L31" s="147">
        <f>IF(D31&gt;0.005,Mortgage!$B$11/12*(1+Mortgage!$B$16)^(C31-1),0)</f>
        <v/>
      </c>
      <c r="M31" s="147">
        <f>IF(D31&gt;0.005,Mortgage!$B$12/12*(1+Mortgage!$B$16)^(C31-1),0)</f>
        <v/>
      </c>
      <c r="N31" s="147">
        <f>IF(D31&gt;0.005,Mortgage!$B$15,0)</f>
        <v/>
      </c>
      <c r="O31" s="147">
        <f>J31+K31+L31+M31+N31</f>
        <v/>
      </c>
      <c r="P31" s="147">
        <f>P30+E31</f>
        <v/>
      </c>
      <c r="Q31" s="147">
        <f>IF(D31&gt;0.005,Mortgage!$B$5*(1+Mortgage!$B$17)^(A31/12),"")</f>
        <v/>
      </c>
      <c r="R31" s="147">
        <f>IF(D31&gt;0.005,Q31-I31,"")</f>
        <v/>
      </c>
      <c r="S31" s="147">
        <f>IF(A31&gt;Mortgage!$B$8*12,0,IF(Mortgage!$B$7=0,MAX(0,Mortgage!$H$5-Mortgage!$H$8*A31),MAX(0,Mortgage!$H$5*(1+(Mortgage!$B$7/12))^A31-Mortgage!$H$8*((1+(Mortgage!$B$7/12))^A31-1)/(Mortgage!$B$7/12))))</f>
        <v/>
      </c>
      <c r="T31" s="149">
        <f>IF(D31&gt;0.005,I31/Mortgage!$B$5,"")</f>
        <v/>
      </c>
      <c r="U31">
        <f>IF(A31&gt;Mortgage!$B$8*12,NA(),B31)</f>
        <v/>
      </c>
      <c r="V31">
        <f>IF(D31&gt;0.005,I31,NA())</f>
        <v/>
      </c>
      <c r="W31">
        <f>IF(A31&gt;Mortgage!$B$8*12,NA(),S31)</f>
        <v/>
      </c>
    </row>
    <row r="32">
      <c r="A32" s="129" t="n">
        <v>27</v>
      </c>
      <c r="B32" s="146">
        <f>EDATE(Mortgage!$B$9,A32-1)</f>
        <v/>
      </c>
      <c r="C32" s="129">
        <f>INT((A32-1)/12)+1</f>
        <v/>
      </c>
      <c r="D32" s="147">
        <f>IF(N(I31)&gt;0.005,I31,0)</f>
        <v/>
      </c>
      <c r="E32" s="147">
        <f>IF(D32&gt;0.005,D32*Mortgage!$B$7/12,0)</f>
        <v/>
      </c>
      <c r="F32" s="147">
        <f>IF(D32&gt;0.005,MIN(Mortgage!$H$8-E32,D32),0)</f>
        <v/>
      </c>
      <c r="G32" s="147">
        <f>IF(D32-F32&gt;0.005,MIN(D32-F32,Mortgage!$B$18+IF(MONTH(B32)=Mortgage!$B$20,Mortgage!$B$19,0)+SUMIFS(Mortgage!$E$6:$E$15,Mortgage!$D$6:$D$15,"&gt;="&amp;B32,Mortgage!$D$6:$D$15,"&lt;"&amp;EDATE(B32,1))+IF(Mortgage!$B$10="Bi-weekly (accelerated)",Mortgage!$H$8/12,0)),0)</f>
        <v/>
      </c>
      <c r="H32" s="147">
        <f>F32+G32</f>
        <v/>
      </c>
      <c r="I32" s="148">
        <f>D32-H32</f>
        <v/>
      </c>
      <c r="J32" s="147">
        <f>E32+F32+G32</f>
        <v/>
      </c>
      <c r="K32" s="147">
        <f>IF(AND(D32&gt;0.005,Mortgage!$H$7&gt;0.8,D32/Mortgage!$B$5&gt;Mortgage!$B$14),Mortgage!$H$5*Mortgage!$B$13/12,0)</f>
        <v/>
      </c>
      <c r="L32" s="147">
        <f>IF(D32&gt;0.005,Mortgage!$B$11/12*(1+Mortgage!$B$16)^(C32-1),0)</f>
        <v/>
      </c>
      <c r="M32" s="147">
        <f>IF(D32&gt;0.005,Mortgage!$B$12/12*(1+Mortgage!$B$16)^(C32-1),0)</f>
        <v/>
      </c>
      <c r="N32" s="147">
        <f>IF(D32&gt;0.005,Mortgage!$B$15,0)</f>
        <v/>
      </c>
      <c r="O32" s="147">
        <f>J32+K32+L32+M32+N32</f>
        <v/>
      </c>
      <c r="P32" s="147">
        <f>P31+E32</f>
        <v/>
      </c>
      <c r="Q32" s="147">
        <f>IF(D32&gt;0.005,Mortgage!$B$5*(1+Mortgage!$B$17)^(A32/12),"")</f>
        <v/>
      </c>
      <c r="R32" s="147">
        <f>IF(D32&gt;0.005,Q32-I32,"")</f>
        <v/>
      </c>
      <c r="S32" s="147">
        <f>IF(A32&gt;Mortgage!$B$8*12,0,IF(Mortgage!$B$7=0,MAX(0,Mortgage!$H$5-Mortgage!$H$8*A32),MAX(0,Mortgage!$H$5*(1+(Mortgage!$B$7/12))^A32-Mortgage!$H$8*((1+(Mortgage!$B$7/12))^A32-1)/(Mortgage!$B$7/12))))</f>
        <v/>
      </c>
      <c r="T32" s="149">
        <f>IF(D32&gt;0.005,I32/Mortgage!$B$5,"")</f>
        <v/>
      </c>
      <c r="U32">
        <f>IF(A32&gt;Mortgage!$B$8*12,NA(),B32)</f>
        <v/>
      </c>
      <c r="V32">
        <f>IF(D32&gt;0.005,I32,NA())</f>
        <v/>
      </c>
      <c r="W32">
        <f>IF(A32&gt;Mortgage!$B$8*12,NA(),S32)</f>
        <v/>
      </c>
    </row>
    <row r="33">
      <c r="A33" s="129" t="n">
        <v>28</v>
      </c>
      <c r="B33" s="146">
        <f>EDATE(Mortgage!$B$9,A33-1)</f>
        <v/>
      </c>
      <c r="C33" s="129">
        <f>INT((A33-1)/12)+1</f>
        <v/>
      </c>
      <c r="D33" s="147">
        <f>IF(N(I32)&gt;0.005,I32,0)</f>
        <v/>
      </c>
      <c r="E33" s="147">
        <f>IF(D33&gt;0.005,D33*Mortgage!$B$7/12,0)</f>
        <v/>
      </c>
      <c r="F33" s="147">
        <f>IF(D33&gt;0.005,MIN(Mortgage!$H$8-E33,D33),0)</f>
        <v/>
      </c>
      <c r="G33" s="147">
        <f>IF(D33-F33&gt;0.005,MIN(D33-F33,Mortgage!$B$18+IF(MONTH(B33)=Mortgage!$B$20,Mortgage!$B$19,0)+SUMIFS(Mortgage!$E$6:$E$15,Mortgage!$D$6:$D$15,"&gt;="&amp;B33,Mortgage!$D$6:$D$15,"&lt;"&amp;EDATE(B33,1))+IF(Mortgage!$B$10="Bi-weekly (accelerated)",Mortgage!$H$8/12,0)),0)</f>
        <v/>
      </c>
      <c r="H33" s="147">
        <f>F33+G33</f>
        <v/>
      </c>
      <c r="I33" s="148">
        <f>D33-H33</f>
        <v/>
      </c>
      <c r="J33" s="147">
        <f>E33+F33+G33</f>
        <v/>
      </c>
      <c r="K33" s="147">
        <f>IF(AND(D33&gt;0.005,Mortgage!$H$7&gt;0.8,D33/Mortgage!$B$5&gt;Mortgage!$B$14),Mortgage!$H$5*Mortgage!$B$13/12,0)</f>
        <v/>
      </c>
      <c r="L33" s="147">
        <f>IF(D33&gt;0.005,Mortgage!$B$11/12*(1+Mortgage!$B$16)^(C33-1),0)</f>
        <v/>
      </c>
      <c r="M33" s="147">
        <f>IF(D33&gt;0.005,Mortgage!$B$12/12*(1+Mortgage!$B$16)^(C33-1),0)</f>
        <v/>
      </c>
      <c r="N33" s="147">
        <f>IF(D33&gt;0.005,Mortgage!$B$15,0)</f>
        <v/>
      </c>
      <c r="O33" s="147">
        <f>J33+K33+L33+M33+N33</f>
        <v/>
      </c>
      <c r="P33" s="147">
        <f>P32+E33</f>
        <v/>
      </c>
      <c r="Q33" s="147">
        <f>IF(D33&gt;0.005,Mortgage!$B$5*(1+Mortgage!$B$17)^(A33/12),"")</f>
        <v/>
      </c>
      <c r="R33" s="147">
        <f>IF(D33&gt;0.005,Q33-I33,"")</f>
        <v/>
      </c>
      <c r="S33" s="147">
        <f>IF(A33&gt;Mortgage!$B$8*12,0,IF(Mortgage!$B$7=0,MAX(0,Mortgage!$H$5-Mortgage!$H$8*A33),MAX(0,Mortgage!$H$5*(1+(Mortgage!$B$7/12))^A33-Mortgage!$H$8*((1+(Mortgage!$B$7/12))^A33-1)/(Mortgage!$B$7/12))))</f>
        <v/>
      </c>
      <c r="T33" s="149">
        <f>IF(D33&gt;0.005,I33/Mortgage!$B$5,"")</f>
        <v/>
      </c>
      <c r="U33">
        <f>IF(A33&gt;Mortgage!$B$8*12,NA(),B33)</f>
        <v/>
      </c>
      <c r="V33">
        <f>IF(D33&gt;0.005,I33,NA())</f>
        <v/>
      </c>
      <c r="W33">
        <f>IF(A33&gt;Mortgage!$B$8*12,NA(),S33)</f>
        <v/>
      </c>
    </row>
    <row r="34">
      <c r="A34" s="129" t="n">
        <v>29</v>
      </c>
      <c r="B34" s="146">
        <f>EDATE(Mortgage!$B$9,A34-1)</f>
        <v/>
      </c>
      <c r="C34" s="129">
        <f>INT((A34-1)/12)+1</f>
        <v/>
      </c>
      <c r="D34" s="147">
        <f>IF(N(I33)&gt;0.005,I33,0)</f>
        <v/>
      </c>
      <c r="E34" s="147">
        <f>IF(D34&gt;0.005,D34*Mortgage!$B$7/12,0)</f>
        <v/>
      </c>
      <c r="F34" s="147">
        <f>IF(D34&gt;0.005,MIN(Mortgage!$H$8-E34,D34),0)</f>
        <v/>
      </c>
      <c r="G34" s="147">
        <f>IF(D34-F34&gt;0.005,MIN(D34-F34,Mortgage!$B$18+IF(MONTH(B34)=Mortgage!$B$20,Mortgage!$B$19,0)+SUMIFS(Mortgage!$E$6:$E$15,Mortgage!$D$6:$D$15,"&gt;="&amp;B34,Mortgage!$D$6:$D$15,"&lt;"&amp;EDATE(B34,1))+IF(Mortgage!$B$10="Bi-weekly (accelerated)",Mortgage!$H$8/12,0)),0)</f>
        <v/>
      </c>
      <c r="H34" s="147">
        <f>F34+G34</f>
        <v/>
      </c>
      <c r="I34" s="148">
        <f>D34-H34</f>
        <v/>
      </c>
      <c r="J34" s="147">
        <f>E34+F34+G34</f>
        <v/>
      </c>
      <c r="K34" s="147">
        <f>IF(AND(D34&gt;0.005,Mortgage!$H$7&gt;0.8,D34/Mortgage!$B$5&gt;Mortgage!$B$14),Mortgage!$H$5*Mortgage!$B$13/12,0)</f>
        <v/>
      </c>
      <c r="L34" s="147">
        <f>IF(D34&gt;0.005,Mortgage!$B$11/12*(1+Mortgage!$B$16)^(C34-1),0)</f>
        <v/>
      </c>
      <c r="M34" s="147">
        <f>IF(D34&gt;0.005,Mortgage!$B$12/12*(1+Mortgage!$B$16)^(C34-1),0)</f>
        <v/>
      </c>
      <c r="N34" s="147">
        <f>IF(D34&gt;0.005,Mortgage!$B$15,0)</f>
        <v/>
      </c>
      <c r="O34" s="147">
        <f>J34+K34+L34+M34+N34</f>
        <v/>
      </c>
      <c r="P34" s="147">
        <f>P33+E34</f>
        <v/>
      </c>
      <c r="Q34" s="147">
        <f>IF(D34&gt;0.005,Mortgage!$B$5*(1+Mortgage!$B$17)^(A34/12),"")</f>
        <v/>
      </c>
      <c r="R34" s="147">
        <f>IF(D34&gt;0.005,Q34-I34,"")</f>
        <v/>
      </c>
      <c r="S34" s="147">
        <f>IF(A34&gt;Mortgage!$B$8*12,0,IF(Mortgage!$B$7=0,MAX(0,Mortgage!$H$5-Mortgage!$H$8*A34),MAX(0,Mortgage!$H$5*(1+(Mortgage!$B$7/12))^A34-Mortgage!$H$8*((1+(Mortgage!$B$7/12))^A34-1)/(Mortgage!$B$7/12))))</f>
        <v/>
      </c>
      <c r="T34" s="149">
        <f>IF(D34&gt;0.005,I34/Mortgage!$B$5,"")</f>
        <v/>
      </c>
      <c r="U34">
        <f>IF(A34&gt;Mortgage!$B$8*12,NA(),B34)</f>
        <v/>
      </c>
      <c r="V34">
        <f>IF(D34&gt;0.005,I34,NA())</f>
        <v/>
      </c>
      <c r="W34">
        <f>IF(A34&gt;Mortgage!$B$8*12,NA(),S34)</f>
        <v/>
      </c>
    </row>
    <row r="35">
      <c r="A35" s="129" t="n">
        <v>30</v>
      </c>
      <c r="B35" s="146">
        <f>EDATE(Mortgage!$B$9,A35-1)</f>
        <v/>
      </c>
      <c r="C35" s="129">
        <f>INT((A35-1)/12)+1</f>
        <v/>
      </c>
      <c r="D35" s="147">
        <f>IF(N(I34)&gt;0.005,I34,0)</f>
        <v/>
      </c>
      <c r="E35" s="147">
        <f>IF(D35&gt;0.005,D35*Mortgage!$B$7/12,0)</f>
        <v/>
      </c>
      <c r="F35" s="147">
        <f>IF(D35&gt;0.005,MIN(Mortgage!$H$8-E35,D35),0)</f>
        <v/>
      </c>
      <c r="G35" s="147">
        <f>IF(D35-F35&gt;0.005,MIN(D35-F35,Mortgage!$B$18+IF(MONTH(B35)=Mortgage!$B$20,Mortgage!$B$19,0)+SUMIFS(Mortgage!$E$6:$E$15,Mortgage!$D$6:$D$15,"&gt;="&amp;B35,Mortgage!$D$6:$D$15,"&lt;"&amp;EDATE(B35,1))+IF(Mortgage!$B$10="Bi-weekly (accelerated)",Mortgage!$H$8/12,0)),0)</f>
        <v/>
      </c>
      <c r="H35" s="147">
        <f>F35+G35</f>
        <v/>
      </c>
      <c r="I35" s="148">
        <f>D35-H35</f>
        <v/>
      </c>
      <c r="J35" s="147">
        <f>E35+F35+G35</f>
        <v/>
      </c>
      <c r="K35" s="147">
        <f>IF(AND(D35&gt;0.005,Mortgage!$H$7&gt;0.8,D35/Mortgage!$B$5&gt;Mortgage!$B$14),Mortgage!$H$5*Mortgage!$B$13/12,0)</f>
        <v/>
      </c>
      <c r="L35" s="147">
        <f>IF(D35&gt;0.005,Mortgage!$B$11/12*(1+Mortgage!$B$16)^(C35-1),0)</f>
        <v/>
      </c>
      <c r="M35" s="147">
        <f>IF(D35&gt;0.005,Mortgage!$B$12/12*(1+Mortgage!$B$16)^(C35-1),0)</f>
        <v/>
      </c>
      <c r="N35" s="147">
        <f>IF(D35&gt;0.005,Mortgage!$B$15,0)</f>
        <v/>
      </c>
      <c r="O35" s="147">
        <f>J35+K35+L35+M35+N35</f>
        <v/>
      </c>
      <c r="P35" s="147">
        <f>P34+E35</f>
        <v/>
      </c>
      <c r="Q35" s="147">
        <f>IF(D35&gt;0.005,Mortgage!$B$5*(1+Mortgage!$B$17)^(A35/12),"")</f>
        <v/>
      </c>
      <c r="R35" s="147">
        <f>IF(D35&gt;0.005,Q35-I35,"")</f>
        <v/>
      </c>
      <c r="S35" s="147">
        <f>IF(A35&gt;Mortgage!$B$8*12,0,IF(Mortgage!$B$7=0,MAX(0,Mortgage!$H$5-Mortgage!$H$8*A35),MAX(0,Mortgage!$H$5*(1+(Mortgage!$B$7/12))^A35-Mortgage!$H$8*((1+(Mortgage!$B$7/12))^A35-1)/(Mortgage!$B$7/12))))</f>
        <v/>
      </c>
      <c r="T35" s="149">
        <f>IF(D35&gt;0.005,I35/Mortgage!$B$5,"")</f>
        <v/>
      </c>
      <c r="U35">
        <f>IF(A35&gt;Mortgage!$B$8*12,NA(),B35)</f>
        <v/>
      </c>
      <c r="V35">
        <f>IF(D35&gt;0.005,I35,NA())</f>
        <v/>
      </c>
      <c r="W35">
        <f>IF(A35&gt;Mortgage!$B$8*12,NA(),S35)</f>
        <v/>
      </c>
    </row>
    <row r="36">
      <c r="A36" s="129" t="n">
        <v>31</v>
      </c>
      <c r="B36" s="146">
        <f>EDATE(Mortgage!$B$9,A36-1)</f>
        <v/>
      </c>
      <c r="C36" s="129">
        <f>INT((A36-1)/12)+1</f>
        <v/>
      </c>
      <c r="D36" s="147">
        <f>IF(N(I35)&gt;0.005,I35,0)</f>
        <v/>
      </c>
      <c r="E36" s="147">
        <f>IF(D36&gt;0.005,D36*Mortgage!$B$7/12,0)</f>
        <v/>
      </c>
      <c r="F36" s="147">
        <f>IF(D36&gt;0.005,MIN(Mortgage!$H$8-E36,D36),0)</f>
        <v/>
      </c>
      <c r="G36" s="147">
        <f>IF(D36-F36&gt;0.005,MIN(D36-F36,Mortgage!$B$18+IF(MONTH(B36)=Mortgage!$B$20,Mortgage!$B$19,0)+SUMIFS(Mortgage!$E$6:$E$15,Mortgage!$D$6:$D$15,"&gt;="&amp;B36,Mortgage!$D$6:$D$15,"&lt;"&amp;EDATE(B36,1))+IF(Mortgage!$B$10="Bi-weekly (accelerated)",Mortgage!$H$8/12,0)),0)</f>
        <v/>
      </c>
      <c r="H36" s="147">
        <f>F36+G36</f>
        <v/>
      </c>
      <c r="I36" s="148">
        <f>D36-H36</f>
        <v/>
      </c>
      <c r="J36" s="147">
        <f>E36+F36+G36</f>
        <v/>
      </c>
      <c r="K36" s="147">
        <f>IF(AND(D36&gt;0.005,Mortgage!$H$7&gt;0.8,D36/Mortgage!$B$5&gt;Mortgage!$B$14),Mortgage!$H$5*Mortgage!$B$13/12,0)</f>
        <v/>
      </c>
      <c r="L36" s="147">
        <f>IF(D36&gt;0.005,Mortgage!$B$11/12*(1+Mortgage!$B$16)^(C36-1),0)</f>
        <v/>
      </c>
      <c r="M36" s="147">
        <f>IF(D36&gt;0.005,Mortgage!$B$12/12*(1+Mortgage!$B$16)^(C36-1),0)</f>
        <v/>
      </c>
      <c r="N36" s="147">
        <f>IF(D36&gt;0.005,Mortgage!$B$15,0)</f>
        <v/>
      </c>
      <c r="O36" s="147">
        <f>J36+K36+L36+M36+N36</f>
        <v/>
      </c>
      <c r="P36" s="147">
        <f>P35+E36</f>
        <v/>
      </c>
      <c r="Q36" s="147">
        <f>IF(D36&gt;0.005,Mortgage!$B$5*(1+Mortgage!$B$17)^(A36/12),"")</f>
        <v/>
      </c>
      <c r="R36" s="147">
        <f>IF(D36&gt;0.005,Q36-I36,"")</f>
        <v/>
      </c>
      <c r="S36" s="147">
        <f>IF(A36&gt;Mortgage!$B$8*12,0,IF(Mortgage!$B$7=0,MAX(0,Mortgage!$H$5-Mortgage!$H$8*A36),MAX(0,Mortgage!$H$5*(1+(Mortgage!$B$7/12))^A36-Mortgage!$H$8*((1+(Mortgage!$B$7/12))^A36-1)/(Mortgage!$B$7/12))))</f>
        <v/>
      </c>
      <c r="T36" s="149">
        <f>IF(D36&gt;0.005,I36/Mortgage!$B$5,"")</f>
        <v/>
      </c>
      <c r="U36">
        <f>IF(A36&gt;Mortgage!$B$8*12,NA(),B36)</f>
        <v/>
      </c>
      <c r="V36">
        <f>IF(D36&gt;0.005,I36,NA())</f>
        <v/>
      </c>
      <c r="W36">
        <f>IF(A36&gt;Mortgage!$B$8*12,NA(),S36)</f>
        <v/>
      </c>
    </row>
    <row r="37">
      <c r="A37" s="129" t="n">
        <v>32</v>
      </c>
      <c r="B37" s="146">
        <f>EDATE(Mortgage!$B$9,A37-1)</f>
        <v/>
      </c>
      <c r="C37" s="129">
        <f>INT((A37-1)/12)+1</f>
        <v/>
      </c>
      <c r="D37" s="147">
        <f>IF(N(I36)&gt;0.005,I36,0)</f>
        <v/>
      </c>
      <c r="E37" s="147">
        <f>IF(D37&gt;0.005,D37*Mortgage!$B$7/12,0)</f>
        <v/>
      </c>
      <c r="F37" s="147">
        <f>IF(D37&gt;0.005,MIN(Mortgage!$H$8-E37,D37),0)</f>
        <v/>
      </c>
      <c r="G37" s="147">
        <f>IF(D37-F37&gt;0.005,MIN(D37-F37,Mortgage!$B$18+IF(MONTH(B37)=Mortgage!$B$20,Mortgage!$B$19,0)+SUMIFS(Mortgage!$E$6:$E$15,Mortgage!$D$6:$D$15,"&gt;="&amp;B37,Mortgage!$D$6:$D$15,"&lt;"&amp;EDATE(B37,1))+IF(Mortgage!$B$10="Bi-weekly (accelerated)",Mortgage!$H$8/12,0)),0)</f>
        <v/>
      </c>
      <c r="H37" s="147">
        <f>F37+G37</f>
        <v/>
      </c>
      <c r="I37" s="148">
        <f>D37-H37</f>
        <v/>
      </c>
      <c r="J37" s="147">
        <f>E37+F37+G37</f>
        <v/>
      </c>
      <c r="K37" s="147">
        <f>IF(AND(D37&gt;0.005,Mortgage!$H$7&gt;0.8,D37/Mortgage!$B$5&gt;Mortgage!$B$14),Mortgage!$H$5*Mortgage!$B$13/12,0)</f>
        <v/>
      </c>
      <c r="L37" s="147">
        <f>IF(D37&gt;0.005,Mortgage!$B$11/12*(1+Mortgage!$B$16)^(C37-1),0)</f>
        <v/>
      </c>
      <c r="M37" s="147">
        <f>IF(D37&gt;0.005,Mortgage!$B$12/12*(1+Mortgage!$B$16)^(C37-1),0)</f>
        <v/>
      </c>
      <c r="N37" s="147">
        <f>IF(D37&gt;0.005,Mortgage!$B$15,0)</f>
        <v/>
      </c>
      <c r="O37" s="147">
        <f>J37+K37+L37+M37+N37</f>
        <v/>
      </c>
      <c r="P37" s="147">
        <f>P36+E37</f>
        <v/>
      </c>
      <c r="Q37" s="147">
        <f>IF(D37&gt;0.005,Mortgage!$B$5*(1+Mortgage!$B$17)^(A37/12),"")</f>
        <v/>
      </c>
      <c r="R37" s="147">
        <f>IF(D37&gt;0.005,Q37-I37,"")</f>
        <v/>
      </c>
      <c r="S37" s="147">
        <f>IF(A37&gt;Mortgage!$B$8*12,0,IF(Mortgage!$B$7=0,MAX(0,Mortgage!$H$5-Mortgage!$H$8*A37),MAX(0,Mortgage!$H$5*(1+(Mortgage!$B$7/12))^A37-Mortgage!$H$8*((1+(Mortgage!$B$7/12))^A37-1)/(Mortgage!$B$7/12))))</f>
        <v/>
      </c>
      <c r="T37" s="149">
        <f>IF(D37&gt;0.005,I37/Mortgage!$B$5,"")</f>
        <v/>
      </c>
      <c r="U37">
        <f>IF(A37&gt;Mortgage!$B$8*12,NA(),B37)</f>
        <v/>
      </c>
      <c r="V37">
        <f>IF(D37&gt;0.005,I37,NA())</f>
        <v/>
      </c>
      <c r="W37">
        <f>IF(A37&gt;Mortgage!$B$8*12,NA(),S37)</f>
        <v/>
      </c>
    </row>
    <row r="38">
      <c r="A38" s="129" t="n">
        <v>33</v>
      </c>
      <c r="B38" s="146">
        <f>EDATE(Mortgage!$B$9,A38-1)</f>
        <v/>
      </c>
      <c r="C38" s="129">
        <f>INT((A38-1)/12)+1</f>
        <v/>
      </c>
      <c r="D38" s="147">
        <f>IF(N(I37)&gt;0.005,I37,0)</f>
        <v/>
      </c>
      <c r="E38" s="147">
        <f>IF(D38&gt;0.005,D38*Mortgage!$B$7/12,0)</f>
        <v/>
      </c>
      <c r="F38" s="147">
        <f>IF(D38&gt;0.005,MIN(Mortgage!$H$8-E38,D38),0)</f>
        <v/>
      </c>
      <c r="G38" s="147">
        <f>IF(D38-F38&gt;0.005,MIN(D38-F38,Mortgage!$B$18+IF(MONTH(B38)=Mortgage!$B$20,Mortgage!$B$19,0)+SUMIFS(Mortgage!$E$6:$E$15,Mortgage!$D$6:$D$15,"&gt;="&amp;B38,Mortgage!$D$6:$D$15,"&lt;"&amp;EDATE(B38,1))+IF(Mortgage!$B$10="Bi-weekly (accelerated)",Mortgage!$H$8/12,0)),0)</f>
        <v/>
      </c>
      <c r="H38" s="147">
        <f>F38+G38</f>
        <v/>
      </c>
      <c r="I38" s="148">
        <f>D38-H38</f>
        <v/>
      </c>
      <c r="J38" s="147">
        <f>E38+F38+G38</f>
        <v/>
      </c>
      <c r="K38" s="147">
        <f>IF(AND(D38&gt;0.005,Mortgage!$H$7&gt;0.8,D38/Mortgage!$B$5&gt;Mortgage!$B$14),Mortgage!$H$5*Mortgage!$B$13/12,0)</f>
        <v/>
      </c>
      <c r="L38" s="147">
        <f>IF(D38&gt;0.005,Mortgage!$B$11/12*(1+Mortgage!$B$16)^(C38-1),0)</f>
        <v/>
      </c>
      <c r="M38" s="147">
        <f>IF(D38&gt;0.005,Mortgage!$B$12/12*(1+Mortgage!$B$16)^(C38-1),0)</f>
        <v/>
      </c>
      <c r="N38" s="147">
        <f>IF(D38&gt;0.005,Mortgage!$B$15,0)</f>
        <v/>
      </c>
      <c r="O38" s="147">
        <f>J38+K38+L38+M38+N38</f>
        <v/>
      </c>
      <c r="P38" s="147">
        <f>P37+E38</f>
        <v/>
      </c>
      <c r="Q38" s="147">
        <f>IF(D38&gt;0.005,Mortgage!$B$5*(1+Mortgage!$B$17)^(A38/12),"")</f>
        <v/>
      </c>
      <c r="R38" s="147">
        <f>IF(D38&gt;0.005,Q38-I38,"")</f>
        <v/>
      </c>
      <c r="S38" s="147">
        <f>IF(A38&gt;Mortgage!$B$8*12,0,IF(Mortgage!$B$7=0,MAX(0,Mortgage!$H$5-Mortgage!$H$8*A38),MAX(0,Mortgage!$H$5*(1+(Mortgage!$B$7/12))^A38-Mortgage!$H$8*((1+(Mortgage!$B$7/12))^A38-1)/(Mortgage!$B$7/12))))</f>
        <v/>
      </c>
      <c r="T38" s="149">
        <f>IF(D38&gt;0.005,I38/Mortgage!$B$5,"")</f>
        <v/>
      </c>
      <c r="U38">
        <f>IF(A38&gt;Mortgage!$B$8*12,NA(),B38)</f>
        <v/>
      </c>
      <c r="V38">
        <f>IF(D38&gt;0.005,I38,NA())</f>
        <v/>
      </c>
      <c r="W38">
        <f>IF(A38&gt;Mortgage!$B$8*12,NA(),S38)</f>
        <v/>
      </c>
    </row>
    <row r="39">
      <c r="A39" s="129" t="n">
        <v>34</v>
      </c>
      <c r="B39" s="146">
        <f>EDATE(Mortgage!$B$9,A39-1)</f>
        <v/>
      </c>
      <c r="C39" s="129">
        <f>INT((A39-1)/12)+1</f>
        <v/>
      </c>
      <c r="D39" s="147">
        <f>IF(N(I38)&gt;0.005,I38,0)</f>
        <v/>
      </c>
      <c r="E39" s="147">
        <f>IF(D39&gt;0.005,D39*Mortgage!$B$7/12,0)</f>
        <v/>
      </c>
      <c r="F39" s="147">
        <f>IF(D39&gt;0.005,MIN(Mortgage!$H$8-E39,D39),0)</f>
        <v/>
      </c>
      <c r="G39" s="147">
        <f>IF(D39-F39&gt;0.005,MIN(D39-F39,Mortgage!$B$18+IF(MONTH(B39)=Mortgage!$B$20,Mortgage!$B$19,0)+SUMIFS(Mortgage!$E$6:$E$15,Mortgage!$D$6:$D$15,"&gt;="&amp;B39,Mortgage!$D$6:$D$15,"&lt;"&amp;EDATE(B39,1))+IF(Mortgage!$B$10="Bi-weekly (accelerated)",Mortgage!$H$8/12,0)),0)</f>
        <v/>
      </c>
      <c r="H39" s="147">
        <f>F39+G39</f>
        <v/>
      </c>
      <c r="I39" s="148">
        <f>D39-H39</f>
        <v/>
      </c>
      <c r="J39" s="147">
        <f>E39+F39+G39</f>
        <v/>
      </c>
      <c r="K39" s="147">
        <f>IF(AND(D39&gt;0.005,Mortgage!$H$7&gt;0.8,D39/Mortgage!$B$5&gt;Mortgage!$B$14),Mortgage!$H$5*Mortgage!$B$13/12,0)</f>
        <v/>
      </c>
      <c r="L39" s="147">
        <f>IF(D39&gt;0.005,Mortgage!$B$11/12*(1+Mortgage!$B$16)^(C39-1),0)</f>
        <v/>
      </c>
      <c r="M39" s="147">
        <f>IF(D39&gt;0.005,Mortgage!$B$12/12*(1+Mortgage!$B$16)^(C39-1),0)</f>
        <v/>
      </c>
      <c r="N39" s="147">
        <f>IF(D39&gt;0.005,Mortgage!$B$15,0)</f>
        <v/>
      </c>
      <c r="O39" s="147">
        <f>J39+K39+L39+M39+N39</f>
        <v/>
      </c>
      <c r="P39" s="147">
        <f>P38+E39</f>
        <v/>
      </c>
      <c r="Q39" s="147">
        <f>IF(D39&gt;0.005,Mortgage!$B$5*(1+Mortgage!$B$17)^(A39/12),"")</f>
        <v/>
      </c>
      <c r="R39" s="147">
        <f>IF(D39&gt;0.005,Q39-I39,"")</f>
        <v/>
      </c>
      <c r="S39" s="147">
        <f>IF(A39&gt;Mortgage!$B$8*12,0,IF(Mortgage!$B$7=0,MAX(0,Mortgage!$H$5-Mortgage!$H$8*A39),MAX(0,Mortgage!$H$5*(1+(Mortgage!$B$7/12))^A39-Mortgage!$H$8*((1+(Mortgage!$B$7/12))^A39-1)/(Mortgage!$B$7/12))))</f>
        <v/>
      </c>
      <c r="T39" s="149">
        <f>IF(D39&gt;0.005,I39/Mortgage!$B$5,"")</f>
        <v/>
      </c>
      <c r="U39">
        <f>IF(A39&gt;Mortgage!$B$8*12,NA(),B39)</f>
        <v/>
      </c>
      <c r="V39">
        <f>IF(D39&gt;0.005,I39,NA())</f>
        <v/>
      </c>
      <c r="W39">
        <f>IF(A39&gt;Mortgage!$B$8*12,NA(),S39)</f>
        <v/>
      </c>
    </row>
    <row r="40">
      <c r="A40" s="129" t="n">
        <v>35</v>
      </c>
      <c r="B40" s="146">
        <f>EDATE(Mortgage!$B$9,A40-1)</f>
        <v/>
      </c>
      <c r="C40" s="129">
        <f>INT((A40-1)/12)+1</f>
        <v/>
      </c>
      <c r="D40" s="147">
        <f>IF(N(I39)&gt;0.005,I39,0)</f>
        <v/>
      </c>
      <c r="E40" s="147">
        <f>IF(D40&gt;0.005,D40*Mortgage!$B$7/12,0)</f>
        <v/>
      </c>
      <c r="F40" s="147">
        <f>IF(D40&gt;0.005,MIN(Mortgage!$H$8-E40,D40),0)</f>
        <v/>
      </c>
      <c r="G40" s="147">
        <f>IF(D40-F40&gt;0.005,MIN(D40-F40,Mortgage!$B$18+IF(MONTH(B40)=Mortgage!$B$20,Mortgage!$B$19,0)+SUMIFS(Mortgage!$E$6:$E$15,Mortgage!$D$6:$D$15,"&gt;="&amp;B40,Mortgage!$D$6:$D$15,"&lt;"&amp;EDATE(B40,1))+IF(Mortgage!$B$10="Bi-weekly (accelerated)",Mortgage!$H$8/12,0)),0)</f>
        <v/>
      </c>
      <c r="H40" s="147">
        <f>F40+G40</f>
        <v/>
      </c>
      <c r="I40" s="148">
        <f>D40-H40</f>
        <v/>
      </c>
      <c r="J40" s="147">
        <f>E40+F40+G40</f>
        <v/>
      </c>
      <c r="K40" s="147">
        <f>IF(AND(D40&gt;0.005,Mortgage!$H$7&gt;0.8,D40/Mortgage!$B$5&gt;Mortgage!$B$14),Mortgage!$H$5*Mortgage!$B$13/12,0)</f>
        <v/>
      </c>
      <c r="L40" s="147">
        <f>IF(D40&gt;0.005,Mortgage!$B$11/12*(1+Mortgage!$B$16)^(C40-1),0)</f>
        <v/>
      </c>
      <c r="M40" s="147">
        <f>IF(D40&gt;0.005,Mortgage!$B$12/12*(1+Mortgage!$B$16)^(C40-1),0)</f>
        <v/>
      </c>
      <c r="N40" s="147">
        <f>IF(D40&gt;0.005,Mortgage!$B$15,0)</f>
        <v/>
      </c>
      <c r="O40" s="147">
        <f>J40+K40+L40+M40+N40</f>
        <v/>
      </c>
      <c r="P40" s="147">
        <f>P39+E40</f>
        <v/>
      </c>
      <c r="Q40" s="147">
        <f>IF(D40&gt;0.005,Mortgage!$B$5*(1+Mortgage!$B$17)^(A40/12),"")</f>
        <v/>
      </c>
      <c r="R40" s="147">
        <f>IF(D40&gt;0.005,Q40-I40,"")</f>
        <v/>
      </c>
      <c r="S40" s="147">
        <f>IF(A40&gt;Mortgage!$B$8*12,0,IF(Mortgage!$B$7=0,MAX(0,Mortgage!$H$5-Mortgage!$H$8*A40),MAX(0,Mortgage!$H$5*(1+(Mortgage!$B$7/12))^A40-Mortgage!$H$8*((1+(Mortgage!$B$7/12))^A40-1)/(Mortgage!$B$7/12))))</f>
        <v/>
      </c>
      <c r="T40" s="149">
        <f>IF(D40&gt;0.005,I40/Mortgage!$B$5,"")</f>
        <v/>
      </c>
      <c r="U40">
        <f>IF(A40&gt;Mortgage!$B$8*12,NA(),B40)</f>
        <v/>
      </c>
      <c r="V40">
        <f>IF(D40&gt;0.005,I40,NA())</f>
        <v/>
      </c>
      <c r="W40">
        <f>IF(A40&gt;Mortgage!$B$8*12,NA(),S40)</f>
        <v/>
      </c>
    </row>
    <row r="41">
      <c r="A41" s="129" t="n">
        <v>36</v>
      </c>
      <c r="B41" s="146">
        <f>EDATE(Mortgage!$B$9,A41-1)</f>
        <v/>
      </c>
      <c r="C41" s="129">
        <f>INT((A41-1)/12)+1</f>
        <v/>
      </c>
      <c r="D41" s="147">
        <f>IF(N(I40)&gt;0.005,I40,0)</f>
        <v/>
      </c>
      <c r="E41" s="147">
        <f>IF(D41&gt;0.005,D41*Mortgage!$B$7/12,0)</f>
        <v/>
      </c>
      <c r="F41" s="147">
        <f>IF(D41&gt;0.005,MIN(Mortgage!$H$8-E41,D41),0)</f>
        <v/>
      </c>
      <c r="G41" s="147">
        <f>IF(D41-F41&gt;0.005,MIN(D41-F41,Mortgage!$B$18+IF(MONTH(B41)=Mortgage!$B$20,Mortgage!$B$19,0)+SUMIFS(Mortgage!$E$6:$E$15,Mortgage!$D$6:$D$15,"&gt;="&amp;B41,Mortgage!$D$6:$D$15,"&lt;"&amp;EDATE(B41,1))+IF(Mortgage!$B$10="Bi-weekly (accelerated)",Mortgage!$H$8/12,0)),0)</f>
        <v/>
      </c>
      <c r="H41" s="147">
        <f>F41+G41</f>
        <v/>
      </c>
      <c r="I41" s="148">
        <f>D41-H41</f>
        <v/>
      </c>
      <c r="J41" s="147">
        <f>E41+F41+G41</f>
        <v/>
      </c>
      <c r="K41" s="147">
        <f>IF(AND(D41&gt;0.005,Mortgage!$H$7&gt;0.8,D41/Mortgage!$B$5&gt;Mortgage!$B$14),Mortgage!$H$5*Mortgage!$B$13/12,0)</f>
        <v/>
      </c>
      <c r="L41" s="147">
        <f>IF(D41&gt;0.005,Mortgage!$B$11/12*(1+Mortgage!$B$16)^(C41-1),0)</f>
        <v/>
      </c>
      <c r="M41" s="147">
        <f>IF(D41&gt;0.005,Mortgage!$B$12/12*(1+Mortgage!$B$16)^(C41-1),0)</f>
        <v/>
      </c>
      <c r="N41" s="147">
        <f>IF(D41&gt;0.005,Mortgage!$B$15,0)</f>
        <v/>
      </c>
      <c r="O41" s="147">
        <f>J41+K41+L41+M41+N41</f>
        <v/>
      </c>
      <c r="P41" s="147">
        <f>P40+E41</f>
        <v/>
      </c>
      <c r="Q41" s="147">
        <f>IF(D41&gt;0.005,Mortgage!$B$5*(1+Mortgage!$B$17)^(A41/12),"")</f>
        <v/>
      </c>
      <c r="R41" s="147">
        <f>IF(D41&gt;0.005,Q41-I41,"")</f>
        <v/>
      </c>
      <c r="S41" s="147">
        <f>IF(A41&gt;Mortgage!$B$8*12,0,IF(Mortgage!$B$7=0,MAX(0,Mortgage!$H$5-Mortgage!$H$8*A41),MAX(0,Mortgage!$H$5*(1+(Mortgage!$B$7/12))^A41-Mortgage!$H$8*((1+(Mortgage!$B$7/12))^A41-1)/(Mortgage!$B$7/12))))</f>
        <v/>
      </c>
      <c r="T41" s="149">
        <f>IF(D41&gt;0.005,I41/Mortgage!$B$5,"")</f>
        <v/>
      </c>
      <c r="U41">
        <f>IF(A41&gt;Mortgage!$B$8*12,NA(),B41)</f>
        <v/>
      </c>
      <c r="V41">
        <f>IF(D41&gt;0.005,I41,NA())</f>
        <v/>
      </c>
      <c r="W41">
        <f>IF(A41&gt;Mortgage!$B$8*12,NA(),S41)</f>
        <v/>
      </c>
    </row>
    <row r="42">
      <c r="A42" s="129" t="n">
        <v>37</v>
      </c>
      <c r="B42" s="146">
        <f>EDATE(Mortgage!$B$9,A42-1)</f>
        <v/>
      </c>
      <c r="C42" s="129">
        <f>INT((A42-1)/12)+1</f>
        <v/>
      </c>
      <c r="D42" s="147">
        <f>IF(N(I41)&gt;0.005,I41,0)</f>
        <v/>
      </c>
      <c r="E42" s="147">
        <f>IF(D42&gt;0.005,D42*Mortgage!$B$7/12,0)</f>
        <v/>
      </c>
      <c r="F42" s="147">
        <f>IF(D42&gt;0.005,MIN(Mortgage!$H$8-E42,D42),0)</f>
        <v/>
      </c>
      <c r="G42" s="147">
        <f>IF(D42-F42&gt;0.005,MIN(D42-F42,Mortgage!$B$18+IF(MONTH(B42)=Mortgage!$B$20,Mortgage!$B$19,0)+SUMIFS(Mortgage!$E$6:$E$15,Mortgage!$D$6:$D$15,"&gt;="&amp;B42,Mortgage!$D$6:$D$15,"&lt;"&amp;EDATE(B42,1))+IF(Mortgage!$B$10="Bi-weekly (accelerated)",Mortgage!$H$8/12,0)),0)</f>
        <v/>
      </c>
      <c r="H42" s="147">
        <f>F42+G42</f>
        <v/>
      </c>
      <c r="I42" s="148">
        <f>D42-H42</f>
        <v/>
      </c>
      <c r="J42" s="147">
        <f>E42+F42+G42</f>
        <v/>
      </c>
      <c r="K42" s="147">
        <f>IF(AND(D42&gt;0.005,Mortgage!$H$7&gt;0.8,D42/Mortgage!$B$5&gt;Mortgage!$B$14),Mortgage!$H$5*Mortgage!$B$13/12,0)</f>
        <v/>
      </c>
      <c r="L42" s="147">
        <f>IF(D42&gt;0.005,Mortgage!$B$11/12*(1+Mortgage!$B$16)^(C42-1),0)</f>
        <v/>
      </c>
      <c r="M42" s="147">
        <f>IF(D42&gt;0.005,Mortgage!$B$12/12*(1+Mortgage!$B$16)^(C42-1),0)</f>
        <v/>
      </c>
      <c r="N42" s="147">
        <f>IF(D42&gt;0.005,Mortgage!$B$15,0)</f>
        <v/>
      </c>
      <c r="O42" s="147">
        <f>J42+K42+L42+M42+N42</f>
        <v/>
      </c>
      <c r="P42" s="147">
        <f>P41+E42</f>
        <v/>
      </c>
      <c r="Q42" s="147">
        <f>IF(D42&gt;0.005,Mortgage!$B$5*(1+Mortgage!$B$17)^(A42/12),"")</f>
        <v/>
      </c>
      <c r="R42" s="147">
        <f>IF(D42&gt;0.005,Q42-I42,"")</f>
        <v/>
      </c>
      <c r="S42" s="147">
        <f>IF(A42&gt;Mortgage!$B$8*12,0,IF(Mortgage!$B$7=0,MAX(0,Mortgage!$H$5-Mortgage!$H$8*A42),MAX(0,Mortgage!$H$5*(1+(Mortgage!$B$7/12))^A42-Mortgage!$H$8*((1+(Mortgage!$B$7/12))^A42-1)/(Mortgage!$B$7/12))))</f>
        <v/>
      </c>
      <c r="T42" s="149">
        <f>IF(D42&gt;0.005,I42/Mortgage!$B$5,"")</f>
        <v/>
      </c>
      <c r="U42">
        <f>IF(A42&gt;Mortgage!$B$8*12,NA(),B42)</f>
        <v/>
      </c>
      <c r="V42">
        <f>IF(D42&gt;0.005,I42,NA())</f>
        <v/>
      </c>
      <c r="W42">
        <f>IF(A42&gt;Mortgage!$B$8*12,NA(),S42)</f>
        <v/>
      </c>
    </row>
    <row r="43">
      <c r="A43" s="129" t="n">
        <v>38</v>
      </c>
      <c r="B43" s="146">
        <f>EDATE(Mortgage!$B$9,A43-1)</f>
        <v/>
      </c>
      <c r="C43" s="129">
        <f>INT((A43-1)/12)+1</f>
        <v/>
      </c>
      <c r="D43" s="147">
        <f>IF(N(I42)&gt;0.005,I42,0)</f>
        <v/>
      </c>
      <c r="E43" s="147">
        <f>IF(D43&gt;0.005,D43*Mortgage!$B$7/12,0)</f>
        <v/>
      </c>
      <c r="F43" s="147">
        <f>IF(D43&gt;0.005,MIN(Mortgage!$H$8-E43,D43),0)</f>
        <v/>
      </c>
      <c r="G43" s="147">
        <f>IF(D43-F43&gt;0.005,MIN(D43-F43,Mortgage!$B$18+IF(MONTH(B43)=Mortgage!$B$20,Mortgage!$B$19,0)+SUMIFS(Mortgage!$E$6:$E$15,Mortgage!$D$6:$D$15,"&gt;="&amp;B43,Mortgage!$D$6:$D$15,"&lt;"&amp;EDATE(B43,1))+IF(Mortgage!$B$10="Bi-weekly (accelerated)",Mortgage!$H$8/12,0)),0)</f>
        <v/>
      </c>
      <c r="H43" s="147">
        <f>F43+G43</f>
        <v/>
      </c>
      <c r="I43" s="148">
        <f>D43-H43</f>
        <v/>
      </c>
      <c r="J43" s="147">
        <f>E43+F43+G43</f>
        <v/>
      </c>
      <c r="K43" s="147">
        <f>IF(AND(D43&gt;0.005,Mortgage!$H$7&gt;0.8,D43/Mortgage!$B$5&gt;Mortgage!$B$14),Mortgage!$H$5*Mortgage!$B$13/12,0)</f>
        <v/>
      </c>
      <c r="L43" s="147">
        <f>IF(D43&gt;0.005,Mortgage!$B$11/12*(1+Mortgage!$B$16)^(C43-1),0)</f>
        <v/>
      </c>
      <c r="M43" s="147">
        <f>IF(D43&gt;0.005,Mortgage!$B$12/12*(1+Mortgage!$B$16)^(C43-1),0)</f>
        <v/>
      </c>
      <c r="N43" s="147">
        <f>IF(D43&gt;0.005,Mortgage!$B$15,0)</f>
        <v/>
      </c>
      <c r="O43" s="147">
        <f>J43+K43+L43+M43+N43</f>
        <v/>
      </c>
      <c r="P43" s="147">
        <f>P42+E43</f>
        <v/>
      </c>
      <c r="Q43" s="147">
        <f>IF(D43&gt;0.005,Mortgage!$B$5*(1+Mortgage!$B$17)^(A43/12),"")</f>
        <v/>
      </c>
      <c r="R43" s="147">
        <f>IF(D43&gt;0.005,Q43-I43,"")</f>
        <v/>
      </c>
      <c r="S43" s="147">
        <f>IF(A43&gt;Mortgage!$B$8*12,0,IF(Mortgage!$B$7=0,MAX(0,Mortgage!$H$5-Mortgage!$H$8*A43),MAX(0,Mortgage!$H$5*(1+(Mortgage!$B$7/12))^A43-Mortgage!$H$8*((1+(Mortgage!$B$7/12))^A43-1)/(Mortgage!$B$7/12))))</f>
        <v/>
      </c>
      <c r="T43" s="149">
        <f>IF(D43&gt;0.005,I43/Mortgage!$B$5,"")</f>
        <v/>
      </c>
      <c r="U43">
        <f>IF(A43&gt;Mortgage!$B$8*12,NA(),B43)</f>
        <v/>
      </c>
      <c r="V43">
        <f>IF(D43&gt;0.005,I43,NA())</f>
        <v/>
      </c>
      <c r="W43">
        <f>IF(A43&gt;Mortgage!$B$8*12,NA(),S43)</f>
        <v/>
      </c>
    </row>
    <row r="44">
      <c r="A44" s="129" t="n">
        <v>39</v>
      </c>
      <c r="B44" s="146">
        <f>EDATE(Mortgage!$B$9,A44-1)</f>
        <v/>
      </c>
      <c r="C44" s="129">
        <f>INT((A44-1)/12)+1</f>
        <v/>
      </c>
      <c r="D44" s="147">
        <f>IF(N(I43)&gt;0.005,I43,0)</f>
        <v/>
      </c>
      <c r="E44" s="147">
        <f>IF(D44&gt;0.005,D44*Mortgage!$B$7/12,0)</f>
        <v/>
      </c>
      <c r="F44" s="147">
        <f>IF(D44&gt;0.005,MIN(Mortgage!$H$8-E44,D44),0)</f>
        <v/>
      </c>
      <c r="G44" s="147">
        <f>IF(D44-F44&gt;0.005,MIN(D44-F44,Mortgage!$B$18+IF(MONTH(B44)=Mortgage!$B$20,Mortgage!$B$19,0)+SUMIFS(Mortgage!$E$6:$E$15,Mortgage!$D$6:$D$15,"&gt;="&amp;B44,Mortgage!$D$6:$D$15,"&lt;"&amp;EDATE(B44,1))+IF(Mortgage!$B$10="Bi-weekly (accelerated)",Mortgage!$H$8/12,0)),0)</f>
        <v/>
      </c>
      <c r="H44" s="147">
        <f>F44+G44</f>
        <v/>
      </c>
      <c r="I44" s="148">
        <f>D44-H44</f>
        <v/>
      </c>
      <c r="J44" s="147">
        <f>E44+F44+G44</f>
        <v/>
      </c>
      <c r="K44" s="147">
        <f>IF(AND(D44&gt;0.005,Mortgage!$H$7&gt;0.8,D44/Mortgage!$B$5&gt;Mortgage!$B$14),Mortgage!$H$5*Mortgage!$B$13/12,0)</f>
        <v/>
      </c>
      <c r="L44" s="147">
        <f>IF(D44&gt;0.005,Mortgage!$B$11/12*(1+Mortgage!$B$16)^(C44-1),0)</f>
        <v/>
      </c>
      <c r="M44" s="147">
        <f>IF(D44&gt;0.005,Mortgage!$B$12/12*(1+Mortgage!$B$16)^(C44-1),0)</f>
        <v/>
      </c>
      <c r="N44" s="147">
        <f>IF(D44&gt;0.005,Mortgage!$B$15,0)</f>
        <v/>
      </c>
      <c r="O44" s="147">
        <f>J44+K44+L44+M44+N44</f>
        <v/>
      </c>
      <c r="P44" s="147">
        <f>P43+E44</f>
        <v/>
      </c>
      <c r="Q44" s="147">
        <f>IF(D44&gt;0.005,Mortgage!$B$5*(1+Mortgage!$B$17)^(A44/12),"")</f>
        <v/>
      </c>
      <c r="R44" s="147">
        <f>IF(D44&gt;0.005,Q44-I44,"")</f>
        <v/>
      </c>
      <c r="S44" s="147">
        <f>IF(A44&gt;Mortgage!$B$8*12,0,IF(Mortgage!$B$7=0,MAX(0,Mortgage!$H$5-Mortgage!$H$8*A44),MAX(0,Mortgage!$H$5*(1+(Mortgage!$B$7/12))^A44-Mortgage!$H$8*((1+(Mortgage!$B$7/12))^A44-1)/(Mortgage!$B$7/12))))</f>
        <v/>
      </c>
      <c r="T44" s="149">
        <f>IF(D44&gt;0.005,I44/Mortgage!$B$5,"")</f>
        <v/>
      </c>
      <c r="U44">
        <f>IF(A44&gt;Mortgage!$B$8*12,NA(),B44)</f>
        <v/>
      </c>
      <c r="V44">
        <f>IF(D44&gt;0.005,I44,NA())</f>
        <v/>
      </c>
      <c r="W44">
        <f>IF(A44&gt;Mortgage!$B$8*12,NA(),S44)</f>
        <v/>
      </c>
    </row>
    <row r="45">
      <c r="A45" s="129" t="n">
        <v>40</v>
      </c>
      <c r="B45" s="146">
        <f>EDATE(Mortgage!$B$9,A45-1)</f>
        <v/>
      </c>
      <c r="C45" s="129">
        <f>INT((A45-1)/12)+1</f>
        <v/>
      </c>
      <c r="D45" s="147">
        <f>IF(N(I44)&gt;0.005,I44,0)</f>
        <v/>
      </c>
      <c r="E45" s="147">
        <f>IF(D45&gt;0.005,D45*Mortgage!$B$7/12,0)</f>
        <v/>
      </c>
      <c r="F45" s="147">
        <f>IF(D45&gt;0.005,MIN(Mortgage!$H$8-E45,D45),0)</f>
        <v/>
      </c>
      <c r="G45" s="147">
        <f>IF(D45-F45&gt;0.005,MIN(D45-F45,Mortgage!$B$18+IF(MONTH(B45)=Mortgage!$B$20,Mortgage!$B$19,0)+SUMIFS(Mortgage!$E$6:$E$15,Mortgage!$D$6:$D$15,"&gt;="&amp;B45,Mortgage!$D$6:$D$15,"&lt;"&amp;EDATE(B45,1))+IF(Mortgage!$B$10="Bi-weekly (accelerated)",Mortgage!$H$8/12,0)),0)</f>
        <v/>
      </c>
      <c r="H45" s="147">
        <f>F45+G45</f>
        <v/>
      </c>
      <c r="I45" s="148">
        <f>D45-H45</f>
        <v/>
      </c>
      <c r="J45" s="147">
        <f>E45+F45+G45</f>
        <v/>
      </c>
      <c r="K45" s="147">
        <f>IF(AND(D45&gt;0.005,Mortgage!$H$7&gt;0.8,D45/Mortgage!$B$5&gt;Mortgage!$B$14),Mortgage!$H$5*Mortgage!$B$13/12,0)</f>
        <v/>
      </c>
      <c r="L45" s="147">
        <f>IF(D45&gt;0.005,Mortgage!$B$11/12*(1+Mortgage!$B$16)^(C45-1),0)</f>
        <v/>
      </c>
      <c r="M45" s="147">
        <f>IF(D45&gt;0.005,Mortgage!$B$12/12*(1+Mortgage!$B$16)^(C45-1),0)</f>
        <v/>
      </c>
      <c r="N45" s="147">
        <f>IF(D45&gt;0.005,Mortgage!$B$15,0)</f>
        <v/>
      </c>
      <c r="O45" s="147">
        <f>J45+K45+L45+M45+N45</f>
        <v/>
      </c>
      <c r="P45" s="147">
        <f>P44+E45</f>
        <v/>
      </c>
      <c r="Q45" s="147">
        <f>IF(D45&gt;0.005,Mortgage!$B$5*(1+Mortgage!$B$17)^(A45/12),"")</f>
        <v/>
      </c>
      <c r="R45" s="147">
        <f>IF(D45&gt;0.005,Q45-I45,"")</f>
        <v/>
      </c>
      <c r="S45" s="147">
        <f>IF(A45&gt;Mortgage!$B$8*12,0,IF(Mortgage!$B$7=0,MAX(0,Mortgage!$H$5-Mortgage!$H$8*A45),MAX(0,Mortgage!$H$5*(1+(Mortgage!$B$7/12))^A45-Mortgage!$H$8*((1+(Mortgage!$B$7/12))^A45-1)/(Mortgage!$B$7/12))))</f>
        <v/>
      </c>
      <c r="T45" s="149">
        <f>IF(D45&gt;0.005,I45/Mortgage!$B$5,"")</f>
        <v/>
      </c>
      <c r="U45">
        <f>IF(A45&gt;Mortgage!$B$8*12,NA(),B45)</f>
        <v/>
      </c>
      <c r="V45">
        <f>IF(D45&gt;0.005,I45,NA())</f>
        <v/>
      </c>
      <c r="W45">
        <f>IF(A45&gt;Mortgage!$B$8*12,NA(),S45)</f>
        <v/>
      </c>
    </row>
    <row r="46">
      <c r="A46" s="129" t="n">
        <v>41</v>
      </c>
      <c r="B46" s="146">
        <f>EDATE(Mortgage!$B$9,A46-1)</f>
        <v/>
      </c>
      <c r="C46" s="129">
        <f>INT((A46-1)/12)+1</f>
        <v/>
      </c>
      <c r="D46" s="147">
        <f>IF(N(I45)&gt;0.005,I45,0)</f>
        <v/>
      </c>
      <c r="E46" s="147">
        <f>IF(D46&gt;0.005,D46*Mortgage!$B$7/12,0)</f>
        <v/>
      </c>
      <c r="F46" s="147">
        <f>IF(D46&gt;0.005,MIN(Mortgage!$H$8-E46,D46),0)</f>
        <v/>
      </c>
      <c r="G46" s="147">
        <f>IF(D46-F46&gt;0.005,MIN(D46-F46,Mortgage!$B$18+IF(MONTH(B46)=Mortgage!$B$20,Mortgage!$B$19,0)+SUMIFS(Mortgage!$E$6:$E$15,Mortgage!$D$6:$D$15,"&gt;="&amp;B46,Mortgage!$D$6:$D$15,"&lt;"&amp;EDATE(B46,1))+IF(Mortgage!$B$10="Bi-weekly (accelerated)",Mortgage!$H$8/12,0)),0)</f>
        <v/>
      </c>
      <c r="H46" s="147">
        <f>F46+G46</f>
        <v/>
      </c>
      <c r="I46" s="148">
        <f>D46-H46</f>
        <v/>
      </c>
      <c r="J46" s="147">
        <f>E46+F46+G46</f>
        <v/>
      </c>
      <c r="K46" s="147">
        <f>IF(AND(D46&gt;0.005,Mortgage!$H$7&gt;0.8,D46/Mortgage!$B$5&gt;Mortgage!$B$14),Mortgage!$H$5*Mortgage!$B$13/12,0)</f>
        <v/>
      </c>
      <c r="L46" s="147">
        <f>IF(D46&gt;0.005,Mortgage!$B$11/12*(1+Mortgage!$B$16)^(C46-1),0)</f>
        <v/>
      </c>
      <c r="M46" s="147">
        <f>IF(D46&gt;0.005,Mortgage!$B$12/12*(1+Mortgage!$B$16)^(C46-1),0)</f>
        <v/>
      </c>
      <c r="N46" s="147">
        <f>IF(D46&gt;0.005,Mortgage!$B$15,0)</f>
        <v/>
      </c>
      <c r="O46" s="147">
        <f>J46+K46+L46+M46+N46</f>
        <v/>
      </c>
      <c r="P46" s="147">
        <f>P45+E46</f>
        <v/>
      </c>
      <c r="Q46" s="147">
        <f>IF(D46&gt;0.005,Mortgage!$B$5*(1+Mortgage!$B$17)^(A46/12),"")</f>
        <v/>
      </c>
      <c r="R46" s="147">
        <f>IF(D46&gt;0.005,Q46-I46,"")</f>
        <v/>
      </c>
      <c r="S46" s="147">
        <f>IF(A46&gt;Mortgage!$B$8*12,0,IF(Mortgage!$B$7=0,MAX(0,Mortgage!$H$5-Mortgage!$H$8*A46),MAX(0,Mortgage!$H$5*(1+(Mortgage!$B$7/12))^A46-Mortgage!$H$8*((1+(Mortgage!$B$7/12))^A46-1)/(Mortgage!$B$7/12))))</f>
        <v/>
      </c>
      <c r="T46" s="149">
        <f>IF(D46&gt;0.005,I46/Mortgage!$B$5,"")</f>
        <v/>
      </c>
      <c r="U46">
        <f>IF(A46&gt;Mortgage!$B$8*12,NA(),B46)</f>
        <v/>
      </c>
      <c r="V46">
        <f>IF(D46&gt;0.005,I46,NA())</f>
        <v/>
      </c>
      <c r="W46">
        <f>IF(A46&gt;Mortgage!$B$8*12,NA(),S46)</f>
        <v/>
      </c>
    </row>
    <row r="47">
      <c r="A47" s="129" t="n">
        <v>42</v>
      </c>
      <c r="B47" s="146">
        <f>EDATE(Mortgage!$B$9,A47-1)</f>
        <v/>
      </c>
      <c r="C47" s="129">
        <f>INT((A47-1)/12)+1</f>
        <v/>
      </c>
      <c r="D47" s="147">
        <f>IF(N(I46)&gt;0.005,I46,0)</f>
        <v/>
      </c>
      <c r="E47" s="147">
        <f>IF(D47&gt;0.005,D47*Mortgage!$B$7/12,0)</f>
        <v/>
      </c>
      <c r="F47" s="147">
        <f>IF(D47&gt;0.005,MIN(Mortgage!$H$8-E47,D47),0)</f>
        <v/>
      </c>
      <c r="G47" s="147">
        <f>IF(D47-F47&gt;0.005,MIN(D47-F47,Mortgage!$B$18+IF(MONTH(B47)=Mortgage!$B$20,Mortgage!$B$19,0)+SUMIFS(Mortgage!$E$6:$E$15,Mortgage!$D$6:$D$15,"&gt;="&amp;B47,Mortgage!$D$6:$D$15,"&lt;"&amp;EDATE(B47,1))+IF(Mortgage!$B$10="Bi-weekly (accelerated)",Mortgage!$H$8/12,0)),0)</f>
        <v/>
      </c>
      <c r="H47" s="147">
        <f>F47+G47</f>
        <v/>
      </c>
      <c r="I47" s="148">
        <f>D47-H47</f>
        <v/>
      </c>
      <c r="J47" s="147">
        <f>E47+F47+G47</f>
        <v/>
      </c>
      <c r="K47" s="147">
        <f>IF(AND(D47&gt;0.005,Mortgage!$H$7&gt;0.8,D47/Mortgage!$B$5&gt;Mortgage!$B$14),Mortgage!$H$5*Mortgage!$B$13/12,0)</f>
        <v/>
      </c>
      <c r="L47" s="147">
        <f>IF(D47&gt;0.005,Mortgage!$B$11/12*(1+Mortgage!$B$16)^(C47-1),0)</f>
        <v/>
      </c>
      <c r="M47" s="147">
        <f>IF(D47&gt;0.005,Mortgage!$B$12/12*(1+Mortgage!$B$16)^(C47-1),0)</f>
        <v/>
      </c>
      <c r="N47" s="147">
        <f>IF(D47&gt;0.005,Mortgage!$B$15,0)</f>
        <v/>
      </c>
      <c r="O47" s="147">
        <f>J47+K47+L47+M47+N47</f>
        <v/>
      </c>
      <c r="P47" s="147">
        <f>P46+E47</f>
        <v/>
      </c>
      <c r="Q47" s="147">
        <f>IF(D47&gt;0.005,Mortgage!$B$5*(1+Mortgage!$B$17)^(A47/12),"")</f>
        <v/>
      </c>
      <c r="R47" s="147">
        <f>IF(D47&gt;0.005,Q47-I47,"")</f>
        <v/>
      </c>
      <c r="S47" s="147">
        <f>IF(A47&gt;Mortgage!$B$8*12,0,IF(Mortgage!$B$7=0,MAX(0,Mortgage!$H$5-Mortgage!$H$8*A47),MAX(0,Mortgage!$H$5*(1+(Mortgage!$B$7/12))^A47-Mortgage!$H$8*((1+(Mortgage!$B$7/12))^A47-1)/(Mortgage!$B$7/12))))</f>
        <v/>
      </c>
      <c r="T47" s="149">
        <f>IF(D47&gt;0.005,I47/Mortgage!$B$5,"")</f>
        <v/>
      </c>
      <c r="U47">
        <f>IF(A47&gt;Mortgage!$B$8*12,NA(),B47)</f>
        <v/>
      </c>
      <c r="V47">
        <f>IF(D47&gt;0.005,I47,NA())</f>
        <v/>
      </c>
      <c r="W47">
        <f>IF(A47&gt;Mortgage!$B$8*12,NA(),S47)</f>
        <v/>
      </c>
    </row>
    <row r="48">
      <c r="A48" s="129" t="n">
        <v>43</v>
      </c>
      <c r="B48" s="146">
        <f>EDATE(Mortgage!$B$9,A48-1)</f>
        <v/>
      </c>
      <c r="C48" s="129">
        <f>INT((A48-1)/12)+1</f>
        <v/>
      </c>
      <c r="D48" s="147">
        <f>IF(N(I47)&gt;0.005,I47,0)</f>
        <v/>
      </c>
      <c r="E48" s="147">
        <f>IF(D48&gt;0.005,D48*Mortgage!$B$7/12,0)</f>
        <v/>
      </c>
      <c r="F48" s="147">
        <f>IF(D48&gt;0.005,MIN(Mortgage!$H$8-E48,D48),0)</f>
        <v/>
      </c>
      <c r="G48" s="147">
        <f>IF(D48-F48&gt;0.005,MIN(D48-F48,Mortgage!$B$18+IF(MONTH(B48)=Mortgage!$B$20,Mortgage!$B$19,0)+SUMIFS(Mortgage!$E$6:$E$15,Mortgage!$D$6:$D$15,"&gt;="&amp;B48,Mortgage!$D$6:$D$15,"&lt;"&amp;EDATE(B48,1))+IF(Mortgage!$B$10="Bi-weekly (accelerated)",Mortgage!$H$8/12,0)),0)</f>
        <v/>
      </c>
      <c r="H48" s="147">
        <f>F48+G48</f>
        <v/>
      </c>
      <c r="I48" s="148">
        <f>D48-H48</f>
        <v/>
      </c>
      <c r="J48" s="147">
        <f>E48+F48+G48</f>
        <v/>
      </c>
      <c r="K48" s="147">
        <f>IF(AND(D48&gt;0.005,Mortgage!$H$7&gt;0.8,D48/Mortgage!$B$5&gt;Mortgage!$B$14),Mortgage!$H$5*Mortgage!$B$13/12,0)</f>
        <v/>
      </c>
      <c r="L48" s="147">
        <f>IF(D48&gt;0.005,Mortgage!$B$11/12*(1+Mortgage!$B$16)^(C48-1),0)</f>
        <v/>
      </c>
      <c r="M48" s="147">
        <f>IF(D48&gt;0.005,Mortgage!$B$12/12*(1+Mortgage!$B$16)^(C48-1),0)</f>
        <v/>
      </c>
      <c r="N48" s="147">
        <f>IF(D48&gt;0.005,Mortgage!$B$15,0)</f>
        <v/>
      </c>
      <c r="O48" s="147">
        <f>J48+K48+L48+M48+N48</f>
        <v/>
      </c>
      <c r="P48" s="147">
        <f>P47+E48</f>
        <v/>
      </c>
      <c r="Q48" s="147">
        <f>IF(D48&gt;0.005,Mortgage!$B$5*(1+Mortgage!$B$17)^(A48/12),"")</f>
        <v/>
      </c>
      <c r="R48" s="147">
        <f>IF(D48&gt;0.005,Q48-I48,"")</f>
        <v/>
      </c>
      <c r="S48" s="147">
        <f>IF(A48&gt;Mortgage!$B$8*12,0,IF(Mortgage!$B$7=0,MAX(0,Mortgage!$H$5-Mortgage!$H$8*A48),MAX(0,Mortgage!$H$5*(1+(Mortgage!$B$7/12))^A48-Mortgage!$H$8*((1+(Mortgage!$B$7/12))^A48-1)/(Mortgage!$B$7/12))))</f>
        <v/>
      </c>
      <c r="T48" s="149">
        <f>IF(D48&gt;0.005,I48/Mortgage!$B$5,"")</f>
        <v/>
      </c>
      <c r="U48">
        <f>IF(A48&gt;Mortgage!$B$8*12,NA(),B48)</f>
        <v/>
      </c>
      <c r="V48">
        <f>IF(D48&gt;0.005,I48,NA())</f>
        <v/>
      </c>
      <c r="W48">
        <f>IF(A48&gt;Mortgage!$B$8*12,NA(),S48)</f>
        <v/>
      </c>
    </row>
    <row r="49">
      <c r="A49" s="129" t="n">
        <v>44</v>
      </c>
      <c r="B49" s="146">
        <f>EDATE(Mortgage!$B$9,A49-1)</f>
        <v/>
      </c>
      <c r="C49" s="129">
        <f>INT((A49-1)/12)+1</f>
        <v/>
      </c>
      <c r="D49" s="147">
        <f>IF(N(I48)&gt;0.005,I48,0)</f>
        <v/>
      </c>
      <c r="E49" s="147">
        <f>IF(D49&gt;0.005,D49*Mortgage!$B$7/12,0)</f>
        <v/>
      </c>
      <c r="F49" s="147">
        <f>IF(D49&gt;0.005,MIN(Mortgage!$H$8-E49,D49),0)</f>
        <v/>
      </c>
      <c r="G49" s="147">
        <f>IF(D49-F49&gt;0.005,MIN(D49-F49,Mortgage!$B$18+IF(MONTH(B49)=Mortgage!$B$20,Mortgage!$B$19,0)+SUMIFS(Mortgage!$E$6:$E$15,Mortgage!$D$6:$D$15,"&gt;="&amp;B49,Mortgage!$D$6:$D$15,"&lt;"&amp;EDATE(B49,1))+IF(Mortgage!$B$10="Bi-weekly (accelerated)",Mortgage!$H$8/12,0)),0)</f>
        <v/>
      </c>
      <c r="H49" s="147">
        <f>F49+G49</f>
        <v/>
      </c>
      <c r="I49" s="148">
        <f>D49-H49</f>
        <v/>
      </c>
      <c r="J49" s="147">
        <f>E49+F49+G49</f>
        <v/>
      </c>
      <c r="K49" s="147">
        <f>IF(AND(D49&gt;0.005,Mortgage!$H$7&gt;0.8,D49/Mortgage!$B$5&gt;Mortgage!$B$14),Mortgage!$H$5*Mortgage!$B$13/12,0)</f>
        <v/>
      </c>
      <c r="L49" s="147">
        <f>IF(D49&gt;0.005,Mortgage!$B$11/12*(1+Mortgage!$B$16)^(C49-1),0)</f>
        <v/>
      </c>
      <c r="M49" s="147">
        <f>IF(D49&gt;0.005,Mortgage!$B$12/12*(1+Mortgage!$B$16)^(C49-1),0)</f>
        <v/>
      </c>
      <c r="N49" s="147">
        <f>IF(D49&gt;0.005,Mortgage!$B$15,0)</f>
        <v/>
      </c>
      <c r="O49" s="147">
        <f>J49+K49+L49+M49+N49</f>
        <v/>
      </c>
      <c r="P49" s="147">
        <f>P48+E49</f>
        <v/>
      </c>
      <c r="Q49" s="147">
        <f>IF(D49&gt;0.005,Mortgage!$B$5*(1+Mortgage!$B$17)^(A49/12),"")</f>
        <v/>
      </c>
      <c r="R49" s="147">
        <f>IF(D49&gt;0.005,Q49-I49,"")</f>
        <v/>
      </c>
      <c r="S49" s="147">
        <f>IF(A49&gt;Mortgage!$B$8*12,0,IF(Mortgage!$B$7=0,MAX(0,Mortgage!$H$5-Mortgage!$H$8*A49),MAX(0,Mortgage!$H$5*(1+(Mortgage!$B$7/12))^A49-Mortgage!$H$8*((1+(Mortgage!$B$7/12))^A49-1)/(Mortgage!$B$7/12))))</f>
        <v/>
      </c>
      <c r="T49" s="149">
        <f>IF(D49&gt;0.005,I49/Mortgage!$B$5,"")</f>
        <v/>
      </c>
      <c r="U49">
        <f>IF(A49&gt;Mortgage!$B$8*12,NA(),B49)</f>
        <v/>
      </c>
      <c r="V49">
        <f>IF(D49&gt;0.005,I49,NA())</f>
        <v/>
      </c>
      <c r="W49">
        <f>IF(A49&gt;Mortgage!$B$8*12,NA(),S49)</f>
        <v/>
      </c>
    </row>
    <row r="50">
      <c r="A50" s="129" t="n">
        <v>45</v>
      </c>
      <c r="B50" s="146">
        <f>EDATE(Mortgage!$B$9,A50-1)</f>
        <v/>
      </c>
      <c r="C50" s="129">
        <f>INT((A50-1)/12)+1</f>
        <v/>
      </c>
      <c r="D50" s="147">
        <f>IF(N(I49)&gt;0.005,I49,0)</f>
        <v/>
      </c>
      <c r="E50" s="147">
        <f>IF(D50&gt;0.005,D50*Mortgage!$B$7/12,0)</f>
        <v/>
      </c>
      <c r="F50" s="147">
        <f>IF(D50&gt;0.005,MIN(Mortgage!$H$8-E50,D50),0)</f>
        <v/>
      </c>
      <c r="G50" s="147">
        <f>IF(D50-F50&gt;0.005,MIN(D50-F50,Mortgage!$B$18+IF(MONTH(B50)=Mortgage!$B$20,Mortgage!$B$19,0)+SUMIFS(Mortgage!$E$6:$E$15,Mortgage!$D$6:$D$15,"&gt;="&amp;B50,Mortgage!$D$6:$D$15,"&lt;"&amp;EDATE(B50,1))+IF(Mortgage!$B$10="Bi-weekly (accelerated)",Mortgage!$H$8/12,0)),0)</f>
        <v/>
      </c>
      <c r="H50" s="147">
        <f>F50+G50</f>
        <v/>
      </c>
      <c r="I50" s="148">
        <f>D50-H50</f>
        <v/>
      </c>
      <c r="J50" s="147">
        <f>E50+F50+G50</f>
        <v/>
      </c>
      <c r="K50" s="147">
        <f>IF(AND(D50&gt;0.005,Mortgage!$H$7&gt;0.8,D50/Mortgage!$B$5&gt;Mortgage!$B$14),Mortgage!$H$5*Mortgage!$B$13/12,0)</f>
        <v/>
      </c>
      <c r="L50" s="147">
        <f>IF(D50&gt;0.005,Mortgage!$B$11/12*(1+Mortgage!$B$16)^(C50-1),0)</f>
        <v/>
      </c>
      <c r="M50" s="147">
        <f>IF(D50&gt;0.005,Mortgage!$B$12/12*(1+Mortgage!$B$16)^(C50-1),0)</f>
        <v/>
      </c>
      <c r="N50" s="147">
        <f>IF(D50&gt;0.005,Mortgage!$B$15,0)</f>
        <v/>
      </c>
      <c r="O50" s="147">
        <f>J50+K50+L50+M50+N50</f>
        <v/>
      </c>
      <c r="P50" s="147">
        <f>P49+E50</f>
        <v/>
      </c>
      <c r="Q50" s="147">
        <f>IF(D50&gt;0.005,Mortgage!$B$5*(1+Mortgage!$B$17)^(A50/12),"")</f>
        <v/>
      </c>
      <c r="R50" s="147">
        <f>IF(D50&gt;0.005,Q50-I50,"")</f>
        <v/>
      </c>
      <c r="S50" s="147">
        <f>IF(A50&gt;Mortgage!$B$8*12,0,IF(Mortgage!$B$7=0,MAX(0,Mortgage!$H$5-Mortgage!$H$8*A50),MAX(0,Mortgage!$H$5*(1+(Mortgage!$B$7/12))^A50-Mortgage!$H$8*((1+(Mortgage!$B$7/12))^A50-1)/(Mortgage!$B$7/12))))</f>
        <v/>
      </c>
      <c r="T50" s="149">
        <f>IF(D50&gt;0.005,I50/Mortgage!$B$5,"")</f>
        <v/>
      </c>
      <c r="U50">
        <f>IF(A50&gt;Mortgage!$B$8*12,NA(),B50)</f>
        <v/>
      </c>
      <c r="V50">
        <f>IF(D50&gt;0.005,I50,NA())</f>
        <v/>
      </c>
      <c r="W50">
        <f>IF(A50&gt;Mortgage!$B$8*12,NA(),S50)</f>
        <v/>
      </c>
    </row>
    <row r="51">
      <c r="A51" s="129" t="n">
        <v>46</v>
      </c>
      <c r="B51" s="146">
        <f>EDATE(Mortgage!$B$9,A51-1)</f>
        <v/>
      </c>
      <c r="C51" s="129">
        <f>INT((A51-1)/12)+1</f>
        <v/>
      </c>
      <c r="D51" s="147">
        <f>IF(N(I50)&gt;0.005,I50,0)</f>
        <v/>
      </c>
      <c r="E51" s="147">
        <f>IF(D51&gt;0.005,D51*Mortgage!$B$7/12,0)</f>
        <v/>
      </c>
      <c r="F51" s="147">
        <f>IF(D51&gt;0.005,MIN(Mortgage!$H$8-E51,D51),0)</f>
        <v/>
      </c>
      <c r="G51" s="147">
        <f>IF(D51-F51&gt;0.005,MIN(D51-F51,Mortgage!$B$18+IF(MONTH(B51)=Mortgage!$B$20,Mortgage!$B$19,0)+SUMIFS(Mortgage!$E$6:$E$15,Mortgage!$D$6:$D$15,"&gt;="&amp;B51,Mortgage!$D$6:$D$15,"&lt;"&amp;EDATE(B51,1))+IF(Mortgage!$B$10="Bi-weekly (accelerated)",Mortgage!$H$8/12,0)),0)</f>
        <v/>
      </c>
      <c r="H51" s="147">
        <f>F51+G51</f>
        <v/>
      </c>
      <c r="I51" s="148">
        <f>D51-H51</f>
        <v/>
      </c>
      <c r="J51" s="147">
        <f>E51+F51+G51</f>
        <v/>
      </c>
      <c r="K51" s="147">
        <f>IF(AND(D51&gt;0.005,Mortgage!$H$7&gt;0.8,D51/Mortgage!$B$5&gt;Mortgage!$B$14),Mortgage!$H$5*Mortgage!$B$13/12,0)</f>
        <v/>
      </c>
      <c r="L51" s="147">
        <f>IF(D51&gt;0.005,Mortgage!$B$11/12*(1+Mortgage!$B$16)^(C51-1),0)</f>
        <v/>
      </c>
      <c r="M51" s="147">
        <f>IF(D51&gt;0.005,Mortgage!$B$12/12*(1+Mortgage!$B$16)^(C51-1),0)</f>
        <v/>
      </c>
      <c r="N51" s="147">
        <f>IF(D51&gt;0.005,Mortgage!$B$15,0)</f>
        <v/>
      </c>
      <c r="O51" s="147">
        <f>J51+K51+L51+M51+N51</f>
        <v/>
      </c>
      <c r="P51" s="147">
        <f>P50+E51</f>
        <v/>
      </c>
      <c r="Q51" s="147">
        <f>IF(D51&gt;0.005,Mortgage!$B$5*(1+Mortgage!$B$17)^(A51/12),"")</f>
        <v/>
      </c>
      <c r="R51" s="147">
        <f>IF(D51&gt;0.005,Q51-I51,"")</f>
        <v/>
      </c>
      <c r="S51" s="147">
        <f>IF(A51&gt;Mortgage!$B$8*12,0,IF(Mortgage!$B$7=0,MAX(0,Mortgage!$H$5-Mortgage!$H$8*A51),MAX(0,Mortgage!$H$5*(1+(Mortgage!$B$7/12))^A51-Mortgage!$H$8*((1+(Mortgage!$B$7/12))^A51-1)/(Mortgage!$B$7/12))))</f>
        <v/>
      </c>
      <c r="T51" s="149">
        <f>IF(D51&gt;0.005,I51/Mortgage!$B$5,"")</f>
        <v/>
      </c>
      <c r="U51">
        <f>IF(A51&gt;Mortgage!$B$8*12,NA(),B51)</f>
        <v/>
      </c>
      <c r="V51">
        <f>IF(D51&gt;0.005,I51,NA())</f>
        <v/>
      </c>
      <c r="W51">
        <f>IF(A51&gt;Mortgage!$B$8*12,NA(),S51)</f>
        <v/>
      </c>
    </row>
    <row r="52">
      <c r="A52" s="129" t="n">
        <v>47</v>
      </c>
      <c r="B52" s="146">
        <f>EDATE(Mortgage!$B$9,A52-1)</f>
        <v/>
      </c>
      <c r="C52" s="129">
        <f>INT((A52-1)/12)+1</f>
        <v/>
      </c>
      <c r="D52" s="147">
        <f>IF(N(I51)&gt;0.005,I51,0)</f>
        <v/>
      </c>
      <c r="E52" s="147">
        <f>IF(D52&gt;0.005,D52*Mortgage!$B$7/12,0)</f>
        <v/>
      </c>
      <c r="F52" s="147">
        <f>IF(D52&gt;0.005,MIN(Mortgage!$H$8-E52,D52),0)</f>
        <v/>
      </c>
      <c r="G52" s="147">
        <f>IF(D52-F52&gt;0.005,MIN(D52-F52,Mortgage!$B$18+IF(MONTH(B52)=Mortgage!$B$20,Mortgage!$B$19,0)+SUMIFS(Mortgage!$E$6:$E$15,Mortgage!$D$6:$D$15,"&gt;="&amp;B52,Mortgage!$D$6:$D$15,"&lt;"&amp;EDATE(B52,1))+IF(Mortgage!$B$10="Bi-weekly (accelerated)",Mortgage!$H$8/12,0)),0)</f>
        <v/>
      </c>
      <c r="H52" s="147">
        <f>F52+G52</f>
        <v/>
      </c>
      <c r="I52" s="148">
        <f>D52-H52</f>
        <v/>
      </c>
      <c r="J52" s="147">
        <f>E52+F52+G52</f>
        <v/>
      </c>
      <c r="K52" s="147">
        <f>IF(AND(D52&gt;0.005,Mortgage!$H$7&gt;0.8,D52/Mortgage!$B$5&gt;Mortgage!$B$14),Mortgage!$H$5*Mortgage!$B$13/12,0)</f>
        <v/>
      </c>
      <c r="L52" s="147">
        <f>IF(D52&gt;0.005,Mortgage!$B$11/12*(1+Mortgage!$B$16)^(C52-1),0)</f>
        <v/>
      </c>
      <c r="M52" s="147">
        <f>IF(D52&gt;0.005,Mortgage!$B$12/12*(1+Mortgage!$B$16)^(C52-1),0)</f>
        <v/>
      </c>
      <c r="N52" s="147">
        <f>IF(D52&gt;0.005,Mortgage!$B$15,0)</f>
        <v/>
      </c>
      <c r="O52" s="147">
        <f>J52+K52+L52+M52+N52</f>
        <v/>
      </c>
      <c r="P52" s="147">
        <f>P51+E52</f>
        <v/>
      </c>
      <c r="Q52" s="147">
        <f>IF(D52&gt;0.005,Mortgage!$B$5*(1+Mortgage!$B$17)^(A52/12),"")</f>
        <v/>
      </c>
      <c r="R52" s="147">
        <f>IF(D52&gt;0.005,Q52-I52,"")</f>
        <v/>
      </c>
      <c r="S52" s="147">
        <f>IF(A52&gt;Mortgage!$B$8*12,0,IF(Mortgage!$B$7=0,MAX(0,Mortgage!$H$5-Mortgage!$H$8*A52),MAX(0,Mortgage!$H$5*(1+(Mortgage!$B$7/12))^A52-Mortgage!$H$8*((1+(Mortgage!$B$7/12))^A52-1)/(Mortgage!$B$7/12))))</f>
        <v/>
      </c>
      <c r="T52" s="149">
        <f>IF(D52&gt;0.005,I52/Mortgage!$B$5,"")</f>
        <v/>
      </c>
      <c r="U52">
        <f>IF(A52&gt;Mortgage!$B$8*12,NA(),B52)</f>
        <v/>
      </c>
      <c r="V52">
        <f>IF(D52&gt;0.005,I52,NA())</f>
        <v/>
      </c>
      <c r="W52">
        <f>IF(A52&gt;Mortgage!$B$8*12,NA(),S52)</f>
        <v/>
      </c>
    </row>
    <row r="53">
      <c r="A53" s="129" t="n">
        <v>48</v>
      </c>
      <c r="B53" s="146">
        <f>EDATE(Mortgage!$B$9,A53-1)</f>
        <v/>
      </c>
      <c r="C53" s="129">
        <f>INT((A53-1)/12)+1</f>
        <v/>
      </c>
      <c r="D53" s="147">
        <f>IF(N(I52)&gt;0.005,I52,0)</f>
        <v/>
      </c>
      <c r="E53" s="147">
        <f>IF(D53&gt;0.005,D53*Mortgage!$B$7/12,0)</f>
        <v/>
      </c>
      <c r="F53" s="147">
        <f>IF(D53&gt;0.005,MIN(Mortgage!$H$8-E53,D53),0)</f>
        <v/>
      </c>
      <c r="G53" s="147">
        <f>IF(D53-F53&gt;0.005,MIN(D53-F53,Mortgage!$B$18+IF(MONTH(B53)=Mortgage!$B$20,Mortgage!$B$19,0)+SUMIFS(Mortgage!$E$6:$E$15,Mortgage!$D$6:$D$15,"&gt;="&amp;B53,Mortgage!$D$6:$D$15,"&lt;"&amp;EDATE(B53,1))+IF(Mortgage!$B$10="Bi-weekly (accelerated)",Mortgage!$H$8/12,0)),0)</f>
        <v/>
      </c>
      <c r="H53" s="147">
        <f>F53+G53</f>
        <v/>
      </c>
      <c r="I53" s="148">
        <f>D53-H53</f>
        <v/>
      </c>
      <c r="J53" s="147">
        <f>E53+F53+G53</f>
        <v/>
      </c>
      <c r="K53" s="147">
        <f>IF(AND(D53&gt;0.005,Mortgage!$H$7&gt;0.8,D53/Mortgage!$B$5&gt;Mortgage!$B$14),Mortgage!$H$5*Mortgage!$B$13/12,0)</f>
        <v/>
      </c>
      <c r="L53" s="147">
        <f>IF(D53&gt;0.005,Mortgage!$B$11/12*(1+Mortgage!$B$16)^(C53-1),0)</f>
        <v/>
      </c>
      <c r="M53" s="147">
        <f>IF(D53&gt;0.005,Mortgage!$B$12/12*(1+Mortgage!$B$16)^(C53-1),0)</f>
        <v/>
      </c>
      <c r="N53" s="147">
        <f>IF(D53&gt;0.005,Mortgage!$B$15,0)</f>
        <v/>
      </c>
      <c r="O53" s="147">
        <f>J53+K53+L53+M53+N53</f>
        <v/>
      </c>
      <c r="P53" s="147">
        <f>P52+E53</f>
        <v/>
      </c>
      <c r="Q53" s="147">
        <f>IF(D53&gt;0.005,Mortgage!$B$5*(1+Mortgage!$B$17)^(A53/12),"")</f>
        <v/>
      </c>
      <c r="R53" s="147">
        <f>IF(D53&gt;0.005,Q53-I53,"")</f>
        <v/>
      </c>
      <c r="S53" s="147">
        <f>IF(A53&gt;Mortgage!$B$8*12,0,IF(Mortgage!$B$7=0,MAX(0,Mortgage!$H$5-Mortgage!$H$8*A53),MAX(0,Mortgage!$H$5*(1+(Mortgage!$B$7/12))^A53-Mortgage!$H$8*((1+(Mortgage!$B$7/12))^A53-1)/(Mortgage!$B$7/12))))</f>
        <v/>
      </c>
      <c r="T53" s="149">
        <f>IF(D53&gt;0.005,I53/Mortgage!$B$5,"")</f>
        <v/>
      </c>
      <c r="U53">
        <f>IF(A53&gt;Mortgage!$B$8*12,NA(),B53)</f>
        <v/>
      </c>
      <c r="V53">
        <f>IF(D53&gt;0.005,I53,NA())</f>
        <v/>
      </c>
      <c r="W53">
        <f>IF(A53&gt;Mortgage!$B$8*12,NA(),S53)</f>
        <v/>
      </c>
    </row>
    <row r="54">
      <c r="A54" s="129" t="n">
        <v>49</v>
      </c>
      <c r="B54" s="146">
        <f>EDATE(Mortgage!$B$9,A54-1)</f>
        <v/>
      </c>
      <c r="C54" s="129">
        <f>INT((A54-1)/12)+1</f>
        <v/>
      </c>
      <c r="D54" s="147">
        <f>IF(N(I53)&gt;0.005,I53,0)</f>
        <v/>
      </c>
      <c r="E54" s="147">
        <f>IF(D54&gt;0.005,D54*Mortgage!$B$7/12,0)</f>
        <v/>
      </c>
      <c r="F54" s="147">
        <f>IF(D54&gt;0.005,MIN(Mortgage!$H$8-E54,D54),0)</f>
        <v/>
      </c>
      <c r="G54" s="147">
        <f>IF(D54-F54&gt;0.005,MIN(D54-F54,Mortgage!$B$18+IF(MONTH(B54)=Mortgage!$B$20,Mortgage!$B$19,0)+SUMIFS(Mortgage!$E$6:$E$15,Mortgage!$D$6:$D$15,"&gt;="&amp;B54,Mortgage!$D$6:$D$15,"&lt;"&amp;EDATE(B54,1))+IF(Mortgage!$B$10="Bi-weekly (accelerated)",Mortgage!$H$8/12,0)),0)</f>
        <v/>
      </c>
      <c r="H54" s="147">
        <f>F54+G54</f>
        <v/>
      </c>
      <c r="I54" s="148">
        <f>D54-H54</f>
        <v/>
      </c>
      <c r="J54" s="147">
        <f>E54+F54+G54</f>
        <v/>
      </c>
      <c r="K54" s="147">
        <f>IF(AND(D54&gt;0.005,Mortgage!$H$7&gt;0.8,D54/Mortgage!$B$5&gt;Mortgage!$B$14),Mortgage!$H$5*Mortgage!$B$13/12,0)</f>
        <v/>
      </c>
      <c r="L54" s="147">
        <f>IF(D54&gt;0.005,Mortgage!$B$11/12*(1+Mortgage!$B$16)^(C54-1),0)</f>
        <v/>
      </c>
      <c r="M54" s="147">
        <f>IF(D54&gt;0.005,Mortgage!$B$12/12*(1+Mortgage!$B$16)^(C54-1),0)</f>
        <v/>
      </c>
      <c r="N54" s="147">
        <f>IF(D54&gt;0.005,Mortgage!$B$15,0)</f>
        <v/>
      </c>
      <c r="O54" s="147">
        <f>J54+K54+L54+M54+N54</f>
        <v/>
      </c>
      <c r="P54" s="147">
        <f>P53+E54</f>
        <v/>
      </c>
      <c r="Q54" s="147">
        <f>IF(D54&gt;0.005,Mortgage!$B$5*(1+Mortgage!$B$17)^(A54/12),"")</f>
        <v/>
      </c>
      <c r="R54" s="147">
        <f>IF(D54&gt;0.005,Q54-I54,"")</f>
        <v/>
      </c>
      <c r="S54" s="147">
        <f>IF(A54&gt;Mortgage!$B$8*12,0,IF(Mortgage!$B$7=0,MAX(0,Mortgage!$H$5-Mortgage!$H$8*A54),MAX(0,Mortgage!$H$5*(1+(Mortgage!$B$7/12))^A54-Mortgage!$H$8*((1+(Mortgage!$B$7/12))^A54-1)/(Mortgage!$B$7/12))))</f>
        <v/>
      </c>
      <c r="T54" s="149">
        <f>IF(D54&gt;0.005,I54/Mortgage!$B$5,"")</f>
        <v/>
      </c>
      <c r="U54">
        <f>IF(A54&gt;Mortgage!$B$8*12,NA(),B54)</f>
        <v/>
      </c>
      <c r="V54">
        <f>IF(D54&gt;0.005,I54,NA())</f>
        <v/>
      </c>
      <c r="W54">
        <f>IF(A54&gt;Mortgage!$B$8*12,NA(),S54)</f>
        <v/>
      </c>
    </row>
    <row r="55">
      <c r="A55" s="129" t="n">
        <v>50</v>
      </c>
      <c r="B55" s="146">
        <f>EDATE(Mortgage!$B$9,A55-1)</f>
        <v/>
      </c>
      <c r="C55" s="129">
        <f>INT((A55-1)/12)+1</f>
        <v/>
      </c>
      <c r="D55" s="147">
        <f>IF(N(I54)&gt;0.005,I54,0)</f>
        <v/>
      </c>
      <c r="E55" s="147">
        <f>IF(D55&gt;0.005,D55*Mortgage!$B$7/12,0)</f>
        <v/>
      </c>
      <c r="F55" s="147">
        <f>IF(D55&gt;0.005,MIN(Mortgage!$H$8-E55,D55),0)</f>
        <v/>
      </c>
      <c r="G55" s="147">
        <f>IF(D55-F55&gt;0.005,MIN(D55-F55,Mortgage!$B$18+IF(MONTH(B55)=Mortgage!$B$20,Mortgage!$B$19,0)+SUMIFS(Mortgage!$E$6:$E$15,Mortgage!$D$6:$D$15,"&gt;="&amp;B55,Mortgage!$D$6:$D$15,"&lt;"&amp;EDATE(B55,1))+IF(Mortgage!$B$10="Bi-weekly (accelerated)",Mortgage!$H$8/12,0)),0)</f>
        <v/>
      </c>
      <c r="H55" s="147">
        <f>F55+G55</f>
        <v/>
      </c>
      <c r="I55" s="148">
        <f>D55-H55</f>
        <v/>
      </c>
      <c r="J55" s="147">
        <f>E55+F55+G55</f>
        <v/>
      </c>
      <c r="K55" s="147">
        <f>IF(AND(D55&gt;0.005,Mortgage!$H$7&gt;0.8,D55/Mortgage!$B$5&gt;Mortgage!$B$14),Mortgage!$H$5*Mortgage!$B$13/12,0)</f>
        <v/>
      </c>
      <c r="L55" s="147">
        <f>IF(D55&gt;0.005,Mortgage!$B$11/12*(1+Mortgage!$B$16)^(C55-1),0)</f>
        <v/>
      </c>
      <c r="M55" s="147">
        <f>IF(D55&gt;0.005,Mortgage!$B$12/12*(1+Mortgage!$B$16)^(C55-1),0)</f>
        <v/>
      </c>
      <c r="N55" s="147">
        <f>IF(D55&gt;0.005,Mortgage!$B$15,0)</f>
        <v/>
      </c>
      <c r="O55" s="147">
        <f>J55+K55+L55+M55+N55</f>
        <v/>
      </c>
      <c r="P55" s="147">
        <f>P54+E55</f>
        <v/>
      </c>
      <c r="Q55" s="147">
        <f>IF(D55&gt;0.005,Mortgage!$B$5*(1+Mortgage!$B$17)^(A55/12),"")</f>
        <v/>
      </c>
      <c r="R55" s="147">
        <f>IF(D55&gt;0.005,Q55-I55,"")</f>
        <v/>
      </c>
      <c r="S55" s="147">
        <f>IF(A55&gt;Mortgage!$B$8*12,0,IF(Mortgage!$B$7=0,MAX(0,Mortgage!$H$5-Mortgage!$H$8*A55),MAX(0,Mortgage!$H$5*(1+(Mortgage!$B$7/12))^A55-Mortgage!$H$8*((1+(Mortgage!$B$7/12))^A55-1)/(Mortgage!$B$7/12))))</f>
        <v/>
      </c>
      <c r="T55" s="149">
        <f>IF(D55&gt;0.005,I55/Mortgage!$B$5,"")</f>
        <v/>
      </c>
      <c r="U55">
        <f>IF(A55&gt;Mortgage!$B$8*12,NA(),B55)</f>
        <v/>
      </c>
      <c r="V55">
        <f>IF(D55&gt;0.005,I55,NA())</f>
        <v/>
      </c>
      <c r="W55">
        <f>IF(A55&gt;Mortgage!$B$8*12,NA(),S55)</f>
        <v/>
      </c>
    </row>
    <row r="56">
      <c r="A56" s="129" t="n">
        <v>51</v>
      </c>
      <c r="B56" s="146">
        <f>EDATE(Mortgage!$B$9,A56-1)</f>
        <v/>
      </c>
      <c r="C56" s="129">
        <f>INT((A56-1)/12)+1</f>
        <v/>
      </c>
      <c r="D56" s="147">
        <f>IF(N(I55)&gt;0.005,I55,0)</f>
        <v/>
      </c>
      <c r="E56" s="147">
        <f>IF(D56&gt;0.005,D56*Mortgage!$B$7/12,0)</f>
        <v/>
      </c>
      <c r="F56" s="147">
        <f>IF(D56&gt;0.005,MIN(Mortgage!$H$8-E56,D56),0)</f>
        <v/>
      </c>
      <c r="G56" s="147">
        <f>IF(D56-F56&gt;0.005,MIN(D56-F56,Mortgage!$B$18+IF(MONTH(B56)=Mortgage!$B$20,Mortgage!$B$19,0)+SUMIFS(Mortgage!$E$6:$E$15,Mortgage!$D$6:$D$15,"&gt;="&amp;B56,Mortgage!$D$6:$D$15,"&lt;"&amp;EDATE(B56,1))+IF(Mortgage!$B$10="Bi-weekly (accelerated)",Mortgage!$H$8/12,0)),0)</f>
        <v/>
      </c>
      <c r="H56" s="147">
        <f>F56+G56</f>
        <v/>
      </c>
      <c r="I56" s="148">
        <f>D56-H56</f>
        <v/>
      </c>
      <c r="J56" s="147">
        <f>E56+F56+G56</f>
        <v/>
      </c>
      <c r="K56" s="147">
        <f>IF(AND(D56&gt;0.005,Mortgage!$H$7&gt;0.8,D56/Mortgage!$B$5&gt;Mortgage!$B$14),Mortgage!$H$5*Mortgage!$B$13/12,0)</f>
        <v/>
      </c>
      <c r="L56" s="147">
        <f>IF(D56&gt;0.005,Mortgage!$B$11/12*(1+Mortgage!$B$16)^(C56-1),0)</f>
        <v/>
      </c>
      <c r="M56" s="147">
        <f>IF(D56&gt;0.005,Mortgage!$B$12/12*(1+Mortgage!$B$16)^(C56-1),0)</f>
        <v/>
      </c>
      <c r="N56" s="147">
        <f>IF(D56&gt;0.005,Mortgage!$B$15,0)</f>
        <v/>
      </c>
      <c r="O56" s="147">
        <f>J56+K56+L56+M56+N56</f>
        <v/>
      </c>
      <c r="P56" s="147">
        <f>P55+E56</f>
        <v/>
      </c>
      <c r="Q56" s="147">
        <f>IF(D56&gt;0.005,Mortgage!$B$5*(1+Mortgage!$B$17)^(A56/12),"")</f>
        <v/>
      </c>
      <c r="R56" s="147">
        <f>IF(D56&gt;0.005,Q56-I56,"")</f>
        <v/>
      </c>
      <c r="S56" s="147">
        <f>IF(A56&gt;Mortgage!$B$8*12,0,IF(Mortgage!$B$7=0,MAX(0,Mortgage!$H$5-Mortgage!$H$8*A56),MAX(0,Mortgage!$H$5*(1+(Mortgage!$B$7/12))^A56-Mortgage!$H$8*((1+(Mortgage!$B$7/12))^A56-1)/(Mortgage!$B$7/12))))</f>
        <v/>
      </c>
      <c r="T56" s="149">
        <f>IF(D56&gt;0.005,I56/Mortgage!$B$5,"")</f>
        <v/>
      </c>
      <c r="U56">
        <f>IF(A56&gt;Mortgage!$B$8*12,NA(),B56)</f>
        <v/>
      </c>
      <c r="V56">
        <f>IF(D56&gt;0.005,I56,NA())</f>
        <v/>
      </c>
      <c r="W56">
        <f>IF(A56&gt;Mortgage!$B$8*12,NA(),S56)</f>
        <v/>
      </c>
    </row>
    <row r="57">
      <c r="A57" s="129" t="n">
        <v>52</v>
      </c>
      <c r="B57" s="146">
        <f>EDATE(Mortgage!$B$9,A57-1)</f>
        <v/>
      </c>
      <c r="C57" s="129">
        <f>INT((A57-1)/12)+1</f>
        <v/>
      </c>
      <c r="D57" s="147">
        <f>IF(N(I56)&gt;0.005,I56,0)</f>
        <v/>
      </c>
      <c r="E57" s="147">
        <f>IF(D57&gt;0.005,D57*Mortgage!$B$7/12,0)</f>
        <v/>
      </c>
      <c r="F57" s="147">
        <f>IF(D57&gt;0.005,MIN(Mortgage!$H$8-E57,D57),0)</f>
        <v/>
      </c>
      <c r="G57" s="147">
        <f>IF(D57-F57&gt;0.005,MIN(D57-F57,Mortgage!$B$18+IF(MONTH(B57)=Mortgage!$B$20,Mortgage!$B$19,0)+SUMIFS(Mortgage!$E$6:$E$15,Mortgage!$D$6:$D$15,"&gt;="&amp;B57,Mortgage!$D$6:$D$15,"&lt;"&amp;EDATE(B57,1))+IF(Mortgage!$B$10="Bi-weekly (accelerated)",Mortgage!$H$8/12,0)),0)</f>
        <v/>
      </c>
      <c r="H57" s="147">
        <f>F57+G57</f>
        <v/>
      </c>
      <c r="I57" s="148">
        <f>D57-H57</f>
        <v/>
      </c>
      <c r="J57" s="147">
        <f>E57+F57+G57</f>
        <v/>
      </c>
      <c r="K57" s="147">
        <f>IF(AND(D57&gt;0.005,Mortgage!$H$7&gt;0.8,D57/Mortgage!$B$5&gt;Mortgage!$B$14),Mortgage!$H$5*Mortgage!$B$13/12,0)</f>
        <v/>
      </c>
      <c r="L57" s="147">
        <f>IF(D57&gt;0.005,Mortgage!$B$11/12*(1+Mortgage!$B$16)^(C57-1),0)</f>
        <v/>
      </c>
      <c r="M57" s="147">
        <f>IF(D57&gt;0.005,Mortgage!$B$12/12*(1+Mortgage!$B$16)^(C57-1),0)</f>
        <v/>
      </c>
      <c r="N57" s="147">
        <f>IF(D57&gt;0.005,Mortgage!$B$15,0)</f>
        <v/>
      </c>
      <c r="O57" s="147">
        <f>J57+K57+L57+M57+N57</f>
        <v/>
      </c>
      <c r="P57" s="147">
        <f>P56+E57</f>
        <v/>
      </c>
      <c r="Q57" s="147">
        <f>IF(D57&gt;0.005,Mortgage!$B$5*(1+Mortgage!$B$17)^(A57/12),"")</f>
        <v/>
      </c>
      <c r="R57" s="147">
        <f>IF(D57&gt;0.005,Q57-I57,"")</f>
        <v/>
      </c>
      <c r="S57" s="147">
        <f>IF(A57&gt;Mortgage!$B$8*12,0,IF(Mortgage!$B$7=0,MAX(0,Mortgage!$H$5-Mortgage!$H$8*A57),MAX(0,Mortgage!$H$5*(1+(Mortgage!$B$7/12))^A57-Mortgage!$H$8*((1+(Mortgage!$B$7/12))^A57-1)/(Mortgage!$B$7/12))))</f>
        <v/>
      </c>
      <c r="T57" s="149">
        <f>IF(D57&gt;0.005,I57/Mortgage!$B$5,"")</f>
        <v/>
      </c>
      <c r="U57">
        <f>IF(A57&gt;Mortgage!$B$8*12,NA(),B57)</f>
        <v/>
      </c>
      <c r="V57">
        <f>IF(D57&gt;0.005,I57,NA())</f>
        <v/>
      </c>
      <c r="W57">
        <f>IF(A57&gt;Mortgage!$B$8*12,NA(),S57)</f>
        <v/>
      </c>
    </row>
    <row r="58">
      <c r="A58" s="129" t="n">
        <v>53</v>
      </c>
      <c r="B58" s="146">
        <f>EDATE(Mortgage!$B$9,A58-1)</f>
        <v/>
      </c>
      <c r="C58" s="129">
        <f>INT((A58-1)/12)+1</f>
        <v/>
      </c>
      <c r="D58" s="147">
        <f>IF(N(I57)&gt;0.005,I57,0)</f>
        <v/>
      </c>
      <c r="E58" s="147">
        <f>IF(D58&gt;0.005,D58*Mortgage!$B$7/12,0)</f>
        <v/>
      </c>
      <c r="F58" s="147">
        <f>IF(D58&gt;0.005,MIN(Mortgage!$H$8-E58,D58),0)</f>
        <v/>
      </c>
      <c r="G58" s="147">
        <f>IF(D58-F58&gt;0.005,MIN(D58-F58,Mortgage!$B$18+IF(MONTH(B58)=Mortgage!$B$20,Mortgage!$B$19,0)+SUMIFS(Mortgage!$E$6:$E$15,Mortgage!$D$6:$D$15,"&gt;="&amp;B58,Mortgage!$D$6:$D$15,"&lt;"&amp;EDATE(B58,1))+IF(Mortgage!$B$10="Bi-weekly (accelerated)",Mortgage!$H$8/12,0)),0)</f>
        <v/>
      </c>
      <c r="H58" s="147">
        <f>F58+G58</f>
        <v/>
      </c>
      <c r="I58" s="148">
        <f>D58-H58</f>
        <v/>
      </c>
      <c r="J58" s="147">
        <f>E58+F58+G58</f>
        <v/>
      </c>
      <c r="K58" s="147">
        <f>IF(AND(D58&gt;0.005,Mortgage!$H$7&gt;0.8,D58/Mortgage!$B$5&gt;Mortgage!$B$14),Mortgage!$H$5*Mortgage!$B$13/12,0)</f>
        <v/>
      </c>
      <c r="L58" s="147">
        <f>IF(D58&gt;0.005,Mortgage!$B$11/12*(1+Mortgage!$B$16)^(C58-1),0)</f>
        <v/>
      </c>
      <c r="M58" s="147">
        <f>IF(D58&gt;0.005,Mortgage!$B$12/12*(1+Mortgage!$B$16)^(C58-1),0)</f>
        <v/>
      </c>
      <c r="N58" s="147">
        <f>IF(D58&gt;0.005,Mortgage!$B$15,0)</f>
        <v/>
      </c>
      <c r="O58" s="147">
        <f>J58+K58+L58+M58+N58</f>
        <v/>
      </c>
      <c r="P58" s="147">
        <f>P57+E58</f>
        <v/>
      </c>
      <c r="Q58" s="147">
        <f>IF(D58&gt;0.005,Mortgage!$B$5*(1+Mortgage!$B$17)^(A58/12),"")</f>
        <v/>
      </c>
      <c r="R58" s="147">
        <f>IF(D58&gt;0.005,Q58-I58,"")</f>
        <v/>
      </c>
      <c r="S58" s="147">
        <f>IF(A58&gt;Mortgage!$B$8*12,0,IF(Mortgage!$B$7=0,MAX(0,Mortgage!$H$5-Mortgage!$H$8*A58),MAX(0,Mortgage!$H$5*(1+(Mortgage!$B$7/12))^A58-Mortgage!$H$8*((1+(Mortgage!$B$7/12))^A58-1)/(Mortgage!$B$7/12))))</f>
        <v/>
      </c>
      <c r="T58" s="149">
        <f>IF(D58&gt;0.005,I58/Mortgage!$B$5,"")</f>
        <v/>
      </c>
      <c r="U58">
        <f>IF(A58&gt;Mortgage!$B$8*12,NA(),B58)</f>
        <v/>
      </c>
      <c r="V58">
        <f>IF(D58&gt;0.005,I58,NA())</f>
        <v/>
      </c>
      <c r="W58">
        <f>IF(A58&gt;Mortgage!$B$8*12,NA(),S58)</f>
        <v/>
      </c>
    </row>
    <row r="59">
      <c r="A59" s="129" t="n">
        <v>54</v>
      </c>
      <c r="B59" s="146">
        <f>EDATE(Mortgage!$B$9,A59-1)</f>
        <v/>
      </c>
      <c r="C59" s="129">
        <f>INT((A59-1)/12)+1</f>
        <v/>
      </c>
      <c r="D59" s="147">
        <f>IF(N(I58)&gt;0.005,I58,0)</f>
        <v/>
      </c>
      <c r="E59" s="147">
        <f>IF(D59&gt;0.005,D59*Mortgage!$B$7/12,0)</f>
        <v/>
      </c>
      <c r="F59" s="147">
        <f>IF(D59&gt;0.005,MIN(Mortgage!$H$8-E59,D59),0)</f>
        <v/>
      </c>
      <c r="G59" s="147">
        <f>IF(D59-F59&gt;0.005,MIN(D59-F59,Mortgage!$B$18+IF(MONTH(B59)=Mortgage!$B$20,Mortgage!$B$19,0)+SUMIFS(Mortgage!$E$6:$E$15,Mortgage!$D$6:$D$15,"&gt;="&amp;B59,Mortgage!$D$6:$D$15,"&lt;"&amp;EDATE(B59,1))+IF(Mortgage!$B$10="Bi-weekly (accelerated)",Mortgage!$H$8/12,0)),0)</f>
        <v/>
      </c>
      <c r="H59" s="147">
        <f>F59+G59</f>
        <v/>
      </c>
      <c r="I59" s="148">
        <f>D59-H59</f>
        <v/>
      </c>
      <c r="J59" s="147">
        <f>E59+F59+G59</f>
        <v/>
      </c>
      <c r="K59" s="147">
        <f>IF(AND(D59&gt;0.005,Mortgage!$H$7&gt;0.8,D59/Mortgage!$B$5&gt;Mortgage!$B$14),Mortgage!$H$5*Mortgage!$B$13/12,0)</f>
        <v/>
      </c>
      <c r="L59" s="147">
        <f>IF(D59&gt;0.005,Mortgage!$B$11/12*(1+Mortgage!$B$16)^(C59-1),0)</f>
        <v/>
      </c>
      <c r="M59" s="147">
        <f>IF(D59&gt;0.005,Mortgage!$B$12/12*(1+Mortgage!$B$16)^(C59-1),0)</f>
        <v/>
      </c>
      <c r="N59" s="147">
        <f>IF(D59&gt;0.005,Mortgage!$B$15,0)</f>
        <v/>
      </c>
      <c r="O59" s="147">
        <f>J59+K59+L59+M59+N59</f>
        <v/>
      </c>
      <c r="P59" s="147">
        <f>P58+E59</f>
        <v/>
      </c>
      <c r="Q59" s="147">
        <f>IF(D59&gt;0.005,Mortgage!$B$5*(1+Mortgage!$B$17)^(A59/12),"")</f>
        <v/>
      </c>
      <c r="R59" s="147">
        <f>IF(D59&gt;0.005,Q59-I59,"")</f>
        <v/>
      </c>
      <c r="S59" s="147">
        <f>IF(A59&gt;Mortgage!$B$8*12,0,IF(Mortgage!$B$7=0,MAX(0,Mortgage!$H$5-Mortgage!$H$8*A59),MAX(0,Mortgage!$H$5*(1+(Mortgage!$B$7/12))^A59-Mortgage!$H$8*((1+(Mortgage!$B$7/12))^A59-1)/(Mortgage!$B$7/12))))</f>
        <v/>
      </c>
      <c r="T59" s="149">
        <f>IF(D59&gt;0.005,I59/Mortgage!$B$5,"")</f>
        <v/>
      </c>
      <c r="U59">
        <f>IF(A59&gt;Mortgage!$B$8*12,NA(),B59)</f>
        <v/>
      </c>
      <c r="V59">
        <f>IF(D59&gt;0.005,I59,NA())</f>
        <v/>
      </c>
      <c r="W59">
        <f>IF(A59&gt;Mortgage!$B$8*12,NA(),S59)</f>
        <v/>
      </c>
    </row>
    <row r="60">
      <c r="A60" s="129" t="n">
        <v>55</v>
      </c>
      <c r="B60" s="146">
        <f>EDATE(Mortgage!$B$9,A60-1)</f>
        <v/>
      </c>
      <c r="C60" s="129">
        <f>INT((A60-1)/12)+1</f>
        <v/>
      </c>
      <c r="D60" s="147">
        <f>IF(N(I59)&gt;0.005,I59,0)</f>
        <v/>
      </c>
      <c r="E60" s="147">
        <f>IF(D60&gt;0.005,D60*Mortgage!$B$7/12,0)</f>
        <v/>
      </c>
      <c r="F60" s="147">
        <f>IF(D60&gt;0.005,MIN(Mortgage!$H$8-E60,D60),0)</f>
        <v/>
      </c>
      <c r="G60" s="147">
        <f>IF(D60-F60&gt;0.005,MIN(D60-F60,Mortgage!$B$18+IF(MONTH(B60)=Mortgage!$B$20,Mortgage!$B$19,0)+SUMIFS(Mortgage!$E$6:$E$15,Mortgage!$D$6:$D$15,"&gt;="&amp;B60,Mortgage!$D$6:$D$15,"&lt;"&amp;EDATE(B60,1))+IF(Mortgage!$B$10="Bi-weekly (accelerated)",Mortgage!$H$8/12,0)),0)</f>
        <v/>
      </c>
      <c r="H60" s="147">
        <f>F60+G60</f>
        <v/>
      </c>
      <c r="I60" s="148">
        <f>D60-H60</f>
        <v/>
      </c>
      <c r="J60" s="147">
        <f>E60+F60+G60</f>
        <v/>
      </c>
      <c r="K60" s="147">
        <f>IF(AND(D60&gt;0.005,Mortgage!$H$7&gt;0.8,D60/Mortgage!$B$5&gt;Mortgage!$B$14),Mortgage!$H$5*Mortgage!$B$13/12,0)</f>
        <v/>
      </c>
      <c r="L60" s="147">
        <f>IF(D60&gt;0.005,Mortgage!$B$11/12*(1+Mortgage!$B$16)^(C60-1),0)</f>
        <v/>
      </c>
      <c r="M60" s="147">
        <f>IF(D60&gt;0.005,Mortgage!$B$12/12*(1+Mortgage!$B$16)^(C60-1),0)</f>
        <v/>
      </c>
      <c r="N60" s="147">
        <f>IF(D60&gt;0.005,Mortgage!$B$15,0)</f>
        <v/>
      </c>
      <c r="O60" s="147">
        <f>J60+K60+L60+M60+N60</f>
        <v/>
      </c>
      <c r="P60" s="147">
        <f>P59+E60</f>
        <v/>
      </c>
      <c r="Q60" s="147">
        <f>IF(D60&gt;0.005,Mortgage!$B$5*(1+Mortgage!$B$17)^(A60/12),"")</f>
        <v/>
      </c>
      <c r="R60" s="147">
        <f>IF(D60&gt;0.005,Q60-I60,"")</f>
        <v/>
      </c>
      <c r="S60" s="147">
        <f>IF(A60&gt;Mortgage!$B$8*12,0,IF(Mortgage!$B$7=0,MAX(0,Mortgage!$H$5-Mortgage!$H$8*A60),MAX(0,Mortgage!$H$5*(1+(Mortgage!$B$7/12))^A60-Mortgage!$H$8*((1+(Mortgage!$B$7/12))^A60-1)/(Mortgage!$B$7/12))))</f>
        <v/>
      </c>
      <c r="T60" s="149">
        <f>IF(D60&gt;0.005,I60/Mortgage!$B$5,"")</f>
        <v/>
      </c>
      <c r="U60">
        <f>IF(A60&gt;Mortgage!$B$8*12,NA(),B60)</f>
        <v/>
      </c>
      <c r="V60">
        <f>IF(D60&gt;0.005,I60,NA())</f>
        <v/>
      </c>
      <c r="W60">
        <f>IF(A60&gt;Mortgage!$B$8*12,NA(),S60)</f>
        <v/>
      </c>
    </row>
    <row r="61">
      <c r="A61" s="129" t="n">
        <v>56</v>
      </c>
      <c r="B61" s="146">
        <f>EDATE(Mortgage!$B$9,A61-1)</f>
        <v/>
      </c>
      <c r="C61" s="129">
        <f>INT((A61-1)/12)+1</f>
        <v/>
      </c>
      <c r="D61" s="147">
        <f>IF(N(I60)&gt;0.005,I60,0)</f>
        <v/>
      </c>
      <c r="E61" s="147">
        <f>IF(D61&gt;0.005,D61*Mortgage!$B$7/12,0)</f>
        <v/>
      </c>
      <c r="F61" s="147">
        <f>IF(D61&gt;0.005,MIN(Mortgage!$H$8-E61,D61),0)</f>
        <v/>
      </c>
      <c r="G61" s="147">
        <f>IF(D61-F61&gt;0.005,MIN(D61-F61,Mortgage!$B$18+IF(MONTH(B61)=Mortgage!$B$20,Mortgage!$B$19,0)+SUMIFS(Mortgage!$E$6:$E$15,Mortgage!$D$6:$D$15,"&gt;="&amp;B61,Mortgage!$D$6:$D$15,"&lt;"&amp;EDATE(B61,1))+IF(Mortgage!$B$10="Bi-weekly (accelerated)",Mortgage!$H$8/12,0)),0)</f>
        <v/>
      </c>
      <c r="H61" s="147">
        <f>F61+G61</f>
        <v/>
      </c>
      <c r="I61" s="148">
        <f>D61-H61</f>
        <v/>
      </c>
      <c r="J61" s="147">
        <f>E61+F61+G61</f>
        <v/>
      </c>
      <c r="K61" s="147">
        <f>IF(AND(D61&gt;0.005,Mortgage!$H$7&gt;0.8,D61/Mortgage!$B$5&gt;Mortgage!$B$14),Mortgage!$H$5*Mortgage!$B$13/12,0)</f>
        <v/>
      </c>
      <c r="L61" s="147">
        <f>IF(D61&gt;0.005,Mortgage!$B$11/12*(1+Mortgage!$B$16)^(C61-1),0)</f>
        <v/>
      </c>
      <c r="M61" s="147">
        <f>IF(D61&gt;0.005,Mortgage!$B$12/12*(1+Mortgage!$B$16)^(C61-1),0)</f>
        <v/>
      </c>
      <c r="N61" s="147">
        <f>IF(D61&gt;0.005,Mortgage!$B$15,0)</f>
        <v/>
      </c>
      <c r="O61" s="147">
        <f>J61+K61+L61+M61+N61</f>
        <v/>
      </c>
      <c r="P61" s="147">
        <f>P60+E61</f>
        <v/>
      </c>
      <c r="Q61" s="147">
        <f>IF(D61&gt;0.005,Mortgage!$B$5*(1+Mortgage!$B$17)^(A61/12),"")</f>
        <v/>
      </c>
      <c r="R61" s="147">
        <f>IF(D61&gt;0.005,Q61-I61,"")</f>
        <v/>
      </c>
      <c r="S61" s="147">
        <f>IF(A61&gt;Mortgage!$B$8*12,0,IF(Mortgage!$B$7=0,MAX(0,Mortgage!$H$5-Mortgage!$H$8*A61),MAX(0,Mortgage!$H$5*(1+(Mortgage!$B$7/12))^A61-Mortgage!$H$8*((1+(Mortgage!$B$7/12))^A61-1)/(Mortgage!$B$7/12))))</f>
        <v/>
      </c>
      <c r="T61" s="149">
        <f>IF(D61&gt;0.005,I61/Mortgage!$B$5,"")</f>
        <v/>
      </c>
      <c r="U61">
        <f>IF(A61&gt;Mortgage!$B$8*12,NA(),B61)</f>
        <v/>
      </c>
      <c r="V61">
        <f>IF(D61&gt;0.005,I61,NA())</f>
        <v/>
      </c>
      <c r="W61">
        <f>IF(A61&gt;Mortgage!$B$8*12,NA(),S61)</f>
        <v/>
      </c>
    </row>
    <row r="62">
      <c r="A62" s="129" t="n">
        <v>57</v>
      </c>
      <c r="B62" s="146">
        <f>EDATE(Mortgage!$B$9,A62-1)</f>
        <v/>
      </c>
      <c r="C62" s="129">
        <f>INT((A62-1)/12)+1</f>
        <v/>
      </c>
      <c r="D62" s="147">
        <f>IF(N(I61)&gt;0.005,I61,0)</f>
        <v/>
      </c>
      <c r="E62" s="147">
        <f>IF(D62&gt;0.005,D62*Mortgage!$B$7/12,0)</f>
        <v/>
      </c>
      <c r="F62" s="147">
        <f>IF(D62&gt;0.005,MIN(Mortgage!$H$8-E62,D62),0)</f>
        <v/>
      </c>
      <c r="G62" s="147">
        <f>IF(D62-F62&gt;0.005,MIN(D62-F62,Mortgage!$B$18+IF(MONTH(B62)=Mortgage!$B$20,Mortgage!$B$19,0)+SUMIFS(Mortgage!$E$6:$E$15,Mortgage!$D$6:$D$15,"&gt;="&amp;B62,Mortgage!$D$6:$D$15,"&lt;"&amp;EDATE(B62,1))+IF(Mortgage!$B$10="Bi-weekly (accelerated)",Mortgage!$H$8/12,0)),0)</f>
        <v/>
      </c>
      <c r="H62" s="147">
        <f>F62+G62</f>
        <v/>
      </c>
      <c r="I62" s="148">
        <f>D62-H62</f>
        <v/>
      </c>
      <c r="J62" s="147">
        <f>E62+F62+G62</f>
        <v/>
      </c>
      <c r="K62" s="147">
        <f>IF(AND(D62&gt;0.005,Mortgage!$H$7&gt;0.8,D62/Mortgage!$B$5&gt;Mortgage!$B$14),Mortgage!$H$5*Mortgage!$B$13/12,0)</f>
        <v/>
      </c>
      <c r="L62" s="147">
        <f>IF(D62&gt;0.005,Mortgage!$B$11/12*(1+Mortgage!$B$16)^(C62-1),0)</f>
        <v/>
      </c>
      <c r="M62" s="147">
        <f>IF(D62&gt;0.005,Mortgage!$B$12/12*(1+Mortgage!$B$16)^(C62-1),0)</f>
        <v/>
      </c>
      <c r="N62" s="147">
        <f>IF(D62&gt;0.005,Mortgage!$B$15,0)</f>
        <v/>
      </c>
      <c r="O62" s="147">
        <f>J62+K62+L62+M62+N62</f>
        <v/>
      </c>
      <c r="P62" s="147">
        <f>P61+E62</f>
        <v/>
      </c>
      <c r="Q62" s="147">
        <f>IF(D62&gt;0.005,Mortgage!$B$5*(1+Mortgage!$B$17)^(A62/12),"")</f>
        <v/>
      </c>
      <c r="R62" s="147">
        <f>IF(D62&gt;0.005,Q62-I62,"")</f>
        <v/>
      </c>
      <c r="S62" s="147">
        <f>IF(A62&gt;Mortgage!$B$8*12,0,IF(Mortgage!$B$7=0,MAX(0,Mortgage!$H$5-Mortgage!$H$8*A62),MAX(0,Mortgage!$H$5*(1+(Mortgage!$B$7/12))^A62-Mortgage!$H$8*((1+(Mortgage!$B$7/12))^A62-1)/(Mortgage!$B$7/12))))</f>
        <v/>
      </c>
      <c r="T62" s="149">
        <f>IF(D62&gt;0.005,I62/Mortgage!$B$5,"")</f>
        <v/>
      </c>
      <c r="U62">
        <f>IF(A62&gt;Mortgage!$B$8*12,NA(),B62)</f>
        <v/>
      </c>
      <c r="V62">
        <f>IF(D62&gt;0.005,I62,NA())</f>
        <v/>
      </c>
      <c r="W62">
        <f>IF(A62&gt;Mortgage!$B$8*12,NA(),S62)</f>
        <v/>
      </c>
    </row>
    <row r="63">
      <c r="A63" s="129" t="n">
        <v>58</v>
      </c>
      <c r="B63" s="146">
        <f>EDATE(Mortgage!$B$9,A63-1)</f>
        <v/>
      </c>
      <c r="C63" s="129">
        <f>INT((A63-1)/12)+1</f>
        <v/>
      </c>
      <c r="D63" s="147">
        <f>IF(N(I62)&gt;0.005,I62,0)</f>
        <v/>
      </c>
      <c r="E63" s="147">
        <f>IF(D63&gt;0.005,D63*Mortgage!$B$7/12,0)</f>
        <v/>
      </c>
      <c r="F63" s="147">
        <f>IF(D63&gt;0.005,MIN(Mortgage!$H$8-E63,D63),0)</f>
        <v/>
      </c>
      <c r="G63" s="147">
        <f>IF(D63-F63&gt;0.005,MIN(D63-F63,Mortgage!$B$18+IF(MONTH(B63)=Mortgage!$B$20,Mortgage!$B$19,0)+SUMIFS(Mortgage!$E$6:$E$15,Mortgage!$D$6:$D$15,"&gt;="&amp;B63,Mortgage!$D$6:$D$15,"&lt;"&amp;EDATE(B63,1))+IF(Mortgage!$B$10="Bi-weekly (accelerated)",Mortgage!$H$8/12,0)),0)</f>
        <v/>
      </c>
      <c r="H63" s="147">
        <f>F63+G63</f>
        <v/>
      </c>
      <c r="I63" s="148">
        <f>D63-H63</f>
        <v/>
      </c>
      <c r="J63" s="147">
        <f>E63+F63+G63</f>
        <v/>
      </c>
      <c r="K63" s="147">
        <f>IF(AND(D63&gt;0.005,Mortgage!$H$7&gt;0.8,D63/Mortgage!$B$5&gt;Mortgage!$B$14),Mortgage!$H$5*Mortgage!$B$13/12,0)</f>
        <v/>
      </c>
      <c r="L63" s="147">
        <f>IF(D63&gt;0.005,Mortgage!$B$11/12*(1+Mortgage!$B$16)^(C63-1),0)</f>
        <v/>
      </c>
      <c r="M63" s="147">
        <f>IF(D63&gt;0.005,Mortgage!$B$12/12*(1+Mortgage!$B$16)^(C63-1),0)</f>
        <v/>
      </c>
      <c r="N63" s="147">
        <f>IF(D63&gt;0.005,Mortgage!$B$15,0)</f>
        <v/>
      </c>
      <c r="O63" s="147">
        <f>J63+K63+L63+M63+N63</f>
        <v/>
      </c>
      <c r="P63" s="147">
        <f>P62+E63</f>
        <v/>
      </c>
      <c r="Q63" s="147">
        <f>IF(D63&gt;0.005,Mortgage!$B$5*(1+Mortgage!$B$17)^(A63/12),"")</f>
        <v/>
      </c>
      <c r="R63" s="147">
        <f>IF(D63&gt;0.005,Q63-I63,"")</f>
        <v/>
      </c>
      <c r="S63" s="147">
        <f>IF(A63&gt;Mortgage!$B$8*12,0,IF(Mortgage!$B$7=0,MAX(0,Mortgage!$H$5-Mortgage!$H$8*A63),MAX(0,Mortgage!$H$5*(1+(Mortgage!$B$7/12))^A63-Mortgage!$H$8*((1+(Mortgage!$B$7/12))^A63-1)/(Mortgage!$B$7/12))))</f>
        <v/>
      </c>
      <c r="T63" s="149">
        <f>IF(D63&gt;0.005,I63/Mortgage!$B$5,"")</f>
        <v/>
      </c>
      <c r="U63">
        <f>IF(A63&gt;Mortgage!$B$8*12,NA(),B63)</f>
        <v/>
      </c>
      <c r="V63">
        <f>IF(D63&gt;0.005,I63,NA())</f>
        <v/>
      </c>
      <c r="W63">
        <f>IF(A63&gt;Mortgage!$B$8*12,NA(),S63)</f>
        <v/>
      </c>
    </row>
    <row r="64">
      <c r="A64" s="129" t="n">
        <v>59</v>
      </c>
      <c r="B64" s="146">
        <f>EDATE(Mortgage!$B$9,A64-1)</f>
        <v/>
      </c>
      <c r="C64" s="129">
        <f>INT((A64-1)/12)+1</f>
        <v/>
      </c>
      <c r="D64" s="147">
        <f>IF(N(I63)&gt;0.005,I63,0)</f>
        <v/>
      </c>
      <c r="E64" s="147">
        <f>IF(D64&gt;0.005,D64*Mortgage!$B$7/12,0)</f>
        <v/>
      </c>
      <c r="F64" s="147">
        <f>IF(D64&gt;0.005,MIN(Mortgage!$H$8-E64,D64),0)</f>
        <v/>
      </c>
      <c r="G64" s="147">
        <f>IF(D64-F64&gt;0.005,MIN(D64-F64,Mortgage!$B$18+IF(MONTH(B64)=Mortgage!$B$20,Mortgage!$B$19,0)+SUMIFS(Mortgage!$E$6:$E$15,Mortgage!$D$6:$D$15,"&gt;="&amp;B64,Mortgage!$D$6:$D$15,"&lt;"&amp;EDATE(B64,1))+IF(Mortgage!$B$10="Bi-weekly (accelerated)",Mortgage!$H$8/12,0)),0)</f>
        <v/>
      </c>
      <c r="H64" s="147">
        <f>F64+G64</f>
        <v/>
      </c>
      <c r="I64" s="148">
        <f>D64-H64</f>
        <v/>
      </c>
      <c r="J64" s="147">
        <f>E64+F64+G64</f>
        <v/>
      </c>
      <c r="K64" s="147">
        <f>IF(AND(D64&gt;0.005,Mortgage!$H$7&gt;0.8,D64/Mortgage!$B$5&gt;Mortgage!$B$14),Mortgage!$H$5*Mortgage!$B$13/12,0)</f>
        <v/>
      </c>
      <c r="L64" s="147">
        <f>IF(D64&gt;0.005,Mortgage!$B$11/12*(1+Mortgage!$B$16)^(C64-1),0)</f>
        <v/>
      </c>
      <c r="M64" s="147">
        <f>IF(D64&gt;0.005,Mortgage!$B$12/12*(1+Mortgage!$B$16)^(C64-1),0)</f>
        <v/>
      </c>
      <c r="N64" s="147">
        <f>IF(D64&gt;0.005,Mortgage!$B$15,0)</f>
        <v/>
      </c>
      <c r="O64" s="147">
        <f>J64+K64+L64+M64+N64</f>
        <v/>
      </c>
      <c r="P64" s="147">
        <f>P63+E64</f>
        <v/>
      </c>
      <c r="Q64" s="147">
        <f>IF(D64&gt;0.005,Mortgage!$B$5*(1+Mortgage!$B$17)^(A64/12),"")</f>
        <v/>
      </c>
      <c r="R64" s="147">
        <f>IF(D64&gt;0.005,Q64-I64,"")</f>
        <v/>
      </c>
      <c r="S64" s="147">
        <f>IF(A64&gt;Mortgage!$B$8*12,0,IF(Mortgage!$B$7=0,MAX(0,Mortgage!$H$5-Mortgage!$H$8*A64),MAX(0,Mortgage!$H$5*(1+(Mortgage!$B$7/12))^A64-Mortgage!$H$8*((1+(Mortgage!$B$7/12))^A64-1)/(Mortgage!$B$7/12))))</f>
        <v/>
      </c>
      <c r="T64" s="149">
        <f>IF(D64&gt;0.005,I64/Mortgage!$B$5,"")</f>
        <v/>
      </c>
      <c r="U64">
        <f>IF(A64&gt;Mortgage!$B$8*12,NA(),B64)</f>
        <v/>
      </c>
      <c r="V64">
        <f>IF(D64&gt;0.005,I64,NA())</f>
        <v/>
      </c>
      <c r="W64">
        <f>IF(A64&gt;Mortgage!$B$8*12,NA(),S64)</f>
        <v/>
      </c>
    </row>
    <row r="65">
      <c r="A65" s="129" t="n">
        <v>60</v>
      </c>
      <c r="B65" s="146">
        <f>EDATE(Mortgage!$B$9,A65-1)</f>
        <v/>
      </c>
      <c r="C65" s="129">
        <f>INT((A65-1)/12)+1</f>
        <v/>
      </c>
      <c r="D65" s="147">
        <f>IF(N(I64)&gt;0.005,I64,0)</f>
        <v/>
      </c>
      <c r="E65" s="147">
        <f>IF(D65&gt;0.005,D65*Mortgage!$B$7/12,0)</f>
        <v/>
      </c>
      <c r="F65" s="147">
        <f>IF(D65&gt;0.005,MIN(Mortgage!$H$8-E65,D65),0)</f>
        <v/>
      </c>
      <c r="G65" s="147">
        <f>IF(D65-F65&gt;0.005,MIN(D65-F65,Mortgage!$B$18+IF(MONTH(B65)=Mortgage!$B$20,Mortgage!$B$19,0)+SUMIFS(Mortgage!$E$6:$E$15,Mortgage!$D$6:$D$15,"&gt;="&amp;B65,Mortgage!$D$6:$D$15,"&lt;"&amp;EDATE(B65,1))+IF(Mortgage!$B$10="Bi-weekly (accelerated)",Mortgage!$H$8/12,0)),0)</f>
        <v/>
      </c>
      <c r="H65" s="147">
        <f>F65+G65</f>
        <v/>
      </c>
      <c r="I65" s="148">
        <f>D65-H65</f>
        <v/>
      </c>
      <c r="J65" s="147">
        <f>E65+F65+G65</f>
        <v/>
      </c>
      <c r="K65" s="147">
        <f>IF(AND(D65&gt;0.005,Mortgage!$H$7&gt;0.8,D65/Mortgage!$B$5&gt;Mortgage!$B$14),Mortgage!$H$5*Mortgage!$B$13/12,0)</f>
        <v/>
      </c>
      <c r="L65" s="147">
        <f>IF(D65&gt;0.005,Mortgage!$B$11/12*(1+Mortgage!$B$16)^(C65-1),0)</f>
        <v/>
      </c>
      <c r="M65" s="147">
        <f>IF(D65&gt;0.005,Mortgage!$B$12/12*(1+Mortgage!$B$16)^(C65-1),0)</f>
        <v/>
      </c>
      <c r="N65" s="147">
        <f>IF(D65&gt;0.005,Mortgage!$B$15,0)</f>
        <v/>
      </c>
      <c r="O65" s="147">
        <f>J65+K65+L65+M65+N65</f>
        <v/>
      </c>
      <c r="P65" s="147">
        <f>P64+E65</f>
        <v/>
      </c>
      <c r="Q65" s="147">
        <f>IF(D65&gt;0.005,Mortgage!$B$5*(1+Mortgage!$B$17)^(A65/12),"")</f>
        <v/>
      </c>
      <c r="R65" s="147">
        <f>IF(D65&gt;0.005,Q65-I65,"")</f>
        <v/>
      </c>
      <c r="S65" s="147">
        <f>IF(A65&gt;Mortgage!$B$8*12,0,IF(Mortgage!$B$7=0,MAX(0,Mortgage!$H$5-Mortgage!$H$8*A65),MAX(0,Mortgage!$H$5*(1+(Mortgage!$B$7/12))^A65-Mortgage!$H$8*((1+(Mortgage!$B$7/12))^A65-1)/(Mortgage!$B$7/12))))</f>
        <v/>
      </c>
      <c r="T65" s="149">
        <f>IF(D65&gt;0.005,I65/Mortgage!$B$5,"")</f>
        <v/>
      </c>
      <c r="U65">
        <f>IF(A65&gt;Mortgage!$B$8*12,NA(),B65)</f>
        <v/>
      </c>
      <c r="V65">
        <f>IF(D65&gt;0.005,I65,NA())</f>
        <v/>
      </c>
      <c r="W65">
        <f>IF(A65&gt;Mortgage!$B$8*12,NA(),S65)</f>
        <v/>
      </c>
    </row>
    <row r="66">
      <c r="A66" s="129" t="n">
        <v>61</v>
      </c>
      <c r="B66" s="146">
        <f>EDATE(Mortgage!$B$9,A66-1)</f>
        <v/>
      </c>
      <c r="C66" s="129">
        <f>INT((A66-1)/12)+1</f>
        <v/>
      </c>
      <c r="D66" s="147">
        <f>IF(N(I65)&gt;0.005,I65,0)</f>
        <v/>
      </c>
      <c r="E66" s="147">
        <f>IF(D66&gt;0.005,D66*Mortgage!$B$7/12,0)</f>
        <v/>
      </c>
      <c r="F66" s="147">
        <f>IF(D66&gt;0.005,MIN(Mortgage!$H$8-E66,D66),0)</f>
        <v/>
      </c>
      <c r="G66" s="147">
        <f>IF(D66-F66&gt;0.005,MIN(D66-F66,Mortgage!$B$18+IF(MONTH(B66)=Mortgage!$B$20,Mortgage!$B$19,0)+SUMIFS(Mortgage!$E$6:$E$15,Mortgage!$D$6:$D$15,"&gt;="&amp;B66,Mortgage!$D$6:$D$15,"&lt;"&amp;EDATE(B66,1))+IF(Mortgage!$B$10="Bi-weekly (accelerated)",Mortgage!$H$8/12,0)),0)</f>
        <v/>
      </c>
      <c r="H66" s="147">
        <f>F66+G66</f>
        <v/>
      </c>
      <c r="I66" s="148">
        <f>D66-H66</f>
        <v/>
      </c>
      <c r="J66" s="147">
        <f>E66+F66+G66</f>
        <v/>
      </c>
      <c r="K66" s="147">
        <f>IF(AND(D66&gt;0.005,Mortgage!$H$7&gt;0.8,D66/Mortgage!$B$5&gt;Mortgage!$B$14),Mortgage!$H$5*Mortgage!$B$13/12,0)</f>
        <v/>
      </c>
      <c r="L66" s="147">
        <f>IF(D66&gt;0.005,Mortgage!$B$11/12*(1+Mortgage!$B$16)^(C66-1),0)</f>
        <v/>
      </c>
      <c r="M66" s="147">
        <f>IF(D66&gt;0.005,Mortgage!$B$12/12*(1+Mortgage!$B$16)^(C66-1),0)</f>
        <v/>
      </c>
      <c r="N66" s="147">
        <f>IF(D66&gt;0.005,Mortgage!$B$15,0)</f>
        <v/>
      </c>
      <c r="O66" s="147">
        <f>J66+K66+L66+M66+N66</f>
        <v/>
      </c>
      <c r="P66" s="147">
        <f>P65+E66</f>
        <v/>
      </c>
      <c r="Q66" s="147">
        <f>IF(D66&gt;0.005,Mortgage!$B$5*(1+Mortgage!$B$17)^(A66/12),"")</f>
        <v/>
      </c>
      <c r="R66" s="147">
        <f>IF(D66&gt;0.005,Q66-I66,"")</f>
        <v/>
      </c>
      <c r="S66" s="147">
        <f>IF(A66&gt;Mortgage!$B$8*12,0,IF(Mortgage!$B$7=0,MAX(0,Mortgage!$H$5-Mortgage!$H$8*A66),MAX(0,Mortgage!$H$5*(1+(Mortgage!$B$7/12))^A66-Mortgage!$H$8*((1+(Mortgage!$B$7/12))^A66-1)/(Mortgage!$B$7/12))))</f>
        <v/>
      </c>
      <c r="T66" s="149">
        <f>IF(D66&gt;0.005,I66/Mortgage!$B$5,"")</f>
        <v/>
      </c>
      <c r="U66">
        <f>IF(A66&gt;Mortgage!$B$8*12,NA(),B66)</f>
        <v/>
      </c>
      <c r="V66">
        <f>IF(D66&gt;0.005,I66,NA())</f>
        <v/>
      </c>
      <c r="W66">
        <f>IF(A66&gt;Mortgage!$B$8*12,NA(),S66)</f>
        <v/>
      </c>
    </row>
    <row r="67">
      <c r="A67" s="129" t="n">
        <v>62</v>
      </c>
      <c r="B67" s="146">
        <f>EDATE(Mortgage!$B$9,A67-1)</f>
        <v/>
      </c>
      <c r="C67" s="129">
        <f>INT((A67-1)/12)+1</f>
        <v/>
      </c>
      <c r="D67" s="147">
        <f>IF(N(I66)&gt;0.005,I66,0)</f>
        <v/>
      </c>
      <c r="E67" s="147">
        <f>IF(D67&gt;0.005,D67*Mortgage!$B$7/12,0)</f>
        <v/>
      </c>
      <c r="F67" s="147">
        <f>IF(D67&gt;0.005,MIN(Mortgage!$H$8-E67,D67),0)</f>
        <v/>
      </c>
      <c r="G67" s="147">
        <f>IF(D67-F67&gt;0.005,MIN(D67-F67,Mortgage!$B$18+IF(MONTH(B67)=Mortgage!$B$20,Mortgage!$B$19,0)+SUMIFS(Mortgage!$E$6:$E$15,Mortgage!$D$6:$D$15,"&gt;="&amp;B67,Mortgage!$D$6:$D$15,"&lt;"&amp;EDATE(B67,1))+IF(Mortgage!$B$10="Bi-weekly (accelerated)",Mortgage!$H$8/12,0)),0)</f>
        <v/>
      </c>
      <c r="H67" s="147">
        <f>F67+G67</f>
        <v/>
      </c>
      <c r="I67" s="148">
        <f>D67-H67</f>
        <v/>
      </c>
      <c r="J67" s="147">
        <f>E67+F67+G67</f>
        <v/>
      </c>
      <c r="K67" s="147">
        <f>IF(AND(D67&gt;0.005,Mortgage!$H$7&gt;0.8,D67/Mortgage!$B$5&gt;Mortgage!$B$14),Mortgage!$H$5*Mortgage!$B$13/12,0)</f>
        <v/>
      </c>
      <c r="L67" s="147">
        <f>IF(D67&gt;0.005,Mortgage!$B$11/12*(1+Mortgage!$B$16)^(C67-1),0)</f>
        <v/>
      </c>
      <c r="M67" s="147">
        <f>IF(D67&gt;0.005,Mortgage!$B$12/12*(1+Mortgage!$B$16)^(C67-1),0)</f>
        <v/>
      </c>
      <c r="N67" s="147">
        <f>IF(D67&gt;0.005,Mortgage!$B$15,0)</f>
        <v/>
      </c>
      <c r="O67" s="147">
        <f>J67+K67+L67+M67+N67</f>
        <v/>
      </c>
      <c r="P67" s="147">
        <f>P66+E67</f>
        <v/>
      </c>
      <c r="Q67" s="147">
        <f>IF(D67&gt;0.005,Mortgage!$B$5*(1+Mortgage!$B$17)^(A67/12),"")</f>
        <v/>
      </c>
      <c r="R67" s="147">
        <f>IF(D67&gt;0.005,Q67-I67,"")</f>
        <v/>
      </c>
      <c r="S67" s="147">
        <f>IF(A67&gt;Mortgage!$B$8*12,0,IF(Mortgage!$B$7=0,MAX(0,Mortgage!$H$5-Mortgage!$H$8*A67),MAX(0,Mortgage!$H$5*(1+(Mortgage!$B$7/12))^A67-Mortgage!$H$8*((1+(Mortgage!$B$7/12))^A67-1)/(Mortgage!$B$7/12))))</f>
        <v/>
      </c>
      <c r="T67" s="149">
        <f>IF(D67&gt;0.005,I67/Mortgage!$B$5,"")</f>
        <v/>
      </c>
      <c r="U67">
        <f>IF(A67&gt;Mortgage!$B$8*12,NA(),B67)</f>
        <v/>
      </c>
      <c r="V67">
        <f>IF(D67&gt;0.005,I67,NA())</f>
        <v/>
      </c>
      <c r="W67">
        <f>IF(A67&gt;Mortgage!$B$8*12,NA(),S67)</f>
        <v/>
      </c>
    </row>
    <row r="68">
      <c r="A68" s="129" t="n">
        <v>63</v>
      </c>
      <c r="B68" s="146">
        <f>EDATE(Mortgage!$B$9,A68-1)</f>
        <v/>
      </c>
      <c r="C68" s="129">
        <f>INT((A68-1)/12)+1</f>
        <v/>
      </c>
      <c r="D68" s="147">
        <f>IF(N(I67)&gt;0.005,I67,0)</f>
        <v/>
      </c>
      <c r="E68" s="147">
        <f>IF(D68&gt;0.005,D68*Mortgage!$B$7/12,0)</f>
        <v/>
      </c>
      <c r="F68" s="147">
        <f>IF(D68&gt;0.005,MIN(Mortgage!$H$8-E68,D68),0)</f>
        <v/>
      </c>
      <c r="G68" s="147">
        <f>IF(D68-F68&gt;0.005,MIN(D68-F68,Mortgage!$B$18+IF(MONTH(B68)=Mortgage!$B$20,Mortgage!$B$19,0)+SUMIFS(Mortgage!$E$6:$E$15,Mortgage!$D$6:$D$15,"&gt;="&amp;B68,Mortgage!$D$6:$D$15,"&lt;"&amp;EDATE(B68,1))+IF(Mortgage!$B$10="Bi-weekly (accelerated)",Mortgage!$H$8/12,0)),0)</f>
        <v/>
      </c>
      <c r="H68" s="147">
        <f>F68+G68</f>
        <v/>
      </c>
      <c r="I68" s="148">
        <f>D68-H68</f>
        <v/>
      </c>
      <c r="J68" s="147">
        <f>E68+F68+G68</f>
        <v/>
      </c>
      <c r="K68" s="147">
        <f>IF(AND(D68&gt;0.005,Mortgage!$H$7&gt;0.8,D68/Mortgage!$B$5&gt;Mortgage!$B$14),Mortgage!$H$5*Mortgage!$B$13/12,0)</f>
        <v/>
      </c>
      <c r="L68" s="147">
        <f>IF(D68&gt;0.005,Mortgage!$B$11/12*(1+Mortgage!$B$16)^(C68-1),0)</f>
        <v/>
      </c>
      <c r="M68" s="147">
        <f>IF(D68&gt;0.005,Mortgage!$B$12/12*(1+Mortgage!$B$16)^(C68-1),0)</f>
        <v/>
      </c>
      <c r="N68" s="147">
        <f>IF(D68&gt;0.005,Mortgage!$B$15,0)</f>
        <v/>
      </c>
      <c r="O68" s="147">
        <f>J68+K68+L68+M68+N68</f>
        <v/>
      </c>
      <c r="P68" s="147">
        <f>P67+E68</f>
        <v/>
      </c>
      <c r="Q68" s="147">
        <f>IF(D68&gt;0.005,Mortgage!$B$5*(1+Mortgage!$B$17)^(A68/12),"")</f>
        <v/>
      </c>
      <c r="R68" s="147">
        <f>IF(D68&gt;0.005,Q68-I68,"")</f>
        <v/>
      </c>
      <c r="S68" s="147">
        <f>IF(A68&gt;Mortgage!$B$8*12,0,IF(Mortgage!$B$7=0,MAX(0,Mortgage!$H$5-Mortgage!$H$8*A68),MAX(0,Mortgage!$H$5*(1+(Mortgage!$B$7/12))^A68-Mortgage!$H$8*((1+(Mortgage!$B$7/12))^A68-1)/(Mortgage!$B$7/12))))</f>
        <v/>
      </c>
      <c r="T68" s="149">
        <f>IF(D68&gt;0.005,I68/Mortgage!$B$5,"")</f>
        <v/>
      </c>
      <c r="U68">
        <f>IF(A68&gt;Mortgage!$B$8*12,NA(),B68)</f>
        <v/>
      </c>
      <c r="V68">
        <f>IF(D68&gt;0.005,I68,NA())</f>
        <v/>
      </c>
      <c r="W68">
        <f>IF(A68&gt;Mortgage!$B$8*12,NA(),S68)</f>
        <v/>
      </c>
    </row>
    <row r="69">
      <c r="A69" s="129" t="n">
        <v>64</v>
      </c>
      <c r="B69" s="146">
        <f>EDATE(Mortgage!$B$9,A69-1)</f>
        <v/>
      </c>
      <c r="C69" s="129">
        <f>INT((A69-1)/12)+1</f>
        <v/>
      </c>
      <c r="D69" s="147">
        <f>IF(N(I68)&gt;0.005,I68,0)</f>
        <v/>
      </c>
      <c r="E69" s="147">
        <f>IF(D69&gt;0.005,D69*Mortgage!$B$7/12,0)</f>
        <v/>
      </c>
      <c r="F69" s="147">
        <f>IF(D69&gt;0.005,MIN(Mortgage!$H$8-E69,D69),0)</f>
        <v/>
      </c>
      <c r="G69" s="147">
        <f>IF(D69-F69&gt;0.005,MIN(D69-F69,Mortgage!$B$18+IF(MONTH(B69)=Mortgage!$B$20,Mortgage!$B$19,0)+SUMIFS(Mortgage!$E$6:$E$15,Mortgage!$D$6:$D$15,"&gt;="&amp;B69,Mortgage!$D$6:$D$15,"&lt;"&amp;EDATE(B69,1))+IF(Mortgage!$B$10="Bi-weekly (accelerated)",Mortgage!$H$8/12,0)),0)</f>
        <v/>
      </c>
      <c r="H69" s="147">
        <f>F69+G69</f>
        <v/>
      </c>
      <c r="I69" s="148">
        <f>D69-H69</f>
        <v/>
      </c>
      <c r="J69" s="147">
        <f>E69+F69+G69</f>
        <v/>
      </c>
      <c r="K69" s="147">
        <f>IF(AND(D69&gt;0.005,Mortgage!$H$7&gt;0.8,D69/Mortgage!$B$5&gt;Mortgage!$B$14),Mortgage!$H$5*Mortgage!$B$13/12,0)</f>
        <v/>
      </c>
      <c r="L69" s="147">
        <f>IF(D69&gt;0.005,Mortgage!$B$11/12*(1+Mortgage!$B$16)^(C69-1),0)</f>
        <v/>
      </c>
      <c r="M69" s="147">
        <f>IF(D69&gt;0.005,Mortgage!$B$12/12*(1+Mortgage!$B$16)^(C69-1),0)</f>
        <v/>
      </c>
      <c r="N69" s="147">
        <f>IF(D69&gt;0.005,Mortgage!$B$15,0)</f>
        <v/>
      </c>
      <c r="O69" s="147">
        <f>J69+K69+L69+M69+N69</f>
        <v/>
      </c>
      <c r="P69" s="147">
        <f>P68+E69</f>
        <v/>
      </c>
      <c r="Q69" s="147">
        <f>IF(D69&gt;0.005,Mortgage!$B$5*(1+Mortgage!$B$17)^(A69/12),"")</f>
        <v/>
      </c>
      <c r="R69" s="147">
        <f>IF(D69&gt;0.005,Q69-I69,"")</f>
        <v/>
      </c>
      <c r="S69" s="147">
        <f>IF(A69&gt;Mortgage!$B$8*12,0,IF(Mortgage!$B$7=0,MAX(0,Mortgage!$H$5-Mortgage!$H$8*A69),MAX(0,Mortgage!$H$5*(1+(Mortgage!$B$7/12))^A69-Mortgage!$H$8*((1+(Mortgage!$B$7/12))^A69-1)/(Mortgage!$B$7/12))))</f>
        <v/>
      </c>
      <c r="T69" s="149">
        <f>IF(D69&gt;0.005,I69/Mortgage!$B$5,"")</f>
        <v/>
      </c>
      <c r="U69">
        <f>IF(A69&gt;Mortgage!$B$8*12,NA(),B69)</f>
        <v/>
      </c>
      <c r="V69">
        <f>IF(D69&gt;0.005,I69,NA())</f>
        <v/>
      </c>
      <c r="W69">
        <f>IF(A69&gt;Mortgage!$B$8*12,NA(),S69)</f>
        <v/>
      </c>
    </row>
    <row r="70">
      <c r="A70" s="129" t="n">
        <v>65</v>
      </c>
      <c r="B70" s="146">
        <f>EDATE(Mortgage!$B$9,A70-1)</f>
        <v/>
      </c>
      <c r="C70" s="129">
        <f>INT((A70-1)/12)+1</f>
        <v/>
      </c>
      <c r="D70" s="147">
        <f>IF(N(I69)&gt;0.005,I69,0)</f>
        <v/>
      </c>
      <c r="E70" s="147">
        <f>IF(D70&gt;0.005,D70*Mortgage!$B$7/12,0)</f>
        <v/>
      </c>
      <c r="F70" s="147">
        <f>IF(D70&gt;0.005,MIN(Mortgage!$H$8-E70,D70),0)</f>
        <v/>
      </c>
      <c r="G70" s="147">
        <f>IF(D70-F70&gt;0.005,MIN(D70-F70,Mortgage!$B$18+IF(MONTH(B70)=Mortgage!$B$20,Mortgage!$B$19,0)+SUMIFS(Mortgage!$E$6:$E$15,Mortgage!$D$6:$D$15,"&gt;="&amp;B70,Mortgage!$D$6:$D$15,"&lt;"&amp;EDATE(B70,1))+IF(Mortgage!$B$10="Bi-weekly (accelerated)",Mortgage!$H$8/12,0)),0)</f>
        <v/>
      </c>
      <c r="H70" s="147">
        <f>F70+G70</f>
        <v/>
      </c>
      <c r="I70" s="148">
        <f>D70-H70</f>
        <v/>
      </c>
      <c r="J70" s="147">
        <f>E70+F70+G70</f>
        <v/>
      </c>
      <c r="K70" s="147">
        <f>IF(AND(D70&gt;0.005,Mortgage!$H$7&gt;0.8,D70/Mortgage!$B$5&gt;Mortgage!$B$14),Mortgage!$H$5*Mortgage!$B$13/12,0)</f>
        <v/>
      </c>
      <c r="L70" s="147">
        <f>IF(D70&gt;0.005,Mortgage!$B$11/12*(1+Mortgage!$B$16)^(C70-1),0)</f>
        <v/>
      </c>
      <c r="M70" s="147">
        <f>IF(D70&gt;0.005,Mortgage!$B$12/12*(1+Mortgage!$B$16)^(C70-1),0)</f>
        <v/>
      </c>
      <c r="N70" s="147">
        <f>IF(D70&gt;0.005,Mortgage!$B$15,0)</f>
        <v/>
      </c>
      <c r="O70" s="147">
        <f>J70+K70+L70+M70+N70</f>
        <v/>
      </c>
      <c r="P70" s="147">
        <f>P69+E70</f>
        <v/>
      </c>
      <c r="Q70" s="147">
        <f>IF(D70&gt;0.005,Mortgage!$B$5*(1+Mortgage!$B$17)^(A70/12),"")</f>
        <v/>
      </c>
      <c r="R70" s="147">
        <f>IF(D70&gt;0.005,Q70-I70,"")</f>
        <v/>
      </c>
      <c r="S70" s="147">
        <f>IF(A70&gt;Mortgage!$B$8*12,0,IF(Mortgage!$B$7=0,MAX(0,Mortgage!$H$5-Mortgage!$H$8*A70),MAX(0,Mortgage!$H$5*(1+(Mortgage!$B$7/12))^A70-Mortgage!$H$8*((1+(Mortgage!$B$7/12))^A70-1)/(Mortgage!$B$7/12))))</f>
        <v/>
      </c>
      <c r="T70" s="149">
        <f>IF(D70&gt;0.005,I70/Mortgage!$B$5,"")</f>
        <v/>
      </c>
      <c r="U70">
        <f>IF(A70&gt;Mortgage!$B$8*12,NA(),B70)</f>
        <v/>
      </c>
      <c r="V70">
        <f>IF(D70&gt;0.005,I70,NA())</f>
        <v/>
      </c>
      <c r="W70">
        <f>IF(A70&gt;Mortgage!$B$8*12,NA(),S70)</f>
        <v/>
      </c>
    </row>
    <row r="71">
      <c r="A71" s="129" t="n">
        <v>66</v>
      </c>
      <c r="B71" s="146">
        <f>EDATE(Mortgage!$B$9,A71-1)</f>
        <v/>
      </c>
      <c r="C71" s="129">
        <f>INT((A71-1)/12)+1</f>
        <v/>
      </c>
      <c r="D71" s="147">
        <f>IF(N(I70)&gt;0.005,I70,0)</f>
        <v/>
      </c>
      <c r="E71" s="147">
        <f>IF(D71&gt;0.005,D71*Mortgage!$B$7/12,0)</f>
        <v/>
      </c>
      <c r="F71" s="147">
        <f>IF(D71&gt;0.005,MIN(Mortgage!$H$8-E71,D71),0)</f>
        <v/>
      </c>
      <c r="G71" s="147">
        <f>IF(D71-F71&gt;0.005,MIN(D71-F71,Mortgage!$B$18+IF(MONTH(B71)=Mortgage!$B$20,Mortgage!$B$19,0)+SUMIFS(Mortgage!$E$6:$E$15,Mortgage!$D$6:$D$15,"&gt;="&amp;B71,Mortgage!$D$6:$D$15,"&lt;"&amp;EDATE(B71,1))+IF(Mortgage!$B$10="Bi-weekly (accelerated)",Mortgage!$H$8/12,0)),0)</f>
        <v/>
      </c>
      <c r="H71" s="147">
        <f>F71+G71</f>
        <v/>
      </c>
      <c r="I71" s="148">
        <f>D71-H71</f>
        <v/>
      </c>
      <c r="J71" s="147">
        <f>E71+F71+G71</f>
        <v/>
      </c>
      <c r="K71" s="147">
        <f>IF(AND(D71&gt;0.005,Mortgage!$H$7&gt;0.8,D71/Mortgage!$B$5&gt;Mortgage!$B$14),Mortgage!$H$5*Mortgage!$B$13/12,0)</f>
        <v/>
      </c>
      <c r="L71" s="147">
        <f>IF(D71&gt;0.005,Mortgage!$B$11/12*(1+Mortgage!$B$16)^(C71-1),0)</f>
        <v/>
      </c>
      <c r="M71" s="147">
        <f>IF(D71&gt;0.005,Mortgage!$B$12/12*(1+Mortgage!$B$16)^(C71-1),0)</f>
        <v/>
      </c>
      <c r="N71" s="147">
        <f>IF(D71&gt;0.005,Mortgage!$B$15,0)</f>
        <v/>
      </c>
      <c r="O71" s="147">
        <f>J71+K71+L71+M71+N71</f>
        <v/>
      </c>
      <c r="P71" s="147">
        <f>P70+E71</f>
        <v/>
      </c>
      <c r="Q71" s="147">
        <f>IF(D71&gt;0.005,Mortgage!$B$5*(1+Mortgage!$B$17)^(A71/12),"")</f>
        <v/>
      </c>
      <c r="R71" s="147">
        <f>IF(D71&gt;0.005,Q71-I71,"")</f>
        <v/>
      </c>
      <c r="S71" s="147">
        <f>IF(A71&gt;Mortgage!$B$8*12,0,IF(Mortgage!$B$7=0,MAX(0,Mortgage!$H$5-Mortgage!$H$8*A71),MAX(0,Mortgage!$H$5*(1+(Mortgage!$B$7/12))^A71-Mortgage!$H$8*((1+(Mortgage!$B$7/12))^A71-1)/(Mortgage!$B$7/12))))</f>
        <v/>
      </c>
      <c r="T71" s="149">
        <f>IF(D71&gt;0.005,I71/Mortgage!$B$5,"")</f>
        <v/>
      </c>
      <c r="U71">
        <f>IF(A71&gt;Mortgage!$B$8*12,NA(),B71)</f>
        <v/>
      </c>
      <c r="V71">
        <f>IF(D71&gt;0.005,I71,NA())</f>
        <v/>
      </c>
      <c r="W71">
        <f>IF(A71&gt;Mortgage!$B$8*12,NA(),S71)</f>
        <v/>
      </c>
    </row>
    <row r="72">
      <c r="A72" s="129" t="n">
        <v>67</v>
      </c>
      <c r="B72" s="146">
        <f>EDATE(Mortgage!$B$9,A72-1)</f>
        <v/>
      </c>
      <c r="C72" s="129">
        <f>INT((A72-1)/12)+1</f>
        <v/>
      </c>
      <c r="D72" s="147">
        <f>IF(N(I71)&gt;0.005,I71,0)</f>
        <v/>
      </c>
      <c r="E72" s="147">
        <f>IF(D72&gt;0.005,D72*Mortgage!$B$7/12,0)</f>
        <v/>
      </c>
      <c r="F72" s="147">
        <f>IF(D72&gt;0.005,MIN(Mortgage!$H$8-E72,D72),0)</f>
        <v/>
      </c>
      <c r="G72" s="147">
        <f>IF(D72-F72&gt;0.005,MIN(D72-F72,Mortgage!$B$18+IF(MONTH(B72)=Mortgage!$B$20,Mortgage!$B$19,0)+SUMIFS(Mortgage!$E$6:$E$15,Mortgage!$D$6:$D$15,"&gt;="&amp;B72,Mortgage!$D$6:$D$15,"&lt;"&amp;EDATE(B72,1))+IF(Mortgage!$B$10="Bi-weekly (accelerated)",Mortgage!$H$8/12,0)),0)</f>
        <v/>
      </c>
      <c r="H72" s="147">
        <f>F72+G72</f>
        <v/>
      </c>
      <c r="I72" s="148">
        <f>D72-H72</f>
        <v/>
      </c>
      <c r="J72" s="147">
        <f>E72+F72+G72</f>
        <v/>
      </c>
      <c r="K72" s="147">
        <f>IF(AND(D72&gt;0.005,Mortgage!$H$7&gt;0.8,D72/Mortgage!$B$5&gt;Mortgage!$B$14),Mortgage!$H$5*Mortgage!$B$13/12,0)</f>
        <v/>
      </c>
      <c r="L72" s="147">
        <f>IF(D72&gt;0.005,Mortgage!$B$11/12*(1+Mortgage!$B$16)^(C72-1),0)</f>
        <v/>
      </c>
      <c r="M72" s="147">
        <f>IF(D72&gt;0.005,Mortgage!$B$12/12*(1+Mortgage!$B$16)^(C72-1),0)</f>
        <v/>
      </c>
      <c r="N72" s="147">
        <f>IF(D72&gt;0.005,Mortgage!$B$15,0)</f>
        <v/>
      </c>
      <c r="O72" s="147">
        <f>J72+K72+L72+M72+N72</f>
        <v/>
      </c>
      <c r="P72" s="147">
        <f>P71+E72</f>
        <v/>
      </c>
      <c r="Q72" s="147">
        <f>IF(D72&gt;0.005,Mortgage!$B$5*(1+Mortgage!$B$17)^(A72/12),"")</f>
        <v/>
      </c>
      <c r="R72" s="147">
        <f>IF(D72&gt;0.005,Q72-I72,"")</f>
        <v/>
      </c>
      <c r="S72" s="147">
        <f>IF(A72&gt;Mortgage!$B$8*12,0,IF(Mortgage!$B$7=0,MAX(0,Mortgage!$H$5-Mortgage!$H$8*A72),MAX(0,Mortgage!$H$5*(1+(Mortgage!$B$7/12))^A72-Mortgage!$H$8*((1+(Mortgage!$B$7/12))^A72-1)/(Mortgage!$B$7/12))))</f>
        <v/>
      </c>
      <c r="T72" s="149">
        <f>IF(D72&gt;0.005,I72/Mortgage!$B$5,"")</f>
        <v/>
      </c>
      <c r="U72">
        <f>IF(A72&gt;Mortgage!$B$8*12,NA(),B72)</f>
        <v/>
      </c>
      <c r="V72">
        <f>IF(D72&gt;0.005,I72,NA())</f>
        <v/>
      </c>
      <c r="W72">
        <f>IF(A72&gt;Mortgage!$B$8*12,NA(),S72)</f>
        <v/>
      </c>
    </row>
    <row r="73">
      <c r="A73" s="129" t="n">
        <v>68</v>
      </c>
      <c r="B73" s="146">
        <f>EDATE(Mortgage!$B$9,A73-1)</f>
        <v/>
      </c>
      <c r="C73" s="129">
        <f>INT((A73-1)/12)+1</f>
        <v/>
      </c>
      <c r="D73" s="147">
        <f>IF(N(I72)&gt;0.005,I72,0)</f>
        <v/>
      </c>
      <c r="E73" s="147">
        <f>IF(D73&gt;0.005,D73*Mortgage!$B$7/12,0)</f>
        <v/>
      </c>
      <c r="F73" s="147">
        <f>IF(D73&gt;0.005,MIN(Mortgage!$H$8-E73,D73),0)</f>
        <v/>
      </c>
      <c r="G73" s="147">
        <f>IF(D73-F73&gt;0.005,MIN(D73-F73,Mortgage!$B$18+IF(MONTH(B73)=Mortgage!$B$20,Mortgage!$B$19,0)+SUMIFS(Mortgage!$E$6:$E$15,Mortgage!$D$6:$D$15,"&gt;="&amp;B73,Mortgage!$D$6:$D$15,"&lt;"&amp;EDATE(B73,1))+IF(Mortgage!$B$10="Bi-weekly (accelerated)",Mortgage!$H$8/12,0)),0)</f>
        <v/>
      </c>
      <c r="H73" s="147">
        <f>F73+G73</f>
        <v/>
      </c>
      <c r="I73" s="148">
        <f>D73-H73</f>
        <v/>
      </c>
      <c r="J73" s="147">
        <f>E73+F73+G73</f>
        <v/>
      </c>
      <c r="K73" s="147">
        <f>IF(AND(D73&gt;0.005,Mortgage!$H$7&gt;0.8,D73/Mortgage!$B$5&gt;Mortgage!$B$14),Mortgage!$H$5*Mortgage!$B$13/12,0)</f>
        <v/>
      </c>
      <c r="L73" s="147">
        <f>IF(D73&gt;0.005,Mortgage!$B$11/12*(1+Mortgage!$B$16)^(C73-1),0)</f>
        <v/>
      </c>
      <c r="M73" s="147">
        <f>IF(D73&gt;0.005,Mortgage!$B$12/12*(1+Mortgage!$B$16)^(C73-1),0)</f>
        <v/>
      </c>
      <c r="N73" s="147">
        <f>IF(D73&gt;0.005,Mortgage!$B$15,0)</f>
        <v/>
      </c>
      <c r="O73" s="147">
        <f>J73+K73+L73+M73+N73</f>
        <v/>
      </c>
      <c r="P73" s="147">
        <f>P72+E73</f>
        <v/>
      </c>
      <c r="Q73" s="147">
        <f>IF(D73&gt;0.005,Mortgage!$B$5*(1+Mortgage!$B$17)^(A73/12),"")</f>
        <v/>
      </c>
      <c r="R73" s="147">
        <f>IF(D73&gt;0.005,Q73-I73,"")</f>
        <v/>
      </c>
      <c r="S73" s="147">
        <f>IF(A73&gt;Mortgage!$B$8*12,0,IF(Mortgage!$B$7=0,MAX(0,Mortgage!$H$5-Mortgage!$H$8*A73),MAX(0,Mortgage!$H$5*(1+(Mortgage!$B$7/12))^A73-Mortgage!$H$8*((1+(Mortgage!$B$7/12))^A73-1)/(Mortgage!$B$7/12))))</f>
        <v/>
      </c>
      <c r="T73" s="149">
        <f>IF(D73&gt;0.005,I73/Mortgage!$B$5,"")</f>
        <v/>
      </c>
      <c r="U73">
        <f>IF(A73&gt;Mortgage!$B$8*12,NA(),B73)</f>
        <v/>
      </c>
      <c r="V73">
        <f>IF(D73&gt;0.005,I73,NA())</f>
        <v/>
      </c>
      <c r="W73">
        <f>IF(A73&gt;Mortgage!$B$8*12,NA(),S73)</f>
        <v/>
      </c>
    </row>
    <row r="74">
      <c r="A74" s="129" t="n">
        <v>69</v>
      </c>
      <c r="B74" s="146">
        <f>EDATE(Mortgage!$B$9,A74-1)</f>
        <v/>
      </c>
      <c r="C74" s="129">
        <f>INT((A74-1)/12)+1</f>
        <v/>
      </c>
      <c r="D74" s="147">
        <f>IF(N(I73)&gt;0.005,I73,0)</f>
        <v/>
      </c>
      <c r="E74" s="147">
        <f>IF(D74&gt;0.005,D74*Mortgage!$B$7/12,0)</f>
        <v/>
      </c>
      <c r="F74" s="147">
        <f>IF(D74&gt;0.005,MIN(Mortgage!$H$8-E74,D74),0)</f>
        <v/>
      </c>
      <c r="G74" s="147">
        <f>IF(D74-F74&gt;0.005,MIN(D74-F74,Mortgage!$B$18+IF(MONTH(B74)=Mortgage!$B$20,Mortgage!$B$19,0)+SUMIFS(Mortgage!$E$6:$E$15,Mortgage!$D$6:$D$15,"&gt;="&amp;B74,Mortgage!$D$6:$D$15,"&lt;"&amp;EDATE(B74,1))+IF(Mortgage!$B$10="Bi-weekly (accelerated)",Mortgage!$H$8/12,0)),0)</f>
        <v/>
      </c>
      <c r="H74" s="147">
        <f>F74+G74</f>
        <v/>
      </c>
      <c r="I74" s="148">
        <f>D74-H74</f>
        <v/>
      </c>
      <c r="J74" s="147">
        <f>E74+F74+G74</f>
        <v/>
      </c>
      <c r="K74" s="147">
        <f>IF(AND(D74&gt;0.005,Mortgage!$H$7&gt;0.8,D74/Mortgage!$B$5&gt;Mortgage!$B$14),Mortgage!$H$5*Mortgage!$B$13/12,0)</f>
        <v/>
      </c>
      <c r="L74" s="147">
        <f>IF(D74&gt;0.005,Mortgage!$B$11/12*(1+Mortgage!$B$16)^(C74-1),0)</f>
        <v/>
      </c>
      <c r="M74" s="147">
        <f>IF(D74&gt;0.005,Mortgage!$B$12/12*(1+Mortgage!$B$16)^(C74-1),0)</f>
        <v/>
      </c>
      <c r="N74" s="147">
        <f>IF(D74&gt;0.005,Mortgage!$B$15,0)</f>
        <v/>
      </c>
      <c r="O74" s="147">
        <f>J74+K74+L74+M74+N74</f>
        <v/>
      </c>
      <c r="P74" s="147">
        <f>P73+E74</f>
        <v/>
      </c>
      <c r="Q74" s="147">
        <f>IF(D74&gt;0.005,Mortgage!$B$5*(1+Mortgage!$B$17)^(A74/12),"")</f>
        <v/>
      </c>
      <c r="R74" s="147">
        <f>IF(D74&gt;0.005,Q74-I74,"")</f>
        <v/>
      </c>
      <c r="S74" s="147">
        <f>IF(A74&gt;Mortgage!$B$8*12,0,IF(Mortgage!$B$7=0,MAX(0,Mortgage!$H$5-Mortgage!$H$8*A74),MAX(0,Mortgage!$H$5*(1+(Mortgage!$B$7/12))^A74-Mortgage!$H$8*((1+(Mortgage!$B$7/12))^A74-1)/(Mortgage!$B$7/12))))</f>
        <v/>
      </c>
      <c r="T74" s="149">
        <f>IF(D74&gt;0.005,I74/Mortgage!$B$5,"")</f>
        <v/>
      </c>
      <c r="U74">
        <f>IF(A74&gt;Mortgage!$B$8*12,NA(),B74)</f>
        <v/>
      </c>
      <c r="V74">
        <f>IF(D74&gt;0.005,I74,NA())</f>
        <v/>
      </c>
      <c r="W74">
        <f>IF(A74&gt;Mortgage!$B$8*12,NA(),S74)</f>
        <v/>
      </c>
    </row>
    <row r="75">
      <c r="A75" s="129" t="n">
        <v>70</v>
      </c>
      <c r="B75" s="146">
        <f>EDATE(Mortgage!$B$9,A75-1)</f>
        <v/>
      </c>
      <c r="C75" s="129">
        <f>INT((A75-1)/12)+1</f>
        <v/>
      </c>
      <c r="D75" s="147">
        <f>IF(N(I74)&gt;0.005,I74,0)</f>
        <v/>
      </c>
      <c r="E75" s="147">
        <f>IF(D75&gt;0.005,D75*Mortgage!$B$7/12,0)</f>
        <v/>
      </c>
      <c r="F75" s="147">
        <f>IF(D75&gt;0.005,MIN(Mortgage!$H$8-E75,D75),0)</f>
        <v/>
      </c>
      <c r="G75" s="147">
        <f>IF(D75-F75&gt;0.005,MIN(D75-F75,Mortgage!$B$18+IF(MONTH(B75)=Mortgage!$B$20,Mortgage!$B$19,0)+SUMIFS(Mortgage!$E$6:$E$15,Mortgage!$D$6:$D$15,"&gt;="&amp;B75,Mortgage!$D$6:$D$15,"&lt;"&amp;EDATE(B75,1))+IF(Mortgage!$B$10="Bi-weekly (accelerated)",Mortgage!$H$8/12,0)),0)</f>
        <v/>
      </c>
      <c r="H75" s="147">
        <f>F75+G75</f>
        <v/>
      </c>
      <c r="I75" s="148">
        <f>D75-H75</f>
        <v/>
      </c>
      <c r="J75" s="147">
        <f>E75+F75+G75</f>
        <v/>
      </c>
      <c r="K75" s="147">
        <f>IF(AND(D75&gt;0.005,Mortgage!$H$7&gt;0.8,D75/Mortgage!$B$5&gt;Mortgage!$B$14),Mortgage!$H$5*Mortgage!$B$13/12,0)</f>
        <v/>
      </c>
      <c r="L75" s="147">
        <f>IF(D75&gt;0.005,Mortgage!$B$11/12*(1+Mortgage!$B$16)^(C75-1),0)</f>
        <v/>
      </c>
      <c r="M75" s="147">
        <f>IF(D75&gt;0.005,Mortgage!$B$12/12*(1+Mortgage!$B$16)^(C75-1),0)</f>
        <v/>
      </c>
      <c r="N75" s="147">
        <f>IF(D75&gt;0.005,Mortgage!$B$15,0)</f>
        <v/>
      </c>
      <c r="O75" s="147">
        <f>J75+K75+L75+M75+N75</f>
        <v/>
      </c>
      <c r="P75" s="147">
        <f>P74+E75</f>
        <v/>
      </c>
      <c r="Q75" s="147">
        <f>IF(D75&gt;0.005,Mortgage!$B$5*(1+Mortgage!$B$17)^(A75/12),"")</f>
        <v/>
      </c>
      <c r="R75" s="147">
        <f>IF(D75&gt;0.005,Q75-I75,"")</f>
        <v/>
      </c>
      <c r="S75" s="147">
        <f>IF(A75&gt;Mortgage!$B$8*12,0,IF(Mortgage!$B$7=0,MAX(0,Mortgage!$H$5-Mortgage!$H$8*A75),MAX(0,Mortgage!$H$5*(1+(Mortgage!$B$7/12))^A75-Mortgage!$H$8*((1+(Mortgage!$B$7/12))^A75-1)/(Mortgage!$B$7/12))))</f>
        <v/>
      </c>
      <c r="T75" s="149">
        <f>IF(D75&gt;0.005,I75/Mortgage!$B$5,"")</f>
        <v/>
      </c>
      <c r="U75">
        <f>IF(A75&gt;Mortgage!$B$8*12,NA(),B75)</f>
        <v/>
      </c>
      <c r="V75">
        <f>IF(D75&gt;0.005,I75,NA())</f>
        <v/>
      </c>
      <c r="W75">
        <f>IF(A75&gt;Mortgage!$B$8*12,NA(),S75)</f>
        <v/>
      </c>
    </row>
    <row r="76">
      <c r="A76" s="129" t="n">
        <v>71</v>
      </c>
      <c r="B76" s="146">
        <f>EDATE(Mortgage!$B$9,A76-1)</f>
        <v/>
      </c>
      <c r="C76" s="129">
        <f>INT((A76-1)/12)+1</f>
        <v/>
      </c>
      <c r="D76" s="147">
        <f>IF(N(I75)&gt;0.005,I75,0)</f>
        <v/>
      </c>
      <c r="E76" s="147">
        <f>IF(D76&gt;0.005,D76*Mortgage!$B$7/12,0)</f>
        <v/>
      </c>
      <c r="F76" s="147">
        <f>IF(D76&gt;0.005,MIN(Mortgage!$H$8-E76,D76),0)</f>
        <v/>
      </c>
      <c r="G76" s="147">
        <f>IF(D76-F76&gt;0.005,MIN(D76-F76,Mortgage!$B$18+IF(MONTH(B76)=Mortgage!$B$20,Mortgage!$B$19,0)+SUMIFS(Mortgage!$E$6:$E$15,Mortgage!$D$6:$D$15,"&gt;="&amp;B76,Mortgage!$D$6:$D$15,"&lt;"&amp;EDATE(B76,1))+IF(Mortgage!$B$10="Bi-weekly (accelerated)",Mortgage!$H$8/12,0)),0)</f>
        <v/>
      </c>
      <c r="H76" s="147">
        <f>F76+G76</f>
        <v/>
      </c>
      <c r="I76" s="148">
        <f>D76-H76</f>
        <v/>
      </c>
      <c r="J76" s="147">
        <f>E76+F76+G76</f>
        <v/>
      </c>
      <c r="K76" s="147">
        <f>IF(AND(D76&gt;0.005,Mortgage!$H$7&gt;0.8,D76/Mortgage!$B$5&gt;Mortgage!$B$14),Mortgage!$H$5*Mortgage!$B$13/12,0)</f>
        <v/>
      </c>
      <c r="L76" s="147">
        <f>IF(D76&gt;0.005,Mortgage!$B$11/12*(1+Mortgage!$B$16)^(C76-1),0)</f>
        <v/>
      </c>
      <c r="M76" s="147">
        <f>IF(D76&gt;0.005,Mortgage!$B$12/12*(1+Mortgage!$B$16)^(C76-1),0)</f>
        <v/>
      </c>
      <c r="N76" s="147">
        <f>IF(D76&gt;0.005,Mortgage!$B$15,0)</f>
        <v/>
      </c>
      <c r="O76" s="147">
        <f>J76+K76+L76+M76+N76</f>
        <v/>
      </c>
      <c r="P76" s="147">
        <f>P75+E76</f>
        <v/>
      </c>
      <c r="Q76" s="147">
        <f>IF(D76&gt;0.005,Mortgage!$B$5*(1+Mortgage!$B$17)^(A76/12),"")</f>
        <v/>
      </c>
      <c r="R76" s="147">
        <f>IF(D76&gt;0.005,Q76-I76,"")</f>
        <v/>
      </c>
      <c r="S76" s="147">
        <f>IF(A76&gt;Mortgage!$B$8*12,0,IF(Mortgage!$B$7=0,MAX(0,Mortgage!$H$5-Mortgage!$H$8*A76),MAX(0,Mortgage!$H$5*(1+(Mortgage!$B$7/12))^A76-Mortgage!$H$8*((1+(Mortgage!$B$7/12))^A76-1)/(Mortgage!$B$7/12))))</f>
        <v/>
      </c>
      <c r="T76" s="149">
        <f>IF(D76&gt;0.005,I76/Mortgage!$B$5,"")</f>
        <v/>
      </c>
      <c r="U76">
        <f>IF(A76&gt;Mortgage!$B$8*12,NA(),B76)</f>
        <v/>
      </c>
      <c r="V76">
        <f>IF(D76&gt;0.005,I76,NA())</f>
        <v/>
      </c>
      <c r="W76">
        <f>IF(A76&gt;Mortgage!$B$8*12,NA(),S76)</f>
        <v/>
      </c>
    </row>
    <row r="77">
      <c r="A77" s="129" t="n">
        <v>72</v>
      </c>
      <c r="B77" s="146">
        <f>EDATE(Mortgage!$B$9,A77-1)</f>
        <v/>
      </c>
      <c r="C77" s="129">
        <f>INT((A77-1)/12)+1</f>
        <v/>
      </c>
      <c r="D77" s="147">
        <f>IF(N(I76)&gt;0.005,I76,0)</f>
        <v/>
      </c>
      <c r="E77" s="147">
        <f>IF(D77&gt;0.005,D77*Mortgage!$B$7/12,0)</f>
        <v/>
      </c>
      <c r="F77" s="147">
        <f>IF(D77&gt;0.005,MIN(Mortgage!$H$8-E77,D77),0)</f>
        <v/>
      </c>
      <c r="G77" s="147">
        <f>IF(D77-F77&gt;0.005,MIN(D77-F77,Mortgage!$B$18+IF(MONTH(B77)=Mortgage!$B$20,Mortgage!$B$19,0)+SUMIFS(Mortgage!$E$6:$E$15,Mortgage!$D$6:$D$15,"&gt;="&amp;B77,Mortgage!$D$6:$D$15,"&lt;"&amp;EDATE(B77,1))+IF(Mortgage!$B$10="Bi-weekly (accelerated)",Mortgage!$H$8/12,0)),0)</f>
        <v/>
      </c>
      <c r="H77" s="147">
        <f>F77+G77</f>
        <v/>
      </c>
      <c r="I77" s="148">
        <f>D77-H77</f>
        <v/>
      </c>
      <c r="J77" s="147">
        <f>E77+F77+G77</f>
        <v/>
      </c>
      <c r="K77" s="147">
        <f>IF(AND(D77&gt;0.005,Mortgage!$H$7&gt;0.8,D77/Mortgage!$B$5&gt;Mortgage!$B$14),Mortgage!$H$5*Mortgage!$B$13/12,0)</f>
        <v/>
      </c>
      <c r="L77" s="147">
        <f>IF(D77&gt;0.005,Mortgage!$B$11/12*(1+Mortgage!$B$16)^(C77-1),0)</f>
        <v/>
      </c>
      <c r="M77" s="147">
        <f>IF(D77&gt;0.005,Mortgage!$B$12/12*(1+Mortgage!$B$16)^(C77-1),0)</f>
        <v/>
      </c>
      <c r="N77" s="147">
        <f>IF(D77&gt;0.005,Mortgage!$B$15,0)</f>
        <v/>
      </c>
      <c r="O77" s="147">
        <f>J77+K77+L77+M77+N77</f>
        <v/>
      </c>
      <c r="P77" s="147">
        <f>P76+E77</f>
        <v/>
      </c>
      <c r="Q77" s="147">
        <f>IF(D77&gt;0.005,Mortgage!$B$5*(1+Mortgage!$B$17)^(A77/12),"")</f>
        <v/>
      </c>
      <c r="R77" s="147">
        <f>IF(D77&gt;0.005,Q77-I77,"")</f>
        <v/>
      </c>
      <c r="S77" s="147">
        <f>IF(A77&gt;Mortgage!$B$8*12,0,IF(Mortgage!$B$7=0,MAX(0,Mortgage!$H$5-Mortgage!$H$8*A77),MAX(0,Mortgage!$H$5*(1+(Mortgage!$B$7/12))^A77-Mortgage!$H$8*((1+(Mortgage!$B$7/12))^A77-1)/(Mortgage!$B$7/12))))</f>
        <v/>
      </c>
      <c r="T77" s="149">
        <f>IF(D77&gt;0.005,I77/Mortgage!$B$5,"")</f>
        <v/>
      </c>
      <c r="U77">
        <f>IF(A77&gt;Mortgage!$B$8*12,NA(),B77)</f>
        <v/>
      </c>
      <c r="V77">
        <f>IF(D77&gt;0.005,I77,NA())</f>
        <v/>
      </c>
      <c r="W77">
        <f>IF(A77&gt;Mortgage!$B$8*12,NA(),S77)</f>
        <v/>
      </c>
    </row>
    <row r="78">
      <c r="A78" s="129" t="n">
        <v>73</v>
      </c>
      <c r="B78" s="146">
        <f>EDATE(Mortgage!$B$9,A78-1)</f>
        <v/>
      </c>
      <c r="C78" s="129">
        <f>INT((A78-1)/12)+1</f>
        <v/>
      </c>
      <c r="D78" s="147">
        <f>IF(N(I77)&gt;0.005,I77,0)</f>
        <v/>
      </c>
      <c r="E78" s="147">
        <f>IF(D78&gt;0.005,D78*Mortgage!$B$7/12,0)</f>
        <v/>
      </c>
      <c r="F78" s="147">
        <f>IF(D78&gt;0.005,MIN(Mortgage!$H$8-E78,D78),0)</f>
        <v/>
      </c>
      <c r="G78" s="147">
        <f>IF(D78-F78&gt;0.005,MIN(D78-F78,Mortgage!$B$18+IF(MONTH(B78)=Mortgage!$B$20,Mortgage!$B$19,0)+SUMIFS(Mortgage!$E$6:$E$15,Mortgage!$D$6:$D$15,"&gt;="&amp;B78,Mortgage!$D$6:$D$15,"&lt;"&amp;EDATE(B78,1))+IF(Mortgage!$B$10="Bi-weekly (accelerated)",Mortgage!$H$8/12,0)),0)</f>
        <v/>
      </c>
      <c r="H78" s="147">
        <f>F78+G78</f>
        <v/>
      </c>
      <c r="I78" s="148">
        <f>D78-H78</f>
        <v/>
      </c>
      <c r="J78" s="147">
        <f>E78+F78+G78</f>
        <v/>
      </c>
      <c r="K78" s="147">
        <f>IF(AND(D78&gt;0.005,Mortgage!$H$7&gt;0.8,D78/Mortgage!$B$5&gt;Mortgage!$B$14),Mortgage!$H$5*Mortgage!$B$13/12,0)</f>
        <v/>
      </c>
      <c r="L78" s="147">
        <f>IF(D78&gt;0.005,Mortgage!$B$11/12*(1+Mortgage!$B$16)^(C78-1),0)</f>
        <v/>
      </c>
      <c r="M78" s="147">
        <f>IF(D78&gt;0.005,Mortgage!$B$12/12*(1+Mortgage!$B$16)^(C78-1),0)</f>
        <v/>
      </c>
      <c r="N78" s="147">
        <f>IF(D78&gt;0.005,Mortgage!$B$15,0)</f>
        <v/>
      </c>
      <c r="O78" s="147">
        <f>J78+K78+L78+M78+N78</f>
        <v/>
      </c>
      <c r="P78" s="147">
        <f>P77+E78</f>
        <v/>
      </c>
      <c r="Q78" s="147">
        <f>IF(D78&gt;0.005,Mortgage!$B$5*(1+Mortgage!$B$17)^(A78/12),"")</f>
        <v/>
      </c>
      <c r="R78" s="147">
        <f>IF(D78&gt;0.005,Q78-I78,"")</f>
        <v/>
      </c>
      <c r="S78" s="147">
        <f>IF(A78&gt;Mortgage!$B$8*12,0,IF(Mortgage!$B$7=0,MAX(0,Mortgage!$H$5-Mortgage!$H$8*A78),MAX(0,Mortgage!$H$5*(1+(Mortgage!$B$7/12))^A78-Mortgage!$H$8*((1+(Mortgage!$B$7/12))^A78-1)/(Mortgage!$B$7/12))))</f>
        <v/>
      </c>
      <c r="T78" s="149">
        <f>IF(D78&gt;0.005,I78/Mortgage!$B$5,"")</f>
        <v/>
      </c>
      <c r="U78">
        <f>IF(A78&gt;Mortgage!$B$8*12,NA(),B78)</f>
        <v/>
      </c>
      <c r="V78">
        <f>IF(D78&gt;0.005,I78,NA())</f>
        <v/>
      </c>
      <c r="W78">
        <f>IF(A78&gt;Mortgage!$B$8*12,NA(),S78)</f>
        <v/>
      </c>
    </row>
    <row r="79">
      <c r="A79" s="129" t="n">
        <v>74</v>
      </c>
      <c r="B79" s="146">
        <f>EDATE(Mortgage!$B$9,A79-1)</f>
        <v/>
      </c>
      <c r="C79" s="129">
        <f>INT((A79-1)/12)+1</f>
        <v/>
      </c>
      <c r="D79" s="147">
        <f>IF(N(I78)&gt;0.005,I78,0)</f>
        <v/>
      </c>
      <c r="E79" s="147">
        <f>IF(D79&gt;0.005,D79*Mortgage!$B$7/12,0)</f>
        <v/>
      </c>
      <c r="F79" s="147">
        <f>IF(D79&gt;0.005,MIN(Mortgage!$H$8-E79,D79),0)</f>
        <v/>
      </c>
      <c r="G79" s="147">
        <f>IF(D79-F79&gt;0.005,MIN(D79-F79,Mortgage!$B$18+IF(MONTH(B79)=Mortgage!$B$20,Mortgage!$B$19,0)+SUMIFS(Mortgage!$E$6:$E$15,Mortgage!$D$6:$D$15,"&gt;="&amp;B79,Mortgage!$D$6:$D$15,"&lt;"&amp;EDATE(B79,1))+IF(Mortgage!$B$10="Bi-weekly (accelerated)",Mortgage!$H$8/12,0)),0)</f>
        <v/>
      </c>
      <c r="H79" s="147">
        <f>F79+G79</f>
        <v/>
      </c>
      <c r="I79" s="148">
        <f>D79-H79</f>
        <v/>
      </c>
      <c r="J79" s="147">
        <f>E79+F79+G79</f>
        <v/>
      </c>
      <c r="K79" s="147">
        <f>IF(AND(D79&gt;0.005,Mortgage!$H$7&gt;0.8,D79/Mortgage!$B$5&gt;Mortgage!$B$14),Mortgage!$H$5*Mortgage!$B$13/12,0)</f>
        <v/>
      </c>
      <c r="L79" s="147">
        <f>IF(D79&gt;0.005,Mortgage!$B$11/12*(1+Mortgage!$B$16)^(C79-1),0)</f>
        <v/>
      </c>
      <c r="M79" s="147">
        <f>IF(D79&gt;0.005,Mortgage!$B$12/12*(1+Mortgage!$B$16)^(C79-1),0)</f>
        <v/>
      </c>
      <c r="N79" s="147">
        <f>IF(D79&gt;0.005,Mortgage!$B$15,0)</f>
        <v/>
      </c>
      <c r="O79" s="147">
        <f>J79+K79+L79+M79+N79</f>
        <v/>
      </c>
      <c r="P79" s="147">
        <f>P78+E79</f>
        <v/>
      </c>
      <c r="Q79" s="147">
        <f>IF(D79&gt;0.005,Mortgage!$B$5*(1+Mortgage!$B$17)^(A79/12),"")</f>
        <v/>
      </c>
      <c r="R79" s="147">
        <f>IF(D79&gt;0.005,Q79-I79,"")</f>
        <v/>
      </c>
      <c r="S79" s="147">
        <f>IF(A79&gt;Mortgage!$B$8*12,0,IF(Mortgage!$B$7=0,MAX(0,Mortgage!$H$5-Mortgage!$H$8*A79),MAX(0,Mortgage!$H$5*(1+(Mortgage!$B$7/12))^A79-Mortgage!$H$8*((1+(Mortgage!$B$7/12))^A79-1)/(Mortgage!$B$7/12))))</f>
        <v/>
      </c>
      <c r="T79" s="149">
        <f>IF(D79&gt;0.005,I79/Mortgage!$B$5,"")</f>
        <v/>
      </c>
      <c r="U79">
        <f>IF(A79&gt;Mortgage!$B$8*12,NA(),B79)</f>
        <v/>
      </c>
      <c r="V79">
        <f>IF(D79&gt;0.005,I79,NA())</f>
        <v/>
      </c>
      <c r="W79">
        <f>IF(A79&gt;Mortgage!$B$8*12,NA(),S79)</f>
        <v/>
      </c>
    </row>
    <row r="80">
      <c r="A80" s="129" t="n">
        <v>75</v>
      </c>
      <c r="B80" s="146">
        <f>EDATE(Mortgage!$B$9,A80-1)</f>
        <v/>
      </c>
      <c r="C80" s="129">
        <f>INT((A80-1)/12)+1</f>
        <v/>
      </c>
      <c r="D80" s="147">
        <f>IF(N(I79)&gt;0.005,I79,0)</f>
        <v/>
      </c>
      <c r="E80" s="147">
        <f>IF(D80&gt;0.005,D80*Mortgage!$B$7/12,0)</f>
        <v/>
      </c>
      <c r="F80" s="147">
        <f>IF(D80&gt;0.005,MIN(Mortgage!$H$8-E80,D80),0)</f>
        <v/>
      </c>
      <c r="G80" s="147">
        <f>IF(D80-F80&gt;0.005,MIN(D80-F80,Mortgage!$B$18+IF(MONTH(B80)=Mortgage!$B$20,Mortgage!$B$19,0)+SUMIFS(Mortgage!$E$6:$E$15,Mortgage!$D$6:$D$15,"&gt;="&amp;B80,Mortgage!$D$6:$D$15,"&lt;"&amp;EDATE(B80,1))+IF(Mortgage!$B$10="Bi-weekly (accelerated)",Mortgage!$H$8/12,0)),0)</f>
        <v/>
      </c>
      <c r="H80" s="147">
        <f>F80+G80</f>
        <v/>
      </c>
      <c r="I80" s="148">
        <f>D80-H80</f>
        <v/>
      </c>
      <c r="J80" s="147">
        <f>E80+F80+G80</f>
        <v/>
      </c>
      <c r="K80" s="147">
        <f>IF(AND(D80&gt;0.005,Mortgage!$H$7&gt;0.8,D80/Mortgage!$B$5&gt;Mortgage!$B$14),Mortgage!$H$5*Mortgage!$B$13/12,0)</f>
        <v/>
      </c>
      <c r="L80" s="147">
        <f>IF(D80&gt;0.005,Mortgage!$B$11/12*(1+Mortgage!$B$16)^(C80-1),0)</f>
        <v/>
      </c>
      <c r="M80" s="147">
        <f>IF(D80&gt;0.005,Mortgage!$B$12/12*(1+Mortgage!$B$16)^(C80-1),0)</f>
        <v/>
      </c>
      <c r="N80" s="147">
        <f>IF(D80&gt;0.005,Mortgage!$B$15,0)</f>
        <v/>
      </c>
      <c r="O80" s="147">
        <f>J80+K80+L80+M80+N80</f>
        <v/>
      </c>
      <c r="P80" s="147">
        <f>P79+E80</f>
        <v/>
      </c>
      <c r="Q80" s="147">
        <f>IF(D80&gt;0.005,Mortgage!$B$5*(1+Mortgage!$B$17)^(A80/12),"")</f>
        <v/>
      </c>
      <c r="R80" s="147">
        <f>IF(D80&gt;0.005,Q80-I80,"")</f>
        <v/>
      </c>
      <c r="S80" s="147">
        <f>IF(A80&gt;Mortgage!$B$8*12,0,IF(Mortgage!$B$7=0,MAX(0,Mortgage!$H$5-Mortgage!$H$8*A80),MAX(0,Mortgage!$H$5*(1+(Mortgage!$B$7/12))^A80-Mortgage!$H$8*((1+(Mortgage!$B$7/12))^A80-1)/(Mortgage!$B$7/12))))</f>
        <v/>
      </c>
      <c r="T80" s="149">
        <f>IF(D80&gt;0.005,I80/Mortgage!$B$5,"")</f>
        <v/>
      </c>
      <c r="U80">
        <f>IF(A80&gt;Mortgage!$B$8*12,NA(),B80)</f>
        <v/>
      </c>
      <c r="V80">
        <f>IF(D80&gt;0.005,I80,NA())</f>
        <v/>
      </c>
      <c r="W80">
        <f>IF(A80&gt;Mortgage!$B$8*12,NA(),S80)</f>
        <v/>
      </c>
    </row>
    <row r="81">
      <c r="A81" s="129" t="n">
        <v>76</v>
      </c>
      <c r="B81" s="146">
        <f>EDATE(Mortgage!$B$9,A81-1)</f>
        <v/>
      </c>
      <c r="C81" s="129">
        <f>INT((A81-1)/12)+1</f>
        <v/>
      </c>
      <c r="D81" s="147">
        <f>IF(N(I80)&gt;0.005,I80,0)</f>
        <v/>
      </c>
      <c r="E81" s="147">
        <f>IF(D81&gt;0.005,D81*Mortgage!$B$7/12,0)</f>
        <v/>
      </c>
      <c r="F81" s="147">
        <f>IF(D81&gt;0.005,MIN(Mortgage!$H$8-E81,D81),0)</f>
        <v/>
      </c>
      <c r="G81" s="147">
        <f>IF(D81-F81&gt;0.005,MIN(D81-F81,Mortgage!$B$18+IF(MONTH(B81)=Mortgage!$B$20,Mortgage!$B$19,0)+SUMIFS(Mortgage!$E$6:$E$15,Mortgage!$D$6:$D$15,"&gt;="&amp;B81,Mortgage!$D$6:$D$15,"&lt;"&amp;EDATE(B81,1))+IF(Mortgage!$B$10="Bi-weekly (accelerated)",Mortgage!$H$8/12,0)),0)</f>
        <v/>
      </c>
      <c r="H81" s="147">
        <f>F81+G81</f>
        <v/>
      </c>
      <c r="I81" s="148">
        <f>D81-H81</f>
        <v/>
      </c>
      <c r="J81" s="147">
        <f>E81+F81+G81</f>
        <v/>
      </c>
      <c r="K81" s="147">
        <f>IF(AND(D81&gt;0.005,Mortgage!$H$7&gt;0.8,D81/Mortgage!$B$5&gt;Mortgage!$B$14),Mortgage!$H$5*Mortgage!$B$13/12,0)</f>
        <v/>
      </c>
      <c r="L81" s="147">
        <f>IF(D81&gt;0.005,Mortgage!$B$11/12*(1+Mortgage!$B$16)^(C81-1),0)</f>
        <v/>
      </c>
      <c r="M81" s="147">
        <f>IF(D81&gt;0.005,Mortgage!$B$12/12*(1+Mortgage!$B$16)^(C81-1),0)</f>
        <v/>
      </c>
      <c r="N81" s="147">
        <f>IF(D81&gt;0.005,Mortgage!$B$15,0)</f>
        <v/>
      </c>
      <c r="O81" s="147">
        <f>J81+K81+L81+M81+N81</f>
        <v/>
      </c>
      <c r="P81" s="147">
        <f>P80+E81</f>
        <v/>
      </c>
      <c r="Q81" s="147">
        <f>IF(D81&gt;0.005,Mortgage!$B$5*(1+Mortgage!$B$17)^(A81/12),"")</f>
        <v/>
      </c>
      <c r="R81" s="147">
        <f>IF(D81&gt;0.005,Q81-I81,"")</f>
        <v/>
      </c>
      <c r="S81" s="147">
        <f>IF(A81&gt;Mortgage!$B$8*12,0,IF(Mortgage!$B$7=0,MAX(0,Mortgage!$H$5-Mortgage!$H$8*A81),MAX(0,Mortgage!$H$5*(1+(Mortgage!$B$7/12))^A81-Mortgage!$H$8*((1+(Mortgage!$B$7/12))^A81-1)/(Mortgage!$B$7/12))))</f>
        <v/>
      </c>
      <c r="T81" s="149">
        <f>IF(D81&gt;0.005,I81/Mortgage!$B$5,"")</f>
        <v/>
      </c>
      <c r="U81">
        <f>IF(A81&gt;Mortgage!$B$8*12,NA(),B81)</f>
        <v/>
      </c>
      <c r="V81">
        <f>IF(D81&gt;0.005,I81,NA())</f>
        <v/>
      </c>
      <c r="W81">
        <f>IF(A81&gt;Mortgage!$B$8*12,NA(),S81)</f>
        <v/>
      </c>
    </row>
    <row r="82">
      <c r="A82" s="129" t="n">
        <v>77</v>
      </c>
      <c r="B82" s="146">
        <f>EDATE(Mortgage!$B$9,A82-1)</f>
        <v/>
      </c>
      <c r="C82" s="129">
        <f>INT((A82-1)/12)+1</f>
        <v/>
      </c>
      <c r="D82" s="147">
        <f>IF(N(I81)&gt;0.005,I81,0)</f>
        <v/>
      </c>
      <c r="E82" s="147">
        <f>IF(D82&gt;0.005,D82*Mortgage!$B$7/12,0)</f>
        <v/>
      </c>
      <c r="F82" s="147">
        <f>IF(D82&gt;0.005,MIN(Mortgage!$H$8-E82,D82),0)</f>
        <v/>
      </c>
      <c r="G82" s="147">
        <f>IF(D82-F82&gt;0.005,MIN(D82-F82,Mortgage!$B$18+IF(MONTH(B82)=Mortgage!$B$20,Mortgage!$B$19,0)+SUMIFS(Mortgage!$E$6:$E$15,Mortgage!$D$6:$D$15,"&gt;="&amp;B82,Mortgage!$D$6:$D$15,"&lt;"&amp;EDATE(B82,1))+IF(Mortgage!$B$10="Bi-weekly (accelerated)",Mortgage!$H$8/12,0)),0)</f>
        <v/>
      </c>
      <c r="H82" s="147">
        <f>F82+G82</f>
        <v/>
      </c>
      <c r="I82" s="148">
        <f>D82-H82</f>
        <v/>
      </c>
      <c r="J82" s="147">
        <f>E82+F82+G82</f>
        <v/>
      </c>
      <c r="K82" s="147">
        <f>IF(AND(D82&gt;0.005,Mortgage!$H$7&gt;0.8,D82/Mortgage!$B$5&gt;Mortgage!$B$14),Mortgage!$H$5*Mortgage!$B$13/12,0)</f>
        <v/>
      </c>
      <c r="L82" s="147">
        <f>IF(D82&gt;0.005,Mortgage!$B$11/12*(1+Mortgage!$B$16)^(C82-1),0)</f>
        <v/>
      </c>
      <c r="M82" s="147">
        <f>IF(D82&gt;0.005,Mortgage!$B$12/12*(1+Mortgage!$B$16)^(C82-1),0)</f>
        <v/>
      </c>
      <c r="N82" s="147">
        <f>IF(D82&gt;0.005,Mortgage!$B$15,0)</f>
        <v/>
      </c>
      <c r="O82" s="147">
        <f>J82+K82+L82+M82+N82</f>
        <v/>
      </c>
      <c r="P82" s="147">
        <f>P81+E82</f>
        <v/>
      </c>
      <c r="Q82" s="147">
        <f>IF(D82&gt;0.005,Mortgage!$B$5*(1+Mortgage!$B$17)^(A82/12),"")</f>
        <v/>
      </c>
      <c r="R82" s="147">
        <f>IF(D82&gt;0.005,Q82-I82,"")</f>
        <v/>
      </c>
      <c r="S82" s="147">
        <f>IF(A82&gt;Mortgage!$B$8*12,0,IF(Mortgage!$B$7=0,MAX(0,Mortgage!$H$5-Mortgage!$H$8*A82),MAX(0,Mortgage!$H$5*(1+(Mortgage!$B$7/12))^A82-Mortgage!$H$8*((1+(Mortgage!$B$7/12))^A82-1)/(Mortgage!$B$7/12))))</f>
        <v/>
      </c>
      <c r="T82" s="149">
        <f>IF(D82&gt;0.005,I82/Mortgage!$B$5,"")</f>
        <v/>
      </c>
      <c r="U82">
        <f>IF(A82&gt;Mortgage!$B$8*12,NA(),B82)</f>
        <v/>
      </c>
      <c r="V82">
        <f>IF(D82&gt;0.005,I82,NA())</f>
        <v/>
      </c>
      <c r="W82">
        <f>IF(A82&gt;Mortgage!$B$8*12,NA(),S82)</f>
        <v/>
      </c>
    </row>
    <row r="83">
      <c r="A83" s="129" t="n">
        <v>78</v>
      </c>
      <c r="B83" s="146">
        <f>EDATE(Mortgage!$B$9,A83-1)</f>
        <v/>
      </c>
      <c r="C83" s="129">
        <f>INT((A83-1)/12)+1</f>
        <v/>
      </c>
      <c r="D83" s="147">
        <f>IF(N(I82)&gt;0.005,I82,0)</f>
        <v/>
      </c>
      <c r="E83" s="147">
        <f>IF(D83&gt;0.005,D83*Mortgage!$B$7/12,0)</f>
        <v/>
      </c>
      <c r="F83" s="147">
        <f>IF(D83&gt;0.005,MIN(Mortgage!$H$8-E83,D83),0)</f>
        <v/>
      </c>
      <c r="G83" s="147">
        <f>IF(D83-F83&gt;0.005,MIN(D83-F83,Mortgage!$B$18+IF(MONTH(B83)=Mortgage!$B$20,Mortgage!$B$19,0)+SUMIFS(Mortgage!$E$6:$E$15,Mortgage!$D$6:$D$15,"&gt;="&amp;B83,Mortgage!$D$6:$D$15,"&lt;"&amp;EDATE(B83,1))+IF(Mortgage!$B$10="Bi-weekly (accelerated)",Mortgage!$H$8/12,0)),0)</f>
        <v/>
      </c>
      <c r="H83" s="147">
        <f>F83+G83</f>
        <v/>
      </c>
      <c r="I83" s="148">
        <f>D83-H83</f>
        <v/>
      </c>
      <c r="J83" s="147">
        <f>E83+F83+G83</f>
        <v/>
      </c>
      <c r="K83" s="147">
        <f>IF(AND(D83&gt;0.005,Mortgage!$H$7&gt;0.8,D83/Mortgage!$B$5&gt;Mortgage!$B$14),Mortgage!$H$5*Mortgage!$B$13/12,0)</f>
        <v/>
      </c>
      <c r="L83" s="147">
        <f>IF(D83&gt;0.005,Mortgage!$B$11/12*(1+Mortgage!$B$16)^(C83-1),0)</f>
        <v/>
      </c>
      <c r="M83" s="147">
        <f>IF(D83&gt;0.005,Mortgage!$B$12/12*(1+Mortgage!$B$16)^(C83-1),0)</f>
        <v/>
      </c>
      <c r="N83" s="147">
        <f>IF(D83&gt;0.005,Mortgage!$B$15,0)</f>
        <v/>
      </c>
      <c r="O83" s="147">
        <f>J83+K83+L83+M83+N83</f>
        <v/>
      </c>
      <c r="P83" s="147">
        <f>P82+E83</f>
        <v/>
      </c>
      <c r="Q83" s="147">
        <f>IF(D83&gt;0.005,Mortgage!$B$5*(1+Mortgage!$B$17)^(A83/12),"")</f>
        <v/>
      </c>
      <c r="R83" s="147">
        <f>IF(D83&gt;0.005,Q83-I83,"")</f>
        <v/>
      </c>
      <c r="S83" s="147">
        <f>IF(A83&gt;Mortgage!$B$8*12,0,IF(Mortgage!$B$7=0,MAX(0,Mortgage!$H$5-Mortgage!$H$8*A83),MAX(0,Mortgage!$H$5*(1+(Mortgage!$B$7/12))^A83-Mortgage!$H$8*((1+(Mortgage!$B$7/12))^A83-1)/(Mortgage!$B$7/12))))</f>
        <v/>
      </c>
      <c r="T83" s="149">
        <f>IF(D83&gt;0.005,I83/Mortgage!$B$5,"")</f>
        <v/>
      </c>
      <c r="U83">
        <f>IF(A83&gt;Mortgage!$B$8*12,NA(),B83)</f>
        <v/>
      </c>
      <c r="V83">
        <f>IF(D83&gt;0.005,I83,NA())</f>
        <v/>
      </c>
      <c r="W83">
        <f>IF(A83&gt;Mortgage!$B$8*12,NA(),S83)</f>
        <v/>
      </c>
    </row>
    <row r="84">
      <c r="A84" s="129" t="n">
        <v>79</v>
      </c>
      <c r="B84" s="146">
        <f>EDATE(Mortgage!$B$9,A84-1)</f>
        <v/>
      </c>
      <c r="C84" s="129">
        <f>INT((A84-1)/12)+1</f>
        <v/>
      </c>
      <c r="D84" s="147">
        <f>IF(N(I83)&gt;0.005,I83,0)</f>
        <v/>
      </c>
      <c r="E84" s="147">
        <f>IF(D84&gt;0.005,D84*Mortgage!$B$7/12,0)</f>
        <v/>
      </c>
      <c r="F84" s="147">
        <f>IF(D84&gt;0.005,MIN(Mortgage!$H$8-E84,D84),0)</f>
        <v/>
      </c>
      <c r="G84" s="147">
        <f>IF(D84-F84&gt;0.005,MIN(D84-F84,Mortgage!$B$18+IF(MONTH(B84)=Mortgage!$B$20,Mortgage!$B$19,0)+SUMIFS(Mortgage!$E$6:$E$15,Mortgage!$D$6:$D$15,"&gt;="&amp;B84,Mortgage!$D$6:$D$15,"&lt;"&amp;EDATE(B84,1))+IF(Mortgage!$B$10="Bi-weekly (accelerated)",Mortgage!$H$8/12,0)),0)</f>
        <v/>
      </c>
      <c r="H84" s="147">
        <f>F84+G84</f>
        <v/>
      </c>
      <c r="I84" s="148">
        <f>D84-H84</f>
        <v/>
      </c>
      <c r="J84" s="147">
        <f>E84+F84+G84</f>
        <v/>
      </c>
      <c r="K84" s="147">
        <f>IF(AND(D84&gt;0.005,Mortgage!$H$7&gt;0.8,D84/Mortgage!$B$5&gt;Mortgage!$B$14),Mortgage!$H$5*Mortgage!$B$13/12,0)</f>
        <v/>
      </c>
      <c r="L84" s="147">
        <f>IF(D84&gt;0.005,Mortgage!$B$11/12*(1+Mortgage!$B$16)^(C84-1),0)</f>
        <v/>
      </c>
      <c r="M84" s="147">
        <f>IF(D84&gt;0.005,Mortgage!$B$12/12*(1+Mortgage!$B$16)^(C84-1),0)</f>
        <v/>
      </c>
      <c r="N84" s="147">
        <f>IF(D84&gt;0.005,Mortgage!$B$15,0)</f>
        <v/>
      </c>
      <c r="O84" s="147">
        <f>J84+K84+L84+M84+N84</f>
        <v/>
      </c>
      <c r="P84" s="147">
        <f>P83+E84</f>
        <v/>
      </c>
      <c r="Q84" s="147">
        <f>IF(D84&gt;0.005,Mortgage!$B$5*(1+Mortgage!$B$17)^(A84/12),"")</f>
        <v/>
      </c>
      <c r="R84" s="147">
        <f>IF(D84&gt;0.005,Q84-I84,"")</f>
        <v/>
      </c>
      <c r="S84" s="147">
        <f>IF(A84&gt;Mortgage!$B$8*12,0,IF(Mortgage!$B$7=0,MAX(0,Mortgage!$H$5-Mortgage!$H$8*A84),MAX(0,Mortgage!$H$5*(1+(Mortgage!$B$7/12))^A84-Mortgage!$H$8*((1+(Mortgage!$B$7/12))^A84-1)/(Mortgage!$B$7/12))))</f>
        <v/>
      </c>
      <c r="T84" s="149">
        <f>IF(D84&gt;0.005,I84/Mortgage!$B$5,"")</f>
        <v/>
      </c>
      <c r="U84">
        <f>IF(A84&gt;Mortgage!$B$8*12,NA(),B84)</f>
        <v/>
      </c>
      <c r="V84">
        <f>IF(D84&gt;0.005,I84,NA())</f>
        <v/>
      </c>
      <c r="W84">
        <f>IF(A84&gt;Mortgage!$B$8*12,NA(),S84)</f>
        <v/>
      </c>
    </row>
    <row r="85">
      <c r="A85" s="129" t="n">
        <v>80</v>
      </c>
      <c r="B85" s="146">
        <f>EDATE(Mortgage!$B$9,A85-1)</f>
        <v/>
      </c>
      <c r="C85" s="129">
        <f>INT((A85-1)/12)+1</f>
        <v/>
      </c>
      <c r="D85" s="147">
        <f>IF(N(I84)&gt;0.005,I84,0)</f>
        <v/>
      </c>
      <c r="E85" s="147">
        <f>IF(D85&gt;0.005,D85*Mortgage!$B$7/12,0)</f>
        <v/>
      </c>
      <c r="F85" s="147">
        <f>IF(D85&gt;0.005,MIN(Mortgage!$H$8-E85,D85),0)</f>
        <v/>
      </c>
      <c r="G85" s="147">
        <f>IF(D85-F85&gt;0.005,MIN(D85-F85,Mortgage!$B$18+IF(MONTH(B85)=Mortgage!$B$20,Mortgage!$B$19,0)+SUMIFS(Mortgage!$E$6:$E$15,Mortgage!$D$6:$D$15,"&gt;="&amp;B85,Mortgage!$D$6:$D$15,"&lt;"&amp;EDATE(B85,1))+IF(Mortgage!$B$10="Bi-weekly (accelerated)",Mortgage!$H$8/12,0)),0)</f>
        <v/>
      </c>
      <c r="H85" s="147">
        <f>F85+G85</f>
        <v/>
      </c>
      <c r="I85" s="148">
        <f>D85-H85</f>
        <v/>
      </c>
      <c r="J85" s="147">
        <f>E85+F85+G85</f>
        <v/>
      </c>
      <c r="K85" s="147">
        <f>IF(AND(D85&gt;0.005,Mortgage!$H$7&gt;0.8,D85/Mortgage!$B$5&gt;Mortgage!$B$14),Mortgage!$H$5*Mortgage!$B$13/12,0)</f>
        <v/>
      </c>
      <c r="L85" s="147">
        <f>IF(D85&gt;0.005,Mortgage!$B$11/12*(1+Mortgage!$B$16)^(C85-1),0)</f>
        <v/>
      </c>
      <c r="M85" s="147">
        <f>IF(D85&gt;0.005,Mortgage!$B$12/12*(1+Mortgage!$B$16)^(C85-1),0)</f>
        <v/>
      </c>
      <c r="N85" s="147">
        <f>IF(D85&gt;0.005,Mortgage!$B$15,0)</f>
        <v/>
      </c>
      <c r="O85" s="147">
        <f>J85+K85+L85+M85+N85</f>
        <v/>
      </c>
      <c r="P85" s="147">
        <f>P84+E85</f>
        <v/>
      </c>
      <c r="Q85" s="147">
        <f>IF(D85&gt;0.005,Mortgage!$B$5*(1+Mortgage!$B$17)^(A85/12),"")</f>
        <v/>
      </c>
      <c r="R85" s="147">
        <f>IF(D85&gt;0.005,Q85-I85,"")</f>
        <v/>
      </c>
      <c r="S85" s="147">
        <f>IF(A85&gt;Mortgage!$B$8*12,0,IF(Mortgage!$B$7=0,MAX(0,Mortgage!$H$5-Mortgage!$H$8*A85),MAX(0,Mortgage!$H$5*(1+(Mortgage!$B$7/12))^A85-Mortgage!$H$8*((1+(Mortgage!$B$7/12))^A85-1)/(Mortgage!$B$7/12))))</f>
        <v/>
      </c>
      <c r="T85" s="149">
        <f>IF(D85&gt;0.005,I85/Mortgage!$B$5,"")</f>
        <v/>
      </c>
      <c r="U85">
        <f>IF(A85&gt;Mortgage!$B$8*12,NA(),B85)</f>
        <v/>
      </c>
      <c r="V85">
        <f>IF(D85&gt;0.005,I85,NA())</f>
        <v/>
      </c>
      <c r="W85">
        <f>IF(A85&gt;Mortgage!$B$8*12,NA(),S85)</f>
        <v/>
      </c>
    </row>
    <row r="86">
      <c r="A86" s="129" t="n">
        <v>81</v>
      </c>
      <c r="B86" s="146">
        <f>EDATE(Mortgage!$B$9,A86-1)</f>
        <v/>
      </c>
      <c r="C86" s="129">
        <f>INT((A86-1)/12)+1</f>
        <v/>
      </c>
      <c r="D86" s="147">
        <f>IF(N(I85)&gt;0.005,I85,0)</f>
        <v/>
      </c>
      <c r="E86" s="147">
        <f>IF(D86&gt;0.005,D86*Mortgage!$B$7/12,0)</f>
        <v/>
      </c>
      <c r="F86" s="147">
        <f>IF(D86&gt;0.005,MIN(Mortgage!$H$8-E86,D86),0)</f>
        <v/>
      </c>
      <c r="G86" s="147">
        <f>IF(D86-F86&gt;0.005,MIN(D86-F86,Mortgage!$B$18+IF(MONTH(B86)=Mortgage!$B$20,Mortgage!$B$19,0)+SUMIFS(Mortgage!$E$6:$E$15,Mortgage!$D$6:$D$15,"&gt;="&amp;B86,Mortgage!$D$6:$D$15,"&lt;"&amp;EDATE(B86,1))+IF(Mortgage!$B$10="Bi-weekly (accelerated)",Mortgage!$H$8/12,0)),0)</f>
        <v/>
      </c>
      <c r="H86" s="147">
        <f>F86+G86</f>
        <v/>
      </c>
      <c r="I86" s="148">
        <f>D86-H86</f>
        <v/>
      </c>
      <c r="J86" s="147">
        <f>E86+F86+G86</f>
        <v/>
      </c>
      <c r="K86" s="147">
        <f>IF(AND(D86&gt;0.005,Mortgage!$H$7&gt;0.8,D86/Mortgage!$B$5&gt;Mortgage!$B$14),Mortgage!$H$5*Mortgage!$B$13/12,0)</f>
        <v/>
      </c>
      <c r="L86" s="147">
        <f>IF(D86&gt;0.005,Mortgage!$B$11/12*(1+Mortgage!$B$16)^(C86-1),0)</f>
        <v/>
      </c>
      <c r="M86" s="147">
        <f>IF(D86&gt;0.005,Mortgage!$B$12/12*(1+Mortgage!$B$16)^(C86-1),0)</f>
        <v/>
      </c>
      <c r="N86" s="147">
        <f>IF(D86&gt;0.005,Mortgage!$B$15,0)</f>
        <v/>
      </c>
      <c r="O86" s="147">
        <f>J86+K86+L86+M86+N86</f>
        <v/>
      </c>
      <c r="P86" s="147">
        <f>P85+E86</f>
        <v/>
      </c>
      <c r="Q86" s="147">
        <f>IF(D86&gt;0.005,Mortgage!$B$5*(1+Mortgage!$B$17)^(A86/12),"")</f>
        <v/>
      </c>
      <c r="R86" s="147">
        <f>IF(D86&gt;0.005,Q86-I86,"")</f>
        <v/>
      </c>
      <c r="S86" s="147">
        <f>IF(A86&gt;Mortgage!$B$8*12,0,IF(Mortgage!$B$7=0,MAX(0,Mortgage!$H$5-Mortgage!$H$8*A86),MAX(0,Mortgage!$H$5*(1+(Mortgage!$B$7/12))^A86-Mortgage!$H$8*((1+(Mortgage!$B$7/12))^A86-1)/(Mortgage!$B$7/12))))</f>
        <v/>
      </c>
      <c r="T86" s="149">
        <f>IF(D86&gt;0.005,I86/Mortgage!$B$5,"")</f>
        <v/>
      </c>
      <c r="U86">
        <f>IF(A86&gt;Mortgage!$B$8*12,NA(),B86)</f>
        <v/>
      </c>
      <c r="V86">
        <f>IF(D86&gt;0.005,I86,NA())</f>
        <v/>
      </c>
      <c r="W86">
        <f>IF(A86&gt;Mortgage!$B$8*12,NA(),S86)</f>
        <v/>
      </c>
    </row>
    <row r="87">
      <c r="A87" s="129" t="n">
        <v>82</v>
      </c>
      <c r="B87" s="146">
        <f>EDATE(Mortgage!$B$9,A87-1)</f>
        <v/>
      </c>
      <c r="C87" s="129">
        <f>INT((A87-1)/12)+1</f>
        <v/>
      </c>
      <c r="D87" s="147">
        <f>IF(N(I86)&gt;0.005,I86,0)</f>
        <v/>
      </c>
      <c r="E87" s="147">
        <f>IF(D87&gt;0.005,D87*Mortgage!$B$7/12,0)</f>
        <v/>
      </c>
      <c r="F87" s="147">
        <f>IF(D87&gt;0.005,MIN(Mortgage!$H$8-E87,D87),0)</f>
        <v/>
      </c>
      <c r="G87" s="147">
        <f>IF(D87-F87&gt;0.005,MIN(D87-F87,Mortgage!$B$18+IF(MONTH(B87)=Mortgage!$B$20,Mortgage!$B$19,0)+SUMIFS(Mortgage!$E$6:$E$15,Mortgage!$D$6:$D$15,"&gt;="&amp;B87,Mortgage!$D$6:$D$15,"&lt;"&amp;EDATE(B87,1))+IF(Mortgage!$B$10="Bi-weekly (accelerated)",Mortgage!$H$8/12,0)),0)</f>
        <v/>
      </c>
      <c r="H87" s="147">
        <f>F87+G87</f>
        <v/>
      </c>
      <c r="I87" s="148">
        <f>D87-H87</f>
        <v/>
      </c>
      <c r="J87" s="147">
        <f>E87+F87+G87</f>
        <v/>
      </c>
      <c r="K87" s="147">
        <f>IF(AND(D87&gt;0.005,Mortgage!$H$7&gt;0.8,D87/Mortgage!$B$5&gt;Mortgage!$B$14),Mortgage!$H$5*Mortgage!$B$13/12,0)</f>
        <v/>
      </c>
      <c r="L87" s="147">
        <f>IF(D87&gt;0.005,Mortgage!$B$11/12*(1+Mortgage!$B$16)^(C87-1),0)</f>
        <v/>
      </c>
      <c r="M87" s="147">
        <f>IF(D87&gt;0.005,Mortgage!$B$12/12*(1+Mortgage!$B$16)^(C87-1),0)</f>
        <v/>
      </c>
      <c r="N87" s="147">
        <f>IF(D87&gt;0.005,Mortgage!$B$15,0)</f>
        <v/>
      </c>
      <c r="O87" s="147">
        <f>J87+K87+L87+M87+N87</f>
        <v/>
      </c>
      <c r="P87" s="147">
        <f>P86+E87</f>
        <v/>
      </c>
      <c r="Q87" s="147">
        <f>IF(D87&gt;0.005,Mortgage!$B$5*(1+Mortgage!$B$17)^(A87/12),"")</f>
        <v/>
      </c>
      <c r="R87" s="147">
        <f>IF(D87&gt;0.005,Q87-I87,"")</f>
        <v/>
      </c>
      <c r="S87" s="147">
        <f>IF(A87&gt;Mortgage!$B$8*12,0,IF(Mortgage!$B$7=0,MAX(0,Mortgage!$H$5-Mortgage!$H$8*A87),MAX(0,Mortgage!$H$5*(1+(Mortgage!$B$7/12))^A87-Mortgage!$H$8*((1+(Mortgage!$B$7/12))^A87-1)/(Mortgage!$B$7/12))))</f>
        <v/>
      </c>
      <c r="T87" s="149">
        <f>IF(D87&gt;0.005,I87/Mortgage!$B$5,"")</f>
        <v/>
      </c>
      <c r="U87">
        <f>IF(A87&gt;Mortgage!$B$8*12,NA(),B87)</f>
        <v/>
      </c>
      <c r="V87">
        <f>IF(D87&gt;0.005,I87,NA())</f>
        <v/>
      </c>
      <c r="W87">
        <f>IF(A87&gt;Mortgage!$B$8*12,NA(),S87)</f>
        <v/>
      </c>
    </row>
    <row r="88">
      <c r="A88" s="129" t="n">
        <v>83</v>
      </c>
      <c r="B88" s="146">
        <f>EDATE(Mortgage!$B$9,A88-1)</f>
        <v/>
      </c>
      <c r="C88" s="129">
        <f>INT((A88-1)/12)+1</f>
        <v/>
      </c>
      <c r="D88" s="147">
        <f>IF(N(I87)&gt;0.005,I87,0)</f>
        <v/>
      </c>
      <c r="E88" s="147">
        <f>IF(D88&gt;0.005,D88*Mortgage!$B$7/12,0)</f>
        <v/>
      </c>
      <c r="F88" s="147">
        <f>IF(D88&gt;0.005,MIN(Mortgage!$H$8-E88,D88),0)</f>
        <v/>
      </c>
      <c r="G88" s="147">
        <f>IF(D88-F88&gt;0.005,MIN(D88-F88,Mortgage!$B$18+IF(MONTH(B88)=Mortgage!$B$20,Mortgage!$B$19,0)+SUMIFS(Mortgage!$E$6:$E$15,Mortgage!$D$6:$D$15,"&gt;="&amp;B88,Mortgage!$D$6:$D$15,"&lt;"&amp;EDATE(B88,1))+IF(Mortgage!$B$10="Bi-weekly (accelerated)",Mortgage!$H$8/12,0)),0)</f>
        <v/>
      </c>
      <c r="H88" s="147">
        <f>F88+G88</f>
        <v/>
      </c>
      <c r="I88" s="148">
        <f>D88-H88</f>
        <v/>
      </c>
      <c r="J88" s="147">
        <f>E88+F88+G88</f>
        <v/>
      </c>
      <c r="K88" s="147">
        <f>IF(AND(D88&gt;0.005,Mortgage!$H$7&gt;0.8,D88/Mortgage!$B$5&gt;Mortgage!$B$14),Mortgage!$H$5*Mortgage!$B$13/12,0)</f>
        <v/>
      </c>
      <c r="L88" s="147">
        <f>IF(D88&gt;0.005,Mortgage!$B$11/12*(1+Mortgage!$B$16)^(C88-1),0)</f>
        <v/>
      </c>
      <c r="M88" s="147">
        <f>IF(D88&gt;0.005,Mortgage!$B$12/12*(1+Mortgage!$B$16)^(C88-1),0)</f>
        <v/>
      </c>
      <c r="N88" s="147">
        <f>IF(D88&gt;0.005,Mortgage!$B$15,0)</f>
        <v/>
      </c>
      <c r="O88" s="147">
        <f>J88+K88+L88+M88+N88</f>
        <v/>
      </c>
      <c r="P88" s="147">
        <f>P87+E88</f>
        <v/>
      </c>
      <c r="Q88" s="147">
        <f>IF(D88&gt;0.005,Mortgage!$B$5*(1+Mortgage!$B$17)^(A88/12),"")</f>
        <v/>
      </c>
      <c r="R88" s="147">
        <f>IF(D88&gt;0.005,Q88-I88,"")</f>
        <v/>
      </c>
      <c r="S88" s="147">
        <f>IF(A88&gt;Mortgage!$B$8*12,0,IF(Mortgage!$B$7=0,MAX(0,Mortgage!$H$5-Mortgage!$H$8*A88),MAX(0,Mortgage!$H$5*(1+(Mortgage!$B$7/12))^A88-Mortgage!$H$8*((1+(Mortgage!$B$7/12))^A88-1)/(Mortgage!$B$7/12))))</f>
        <v/>
      </c>
      <c r="T88" s="149">
        <f>IF(D88&gt;0.005,I88/Mortgage!$B$5,"")</f>
        <v/>
      </c>
      <c r="U88">
        <f>IF(A88&gt;Mortgage!$B$8*12,NA(),B88)</f>
        <v/>
      </c>
      <c r="V88">
        <f>IF(D88&gt;0.005,I88,NA())</f>
        <v/>
      </c>
      <c r="W88">
        <f>IF(A88&gt;Mortgage!$B$8*12,NA(),S88)</f>
        <v/>
      </c>
    </row>
    <row r="89">
      <c r="A89" s="129" t="n">
        <v>84</v>
      </c>
      <c r="B89" s="146">
        <f>EDATE(Mortgage!$B$9,A89-1)</f>
        <v/>
      </c>
      <c r="C89" s="129">
        <f>INT((A89-1)/12)+1</f>
        <v/>
      </c>
      <c r="D89" s="147">
        <f>IF(N(I88)&gt;0.005,I88,0)</f>
        <v/>
      </c>
      <c r="E89" s="147">
        <f>IF(D89&gt;0.005,D89*Mortgage!$B$7/12,0)</f>
        <v/>
      </c>
      <c r="F89" s="147">
        <f>IF(D89&gt;0.005,MIN(Mortgage!$H$8-E89,D89),0)</f>
        <v/>
      </c>
      <c r="G89" s="147">
        <f>IF(D89-F89&gt;0.005,MIN(D89-F89,Mortgage!$B$18+IF(MONTH(B89)=Mortgage!$B$20,Mortgage!$B$19,0)+SUMIFS(Mortgage!$E$6:$E$15,Mortgage!$D$6:$D$15,"&gt;="&amp;B89,Mortgage!$D$6:$D$15,"&lt;"&amp;EDATE(B89,1))+IF(Mortgage!$B$10="Bi-weekly (accelerated)",Mortgage!$H$8/12,0)),0)</f>
        <v/>
      </c>
      <c r="H89" s="147">
        <f>F89+G89</f>
        <v/>
      </c>
      <c r="I89" s="148">
        <f>D89-H89</f>
        <v/>
      </c>
      <c r="J89" s="147">
        <f>E89+F89+G89</f>
        <v/>
      </c>
      <c r="K89" s="147">
        <f>IF(AND(D89&gt;0.005,Mortgage!$H$7&gt;0.8,D89/Mortgage!$B$5&gt;Mortgage!$B$14),Mortgage!$H$5*Mortgage!$B$13/12,0)</f>
        <v/>
      </c>
      <c r="L89" s="147">
        <f>IF(D89&gt;0.005,Mortgage!$B$11/12*(1+Mortgage!$B$16)^(C89-1),0)</f>
        <v/>
      </c>
      <c r="M89" s="147">
        <f>IF(D89&gt;0.005,Mortgage!$B$12/12*(1+Mortgage!$B$16)^(C89-1),0)</f>
        <v/>
      </c>
      <c r="N89" s="147">
        <f>IF(D89&gt;0.005,Mortgage!$B$15,0)</f>
        <v/>
      </c>
      <c r="O89" s="147">
        <f>J89+K89+L89+M89+N89</f>
        <v/>
      </c>
      <c r="P89" s="147">
        <f>P88+E89</f>
        <v/>
      </c>
      <c r="Q89" s="147">
        <f>IF(D89&gt;0.005,Mortgage!$B$5*(1+Mortgage!$B$17)^(A89/12),"")</f>
        <v/>
      </c>
      <c r="R89" s="147">
        <f>IF(D89&gt;0.005,Q89-I89,"")</f>
        <v/>
      </c>
      <c r="S89" s="147">
        <f>IF(A89&gt;Mortgage!$B$8*12,0,IF(Mortgage!$B$7=0,MAX(0,Mortgage!$H$5-Mortgage!$H$8*A89),MAX(0,Mortgage!$H$5*(1+(Mortgage!$B$7/12))^A89-Mortgage!$H$8*((1+(Mortgage!$B$7/12))^A89-1)/(Mortgage!$B$7/12))))</f>
        <v/>
      </c>
      <c r="T89" s="149">
        <f>IF(D89&gt;0.005,I89/Mortgage!$B$5,"")</f>
        <v/>
      </c>
      <c r="U89">
        <f>IF(A89&gt;Mortgage!$B$8*12,NA(),B89)</f>
        <v/>
      </c>
      <c r="V89">
        <f>IF(D89&gt;0.005,I89,NA())</f>
        <v/>
      </c>
      <c r="W89">
        <f>IF(A89&gt;Mortgage!$B$8*12,NA(),S89)</f>
        <v/>
      </c>
    </row>
    <row r="90">
      <c r="A90" s="129" t="n">
        <v>85</v>
      </c>
      <c r="B90" s="146">
        <f>EDATE(Mortgage!$B$9,A90-1)</f>
        <v/>
      </c>
      <c r="C90" s="129">
        <f>INT((A90-1)/12)+1</f>
        <v/>
      </c>
      <c r="D90" s="147">
        <f>IF(N(I89)&gt;0.005,I89,0)</f>
        <v/>
      </c>
      <c r="E90" s="147">
        <f>IF(D90&gt;0.005,D90*Mortgage!$B$7/12,0)</f>
        <v/>
      </c>
      <c r="F90" s="147">
        <f>IF(D90&gt;0.005,MIN(Mortgage!$H$8-E90,D90),0)</f>
        <v/>
      </c>
      <c r="G90" s="147">
        <f>IF(D90-F90&gt;0.005,MIN(D90-F90,Mortgage!$B$18+IF(MONTH(B90)=Mortgage!$B$20,Mortgage!$B$19,0)+SUMIFS(Mortgage!$E$6:$E$15,Mortgage!$D$6:$D$15,"&gt;="&amp;B90,Mortgage!$D$6:$D$15,"&lt;"&amp;EDATE(B90,1))+IF(Mortgage!$B$10="Bi-weekly (accelerated)",Mortgage!$H$8/12,0)),0)</f>
        <v/>
      </c>
      <c r="H90" s="147">
        <f>F90+G90</f>
        <v/>
      </c>
      <c r="I90" s="148">
        <f>D90-H90</f>
        <v/>
      </c>
      <c r="J90" s="147">
        <f>E90+F90+G90</f>
        <v/>
      </c>
      <c r="K90" s="147">
        <f>IF(AND(D90&gt;0.005,Mortgage!$H$7&gt;0.8,D90/Mortgage!$B$5&gt;Mortgage!$B$14),Mortgage!$H$5*Mortgage!$B$13/12,0)</f>
        <v/>
      </c>
      <c r="L90" s="147">
        <f>IF(D90&gt;0.005,Mortgage!$B$11/12*(1+Mortgage!$B$16)^(C90-1),0)</f>
        <v/>
      </c>
      <c r="M90" s="147">
        <f>IF(D90&gt;0.005,Mortgage!$B$12/12*(1+Mortgage!$B$16)^(C90-1),0)</f>
        <v/>
      </c>
      <c r="N90" s="147">
        <f>IF(D90&gt;0.005,Mortgage!$B$15,0)</f>
        <v/>
      </c>
      <c r="O90" s="147">
        <f>J90+K90+L90+M90+N90</f>
        <v/>
      </c>
      <c r="P90" s="147">
        <f>P89+E90</f>
        <v/>
      </c>
      <c r="Q90" s="147">
        <f>IF(D90&gt;0.005,Mortgage!$B$5*(1+Mortgage!$B$17)^(A90/12),"")</f>
        <v/>
      </c>
      <c r="R90" s="147">
        <f>IF(D90&gt;0.005,Q90-I90,"")</f>
        <v/>
      </c>
      <c r="S90" s="147">
        <f>IF(A90&gt;Mortgage!$B$8*12,0,IF(Mortgage!$B$7=0,MAX(0,Mortgage!$H$5-Mortgage!$H$8*A90),MAX(0,Mortgage!$H$5*(1+(Mortgage!$B$7/12))^A90-Mortgage!$H$8*((1+(Mortgage!$B$7/12))^A90-1)/(Mortgage!$B$7/12))))</f>
        <v/>
      </c>
      <c r="T90" s="149">
        <f>IF(D90&gt;0.005,I90/Mortgage!$B$5,"")</f>
        <v/>
      </c>
      <c r="U90">
        <f>IF(A90&gt;Mortgage!$B$8*12,NA(),B90)</f>
        <v/>
      </c>
      <c r="V90">
        <f>IF(D90&gt;0.005,I90,NA())</f>
        <v/>
      </c>
      <c r="W90">
        <f>IF(A90&gt;Mortgage!$B$8*12,NA(),S90)</f>
        <v/>
      </c>
    </row>
    <row r="91">
      <c r="A91" s="129" t="n">
        <v>86</v>
      </c>
      <c r="B91" s="146">
        <f>EDATE(Mortgage!$B$9,A91-1)</f>
        <v/>
      </c>
      <c r="C91" s="129">
        <f>INT((A91-1)/12)+1</f>
        <v/>
      </c>
      <c r="D91" s="147">
        <f>IF(N(I90)&gt;0.005,I90,0)</f>
        <v/>
      </c>
      <c r="E91" s="147">
        <f>IF(D91&gt;0.005,D91*Mortgage!$B$7/12,0)</f>
        <v/>
      </c>
      <c r="F91" s="147">
        <f>IF(D91&gt;0.005,MIN(Mortgage!$H$8-E91,D91),0)</f>
        <v/>
      </c>
      <c r="G91" s="147">
        <f>IF(D91-F91&gt;0.005,MIN(D91-F91,Mortgage!$B$18+IF(MONTH(B91)=Mortgage!$B$20,Mortgage!$B$19,0)+SUMIFS(Mortgage!$E$6:$E$15,Mortgage!$D$6:$D$15,"&gt;="&amp;B91,Mortgage!$D$6:$D$15,"&lt;"&amp;EDATE(B91,1))+IF(Mortgage!$B$10="Bi-weekly (accelerated)",Mortgage!$H$8/12,0)),0)</f>
        <v/>
      </c>
      <c r="H91" s="147">
        <f>F91+G91</f>
        <v/>
      </c>
      <c r="I91" s="148">
        <f>D91-H91</f>
        <v/>
      </c>
      <c r="J91" s="147">
        <f>E91+F91+G91</f>
        <v/>
      </c>
      <c r="K91" s="147">
        <f>IF(AND(D91&gt;0.005,Mortgage!$H$7&gt;0.8,D91/Mortgage!$B$5&gt;Mortgage!$B$14),Mortgage!$H$5*Mortgage!$B$13/12,0)</f>
        <v/>
      </c>
      <c r="L91" s="147">
        <f>IF(D91&gt;0.005,Mortgage!$B$11/12*(1+Mortgage!$B$16)^(C91-1),0)</f>
        <v/>
      </c>
      <c r="M91" s="147">
        <f>IF(D91&gt;0.005,Mortgage!$B$12/12*(1+Mortgage!$B$16)^(C91-1),0)</f>
        <v/>
      </c>
      <c r="N91" s="147">
        <f>IF(D91&gt;0.005,Mortgage!$B$15,0)</f>
        <v/>
      </c>
      <c r="O91" s="147">
        <f>J91+K91+L91+M91+N91</f>
        <v/>
      </c>
      <c r="P91" s="147">
        <f>P90+E91</f>
        <v/>
      </c>
      <c r="Q91" s="147">
        <f>IF(D91&gt;0.005,Mortgage!$B$5*(1+Mortgage!$B$17)^(A91/12),"")</f>
        <v/>
      </c>
      <c r="R91" s="147">
        <f>IF(D91&gt;0.005,Q91-I91,"")</f>
        <v/>
      </c>
      <c r="S91" s="147">
        <f>IF(A91&gt;Mortgage!$B$8*12,0,IF(Mortgage!$B$7=0,MAX(0,Mortgage!$H$5-Mortgage!$H$8*A91),MAX(0,Mortgage!$H$5*(1+(Mortgage!$B$7/12))^A91-Mortgage!$H$8*((1+(Mortgage!$B$7/12))^A91-1)/(Mortgage!$B$7/12))))</f>
        <v/>
      </c>
      <c r="T91" s="149">
        <f>IF(D91&gt;0.005,I91/Mortgage!$B$5,"")</f>
        <v/>
      </c>
      <c r="U91">
        <f>IF(A91&gt;Mortgage!$B$8*12,NA(),B91)</f>
        <v/>
      </c>
      <c r="V91">
        <f>IF(D91&gt;0.005,I91,NA())</f>
        <v/>
      </c>
      <c r="W91">
        <f>IF(A91&gt;Mortgage!$B$8*12,NA(),S91)</f>
        <v/>
      </c>
    </row>
    <row r="92">
      <c r="A92" s="129" t="n">
        <v>87</v>
      </c>
      <c r="B92" s="146">
        <f>EDATE(Mortgage!$B$9,A92-1)</f>
        <v/>
      </c>
      <c r="C92" s="129">
        <f>INT((A92-1)/12)+1</f>
        <v/>
      </c>
      <c r="D92" s="147">
        <f>IF(N(I91)&gt;0.005,I91,0)</f>
        <v/>
      </c>
      <c r="E92" s="147">
        <f>IF(D92&gt;0.005,D92*Mortgage!$B$7/12,0)</f>
        <v/>
      </c>
      <c r="F92" s="147">
        <f>IF(D92&gt;0.005,MIN(Mortgage!$H$8-E92,D92),0)</f>
        <v/>
      </c>
      <c r="G92" s="147">
        <f>IF(D92-F92&gt;0.005,MIN(D92-F92,Mortgage!$B$18+IF(MONTH(B92)=Mortgage!$B$20,Mortgage!$B$19,0)+SUMIFS(Mortgage!$E$6:$E$15,Mortgage!$D$6:$D$15,"&gt;="&amp;B92,Mortgage!$D$6:$D$15,"&lt;"&amp;EDATE(B92,1))+IF(Mortgage!$B$10="Bi-weekly (accelerated)",Mortgage!$H$8/12,0)),0)</f>
        <v/>
      </c>
      <c r="H92" s="147">
        <f>F92+G92</f>
        <v/>
      </c>
      <c r="I92" s="148">
        <f>D92-H92</f>
        <v/>
      </c>
      <c r="J92" s="147">
        <f>E92+F92+G92</f>
        <v/>
      </c>
      <c r="K92" s="147">
        <f>IF(AND(D92&gt;0.005,Mortgage!$H$7&gt;0.8,D92/Mortgage!$B$5&gt;Mortgage!$B$14),Mortgage!$H$5*Mortgage!$B$13/12,0)</f>
        <v/>
      </c>
      <c r="L92" s="147">
        <f>IF(D92&gt;0.005,Mortgage!$B$11/12*(1+Mortgage!$B$16)^(C92-1),0)</f>
        <v/>
      </c>
      <c r="M92" s="147">
        <f>IF(D92&gt;0.005,Mortgage!$B$12/12*(1+Mortgage!$B$16)^(C92-1),0)</f>
        <v/>
      </c>
      <c r="N92" s="147">
        <f>IF(D92&gt;0.005,Mortgage!$B$15,0)</f>
        <v/>
      </c>
      <c r="O92" s="147">
        <f>J92+K92+L92+M92+N92</f>
        <v/>
      </c>
      <c r="P92" s="147">
        <f>P91+E92</f>
        <v/>
      </c>
      <c r="Q92" s="147">
        <f>IF(D92&gt;0.005,Mortgage!$B$5*(1+Mortgage!$B$17)^(A92/12),"")</f>
        <v/>
      </c>
      <c r="R92" s="147">
        <f>IF(D92&gt;0.005,Q92-I92,"")</f>
        <v/>
      </c>
      <c r="S92" s="147">
        <f>IF(A92&gt;Mortgage!$B$8*12,0,IF(Mortgage!$B$7=0,MAX(0,Mortgage!$H$5-Mortgage!$H$8*A92),MAX(0,Mortgage!$H$5*(1+(Mortgage!$B$7/12))^A92-Mortgage!$H$8*((1+(Mortgage!$B$7/12))^A92-1)/(Mortgage!$B$7/12))))</f>
        <v/>
      </c>
      <c r="T92" s="149">
        <f>IF(D92&gt;0.005,I92/Mortgage!$B$5,"")</f>
        <v/>
      </c>
      <c r="U92">
        <f>IF(A92&gt;Mortgage!$B$8*12,NA(),B92)</f>
        <v/>
      </c>
      <c r="V92">
        <f>IF(D92&gt;0.005,I92,NA())</f>
        <v/>
      </c>
      <c r="W92">
        <f>IF(A92&gt;Mortgage!$B$8*12,NA(),S92)</f>
        <v/>
      </c>
    </row>
    <row r="93">
      <c r="A93" s="129" t="n">
        <v>88</v>
      </c>
      <c r="B93" s="146">
        <f>EDATE(Mortgage!$B$9,A93-1)</f>
        <v/>
      </c>
      <c r="C93" s="129">
        <f>INT((A93-1)/12)+1</f>
        <v/>
      </c>
      <c r="D93" s="147">
        <f>IF(N(I92)&gt;0.005,I92,0)</f>
        <v/>
      </c>
      <c r="E93" s="147">
        <f>IF(D93&gt;0.005,D93*Mortgage!$B$7/12,0)</f>
        <v/>
      </c>
      <c r="F93" s="147">
        <f>IF(D93&gt;0.005,MIN(Mortgage!$H$8-E93,D93),0)</f>
        <v/>
      </c>
      <c r="G93" s="147">
        <f>IF(D93-F93&gt;0.005,MIN(D93-F93,Mortgage!$B$18+IF(MONTH(B93)=Mortgage!$B$20,Mortgage!$B$19,0)+SUMIFS(Mortgage!$E$6:$E$15,Mortgage!$D$6:$D$15,"&gt;="&amp;B93,Mortgage!$D$6:$D$15,"&lt;"&amp;EDATE(B93,1))+IF(Mortgage!$B$10="Bi-weekly (accelerated)",Mortgage!$H$8/12,0)),0)</f>
        <v/>
      </c>
      <c r="H93" s="147">
        <f>F93+G93</f>
        <v/>
      </c>
      <c r="I93" s="148">
        <f>D93-H93</f>
        <v/>
      </c>
      <c r="J93" s="147">
        <f>E93+F93+G93</f>
        <v/>
      </c>
      <c r="K93" s="147">
        <f>IF(AND(D93&gt;0.005,Mortgage!$H$7&gt;0.8,D93/Mortgage!$B$5&gt;Mortgage!$B$14),Mortgage!$H$5*Mortgage!$B$13/12,0)</f>
        <v/>
      </c>
      <c r="L93" s="147">
        <f>IF(D93&gt;0.005,Mortgage!$B$11/12*(1+Mortgage!$B$16)^(C93-1),0)</f>
        <v/>
      </c>
      <c r="M93" s="147">
        <f>IF(D93&gt;0.005,Mortgage!$B$12/12*(1+Mortgage!$B$16)^(C93-1),0)</f>
        <v/>
      </c>
      <c r="N93" s="147">
        <f>IF(D93&gt;0.005,Mortgage!$B$15,0)</f>
        <v/>
      </c>
      <c r="O93" s="147">
        <f>J93+K93+L93+M93+N93</f>
        <v/>
      </c>
      <c r="P93" s="147">
        <f>P92+E93</f>
        <v/>
      </c>
      <c r="Q93" s="147">
        <f>IF(D93&gt;0.005,Mortgage!$B$5*(1+Mortgage!$B$17)^(A93/12),"")</f>
        <v/>
      </c>
      <c r="R93" s="147">
        <f>IF(D93&gt;0.005,Q93-I93,"")</f>
        <v/>
      </c>
      <c r="S93" s="147">
        <f>IF(A93&gt;Mortgage!$B$8*12,0,IF(Mortgage!$B$7=0,MAX(0,Mortgage!$H$5-Mortgage!$H$8*A93),MAX(0,Mortgage!$H$5*(1+(Mortgage!$B$7/12))^A93-Mortgage!$H$8*((1+(Mortgage!$B$7/12))^A93-1)/(Mortgage!$B$7/12))))</f>
        <v/>
      </c>
      <c r="T93" s="149">
        <f>IF(D93&gt;0.005,I93/Mortgage!$B$5,"")</f>
        <v/>
      </c>
      <c r="U93">
        <f>IF(A93&gt;Mortgage!$B$8*12,NA(),B93)</f>
        <v/>
      </c>
      <c r="V93">
        <f>IF(D93&gt;0.005,I93,NA())</f>
        <v/>
      </c>
      <c r="W93">
        <f>IF(A93&gt;Mortgage!$B$8*12,NA(),S93)</f>
        <v/>
      </c>
    </row>
    <row r="94">
      <c r="A94" s="129" t="n">
        <v>89</v>
      </c>
      <c r="B94" s="146">
        <f>EDATE(Mortgage!$B$9,A94-1)</f>
        <v/>
      </c>
      <c r="C94" s="129">
        <f>INT((A94-1)/12)+1</f>
        <v/>
      </c>
      <c r="D94" s="147">
        <f>IF(N(I93)&gt;0.005,I93,0)</f>
        <v/>
      </c>
      <c r="E94" s="147">
        <f>IF(D94&gt;0.005,D94*Mortgage!$B$7/12,0)</f>
        <v/>
      </c>
      <c r="F94" s="147">
        <f>IF(D94&gt;0.005,MIN(Mortgage!$H$8-E94,D94),0)</f>
        <v/>
      </c>
      <c r="G94" s="147">
        <f>IF(D94-F94&gt;0.005,MIN(D94-F94,Mortgage!$B$18+IF(MONTH(B94)=Mortgage!$B$20,Mortgage!$B$19,0)+SUMIFS(Mortgage!$E$6:$E$15,Mortgage!$D$6:$D$15,"&gt;="&amp;B94,Mortgage!$D$6:$D$15,"&lt;"&amp;EDATE(B94,1))+IF(Mortgage!$B$10="Bi-weekly (accelerated)",Mortgage!$H$8/12,0)),0)</f>
        <v/>
      </c>
      <c r="H94" s="147">
        <f>F94+G94</f>
        <v/>
      </c>
      <c r="I94" s="148">
        <f>D94-H94</f>
        <v/>
      </c>
      <c r="J94" s="147">
        <f>E94+F94+G94</f>
        <v/>
      </c>
      <c r="K94" s="147">
        <f>IF(AND(D94&gt;0.005,Mortgage!$H$7&gt;0.8,D94/Mortgage!$B$5&gt;Mortgage!$B$14),Mortgage!$H$5*Mortgage!$B$13/12,0)</f>
        <v/>
      </c>
      <c r="L94" s="147">
        <f>IF(D94&gt;0.005,Mortgage!$B$11/12*(1+Mortgage!$B$16)^(C94-1),0)</f>
        <v/>
      </c>
      <c r="M94" s="147">
        <f>IF(D94&gt;0.005,Mortgage!$B$12/12*(1+Mortgage!$B$16)^(C94-1),0)</f>
        <v/>
      </c>
      <c r="N94" s="147">
        <f>IF(D94&gt;0.005,Mortgage!$B$15,0)</f>
        <v/>
      </c>
      <c r="O94" s="147">
        <f>J94+K94+L94+M94+N94</f>
        <v/>
      </c>
      <c r="P94" s="147">
        <f>P93+E94</f>
        <v/>
      </c>
      <c r="Q94" s="147">
        <f>IF(D94&gt;0.005,Mortgage!$B$5*(1+Mortgage!$B$17)^(A94/12),"")</f>
        <v/>
      </c>
      <c r="R94" s="147">
        <f>IF(D94&gt;0.005,Q94-I94,"")</f>
        <v/>
      </c>
      <c r="S94" s="147">
        <f>IF(A94&gt;Mortgage!$B$8*12,0,IF(Mortgage!$B$7=0,MAX(0,Mortgage!$H$5-Mortgage!$H$8*A94),MAX(0,Mortgage!$H$5*(1+(Mortgage!$B$7/12))^A94-Mortgage!$H$8*((1+(Mortgage!$B$7/12))^A94-1)/(Mortgage!$B$7/12))))</f>
        <v/>
      </c>
      <c r="T94" s="149">
        <f>IF(D94&gt;0.005,I94/Mortgage!$B$5,"")</f>
        <v/>
      </c>
      <c r="U94">
        <f>IF(A94&gt;Mortgage!$B$8*12,NA(),B94)</f>
        <v/>
      </c>
      <c r="V94">
        <f>IF(D94&gt;0.005,I94,NA())</f>
        <v/>
      </c>
      <c r="W94">
        <f>IF(A94&gt;Mortgage!$B$8*12,NA(),S94)</f>
        <v/>
      </c>
    </row>
    <row r="95">
      <c r="A95" s="129" t="n">
        <v>90</v>
      </c>
      <c r="B95" s="146">
        <f>EDATE(Mortgage!$B$9,A95-1)</f>
        <v/>
      </c>
      <c r="C95" s="129">
        <f>INT((A95-1)/12)+1</f>
        <v/>
      </c>
      <c r="D95" s="147">
        <f>IF(N(I94)&gt;0.005,I94,0)</f>
        <v/>
      </c>
      <c r="E95" s="147">
        <f>IF(D95&gt;0.005,D95*Mortgage!$B$7/12,0)</f>
        <v/>
      </c>
      <c r="F95" s="147">
        <f>IF(D95&gt;0.005,MIN(Mortgage!$H$8-E95,D95),0)</f>
        <v/>
      </c>
      <c r="G95" s="147">
        <f>IF(D95-F95&gt;0.005,MIN(D95-F95,Mortgage!$B$18+IF(MONTH(B95)=Mortgage!$B$20,Mortgage!$B$19,0)+SUMIFS(Mortgage!$E$6:$E$15,Mortgage!$D$6:$D$15,"&gt;="&amp;B95,Mortgage!$D$6:$D$15,"&lt;"&amp;EDATE(B95,1))+IF(Mortgage!$B$10="Bi-weekly (accelerated)",Mortgage!$H$8/12,0)),0)</f>
        <v/>
      </c>
      <c r="H95" s="147">
        <f>F95+G95</f>
        <v/>
      </c>
      <c r="I95" s="148">
        <f>D95-H95</f>
        <v/>
      </c>
      <c r="J95" s="147">
        <f>E95+F95+G95</f>
        <v/>
      </c>
      <c r="K95" s="147">
        <f>IF(AND(D95&gt;0.005,Mortgage!$H$7&gt;0.8,D95/Mortgage!$B$5&gt;Mortgage!$B$14),Mortgage!$H$5*Mortgage!$B$13/12,0)</f>
        <v/>
      </c>
      <c r="L95" s="147">
        <f>IF(D95&gt;0.005,Mortgage!$B$11/12*(1+Mortgage!$B$16)^(C95-1),0)</f>
        <v/>
      </c>
      <c r="M95" s="147">
        <f>IF(D95&gt;0.005,Mortgage!$B$12/12*(1+Mortgage!$B$16)^(C95-1),0)</f>
        <v/>
      </c>
      <c r="N95" s="147">
        <f>IF(D95&gt;0.005,Mortgage!$B$15,0)</f>
        <v/>
      </c>
      <c r="O95" s="147">
        <f>J95+K95+L95+M95+N95</f>
        <v/>
      </c>
      <c r="P95" s="147">
        <f>P94+E95</f>
        <v/>
      </c>
      <c r="Q95" s="147">
        <f>IF(D95&gt;0.005,Mortgage!$B$5*(1+Mortgage!$B$17)^(A95/12),"")</f>
        <v/>
      </c>
      <c r="R95" s="147">
        <f>IF(D95&gt;0.005,Q95-I95,"")</f>
        <v/>
      </c>
      <c r="S95" s="147">
        <f>IF(A95&gt;Mortgage!$B$8*12,0,IF(Mortgage!$B$7=0,MAX(0,Mortgage!$H$5-Mortgage!$H$8*A95),MAX(0,Mortgage!$H$5*(1+(Mortgage!$B$7/12))^A95-Mortgage!$H$8*((1+(Mortgage!$B$7/12))^A95-1)/(Mortgage!$B$7/12))))</f>
        <v/>
      </c>
      <c r="T95" s="149">
        <f>IF(D95&gt;0.005,I95/Mortgage!$B$5,"")</f>
        <v/>
      </c>
      <c r="U95">
        <f>IF(A95&gt;Mortgage!$B$8*12,NA(),B95)</f>
        <v/>
      </c>
      <c r="V95">
        <f>IF(D95&gt;0.005,I95,NA())</f>
        <v/>
      </c>
      <c r="W95">
        <f>IF(A95&gt;Mortgage!$B$8*12,NA(),S95)</f>
        <v/>
      </c>
    </row>
    <row r="96">
      <c r="A96" s="129" t="n">
        <v>91</v>
      </c>
      <c r="B96" s="146">
        <f>EDATE(Mortgage!$B$9,A96-1)</f>
        <v/>
      </c>
      <c r="C96" s="129">
        <f>INT((A96-1)/12)+1</f>
        <v/>
      </c>
      <c r="D96" s="147">
        <f>IF(N(I95)&gt;0.005,I95,0)</f>
        <v/>
      </c>
      <c r="E96" s="147">
        <f>IF(D96&gt;0.005,D96*Mortgage!$B$7/12,0)</f>
        <v/>
      </c>
      <c r="F96" s="147">
        <f>IF(D96&gt;0.005,MIN(Mortgage!$H$8-E96,D96),0)</f>
        <v/>
      </c>
      <c r="G96" s="147">
        <f>IF(D96-F96&gt;0.005,MIN(D96-F96,Mortgage!$B$18+IF(MONTH(B96)=Mortgage!$B$20,Mortgage!$B$19,0)+SUMIFS(Mortgage!$E$6:$E$15,Mortgage!$D$6:$D$15,"&gt;="&amp;B96,Mortgage!$D$6:$D$15,"&lt;"&amp;EDATE(B96,1))+IF(Mortgage!$B$10="Bi-weekly (accelerated)",Mortgage!$H$8/12,0)),0)</f>
        <v/>
      </c>
      <c r="H96" s="147">
        <f>F96+G96</f>
        <v/>
      </c>
      <c r="I96" s="148">
        <f>D96-H96</f>
        <v/>
      </c>
      <c r="J96" s="147">
        <f>E96+F96+G96</f>
        <v/>
      </c>
      <c r="K96" s="147">
        <f>IF(AND(D96&gt;0.005,Mortgage!$H$7&gt;0.8,D96/Mortgage!$B$5&gt;Mortgage!$B$14),Mortgage!$H$5*Mortgage!$B$13/12,0)</f>
        <v/>
      </c>
      <c r="L96" s="147">
        <f>IF(D96&gt;0.005,Mortgage!$B$11/12*(1+Mortgage!$B$16)^(C96-1),0)</f>
        <v/>
      </c>
      <c r="M96" s="147">
        <f>IF(D96&gt;0.005,Mortgage!$B$12/12*(1+Mortgage!$B$16)^(C96-1),0)</f>
        <v/>
      </c>
      <c r="N96" s="147">
        <f>IF(D96&gt;0.005,Mortgage!$B$15,0)</f>
        <v/>
      </c>
      <c r="O96" s="147">
        <f>J96+K96+L96+M96+N96</f>
        <v/>
      </c>
      <c r="P96" s="147">
        <f>P95+E96</f>
        <v/>
      </c>
      <c r="Q96" s="147">
        <f>IF(D96&gt;0.005,Mortgage!$B$5*(1+Mortgage!$B$17)^(A96/12),"")</f>
        <v/>
      </c>
      <c r="R96" s="147">
        <f>IF(D96&gt;0.005,Q96-I96,"")</f>
        <v/>
      </c>
      <c r="S96" s="147">
        <f>IF(A96&gt;Mortgage!$B$8*12,0,IF(Mortgage!$B$7=0,MAX(0,Mortgage!$H$5-Mortgage!$H$8*A96),MAX(0,Mortgage!$H$5*(1+(Mortgage!$B$7/12))^A96-Mortgage!$H$8*((1+(Mortgage!$B$7/12))^A96-1)/(Mortgage!$B$7/12))))</f>
        <v/>
      </c>
      <c r="T96" s="149">
        <f>IF(D96&gt;0.005,I96/Mortgage!$B$5,"")</f>
        <v/>
      </c>
      <c r="U96">
        <f>IF(A96&gt;Mortgage!$B$8*12,NA(),B96)</f>
        <v/>
      </c>
      <c r="V96">
        <f>IF(D96&gt;0.005,I96,NA())</f>
        <v/>
      </c>
      <c r="W96">
        <f>IF(A96&gt;Mortgage!$B$8*12,NA(),S96)</f>
        <v/>
      </c>
    </row>
    <row r="97">
      <c r="A97" s="129" t="n">
        <v>92</v>
      </c>
      <c r="B97" s="146">
        <f>EDATE(Mortgage!$B$9,A97-1)</f>
        <v/>
      </c>
      <c r="C97" s="129">
        <f>INT((A97-1)/12)+1</f>
        <v/>
      </c>
      <c r="D97" s="147">
        <f>IF(N(I96)&gt;0.005,I96,0)</f>
        <v/>
      </c>
      <c r="E97" s="147">
        <f>IF(D97&gt;0.005,D97*Mortgage!$B$7/12,0)</f>
        <v/>
      </c>
      <c r="F97" s="147">
        <f>IF(D97&gt;0.005,MIN(Mortgage!$H$8-E97,D97),0)</f>
        <v/>
      </c>
      <c r="G97" s="147">
        <f>IF(D97-F97&gt;0.005,MIN(D97-F97,Mortgage!$B$18+IF(MONTH(B97)=Mortgage!$B$20,Mortgage!$B$19,0)+SUMIFS(Mortgage!$E$6:$E$15,Mortgage!$D$6:$D$15,"&gt;="&amp;B97,Mortgage!$D$6:$D$15,"&lt;"&amp;EDATE(B97,1))+IF(Mortgage!$B$10="Bi-weekly (accelerated)",Mortgage!$H$8/12,0)),0)</f>
        <v/>
      </c>
      <c r="H97" s="147">
        <f>F97+G97</f>
        <v/>
      </c>
      <c r="I97" s="148">
        <f>D97-H97</f>
        <v/>
      </c>
      <c r="J97" s="147">
        <f>E97+F97+G97</f>
        <v/>
      </c>
      <c r="K97" s="147">
        <f>IF(AND(D97&gt;0.005,Mortgage!$H$7&gt;0.8,D97/Mortgage!$B$5&gt;Mortgage!$B$14),Mortgage!$H$5*Mortgage!$B$13/12,0)</f>
        <v/>
      </c>
      <c r="L97" s="147">
        <f>IF(D97&gt;0.005,Mortgage!$B$11/12*(1+Mortgage!$B$16)^(C97-1),0)</f>
        <v/>
      </c>
      <c r="M97" s="147">
        <f>IF(D97&gt;0.005,Mortgage!$B$12/12*(1+Mortgage!$B$16)^(C97-1),0)</f>
        <v/>
      </c>
      <c r="N97" s="147">
        <f>IF(D97&gt;0.005,Mortgage!$B$15,0)</f>
        <v/>
      </c>
      <c r="O97" s="147">
        <f>J97+K97+L97+M97+N97</f>
        <v/>
      </c>
      <c r="P97" s="147">
        <f>P96+E97</f>
        <v/>
      </c>
      <c r="Q97" s="147">
        <f>IF(D97&gt;0.005,Mortgage!$B$5*(1+Mortgage!$B$17)^(A97/12),"")</f>
        <v/>
      </c>
      <c r="R97" s="147">
        <f>IF(D97&gt;0.005,Q97-I97,"")</f>
        <v/>
      </c>
      <c r="S97" s="147">
        <f>IF(A97&gt;Mortgage!$B$8*12,0,IF(Mortgage!$B$7=0,MAX(0,Mortgage!$H$5-Mortgage!$H$8*A97),MAX(0,Mortgage!$H$5*(1+(Mortgage!$B$7/12))^A97-Mortgage!$H$8*((1+(Mortgage!$B$7/12))^A97-1)/(Mortgage!$B$7/12))))</f>
        <v/>
      </c>
      <c r="T97" s="149">
        <f>IF(D97&gt;0.005,I97/Mortgage!$B$5,"")</f>
        <v/>
      </c>
      <c r="U97">
        <f>IF(A97&gt;Mortgage!$B$8*12,NA(),B97)</f>
        <v/>
      </c>
      <c r="V97">
        <f>IF(D97&gt;0.005,I97,NA())</f>
        <v/>
      </c>
      <c r="W97">
        <f>IF(A97&gt;Mortgage!$B$8*12,NA(),S97)</f>
        <v/>
      </c>
    </row>
    <row r="98">
      <c r="A98" s="129" t="n">
        <v>93</v>
      </c>
      <c r="B98" s="146">
        <f>EDATE(Mortgage!$B$9,A98-1)</f>
        <v/>
      </c>
      <c r="C98" s="129">
        <f>INT((A98-1)/12)+1</f>
        <v/>
      </c>
      <c r="D98" s="147">
        <f>IF(N(I97)&gt;0.005,I97,0)</f>
        <v/>
      </c>
      <c r="E98" s="147">
        <f>IF(D98&gt;0.005,D98*Mortgage!$B$7/12,0)</f>
        <v/>
      </c>
      <c r="F98" s="147">
        <f>IF(D98&gt;0.005,MIN(Mortgage!$H$8-E98,D98),0)</f>
        <v/>
      </c>
      <c r="G98" s="147">
        <f>IF(D98-F98&gt;0.005,MIN(D98-F98,Mortgage!$B$18+IF(MONTH(B98)=Mortgage!$B$20,Mortgage!$B$19,0)+SUMIFS(Mortgage!$E$6:$E$15,Mortgage!$D$6:$D$15,"&gt;="&amp;B98,Mortgage!$D$6:$D$15,"&lt;"&amp;EDATE(B98,1))+IF(Mortgage!$B$10="Bi-weekly (accelerated)",Mortgage!$H$8/12,0)),0)</f>
        <v/>
      </c>
      <c r="H98" s="147">
        <f>F98+G98</f>
        <v/>
      </c>
      <c r="I98" s="148">
        <f>D98-H98</f>
        <v/>
      </c>
      <c r="J98" s="147">
        <f>E98+F98+G98</f>
        <v/>
      </c>
      <c r="K98" s="147">
        <f>IF(AND(D98&gt;0.005,Mortgage!$H$7&gt;0.8,D98/Mortgage!$B$5&gt;Mortgage!$B$14),Mortgage!$H$5*Mortgage!$B$13/12,0)</f>
        <v/>
      </c>
      <c r="L98" s="147">
        <f>IF(D98&gt;0.005,Mortgage!$B$11/12*(1+Mortgage!$B$16)^(C98-1),0)</f>
        <v/>
      </c>
      <c r="M98" s="147">
        <f>IF(D98&gt;0.005,Mortgage!$B$12/12*(1+Mortgage!$B$16)^(C98-1),0)</f>
        <v/>
      </c>
      <c r="N98" s="147">
        <f>IF(D98&gt;0.005,Mortgage!$B$15,0)</f>
        <v/>
      </c>
      <c r="O98" s="147">
        <f>J98+K98+L98+M98+N98</f>
        <v/>
      </c>
      <c r="P98" s="147">
        <f>P97+E98</f>
        <v/>
      </c>
      <c r="Q98" s="147">
        <f>IF(D98&gt;0.005,Mortgage!$B$5*(1+Mortgage!$B$17)^(A98/12),"")</f>
        <v/>
      </c>
      <c r="R98" s="147">
        <f>IF(D98&gt;0.005,Q98-I98,"")</f>
        <v/>
      </c>
      <c r="S98" s="147">
        <f>IF(A98&gt;Mortgage!$B$8*12,0,IF(Mortgage!$B$7=0,MAX(0,Mortgage!$H$5-Mortgage!$H$8*A98),MAX(0,Mortgage!$H$5*(1+(Mortgage!$B$7/12))^A98-Mortgage!$H$8*((1+(Mortgage!$B$7/12))^A98-1)/(Mortgage!$B$7/12))))</f>
        <v/>
      </c>
      <c r="T98" s="149">
        <f>IF(D98&gt;0.005,I98/Mortgage!$B$5,"")</f>
        <v/>
      </c>
      <c r="U98">
        <f>IF(A98&gt;Mortgage!$B$8*12,NA(),B98)</f>
        <v/>
      </c>
      <c r="V98">
        <f>IF(D98&gt;0.005,I98,NA())</f>
        <v/>
      </c>
      <c r="W98">
        <f>IF(A98&gt;Mortgage!$B$8*12,NA(),S98)</f>
        <v/>
      </c>
    </row>
    <row r="99">
      <c r="A99" s="129" t="n">
        <v>94</v>
      </c>
      <c r="B99" s="146">
        <f>EDATE(Mortgage!$B$9,A99-1)</f>
        <v/>
      </c>
      <c r="C99" s="129">
        <f>INT((A99-1)/12)+1</f>
        <v/>
      </c>
      <c r="D99" s="147">
        <f>IF(N(I98)&gt;0.005,I98,0)</f>
        <v/>
      </c>
      <c r="E99" s="147">
        <f>IF(D99&gt;0.005,D99*Mortgage!$B$7/12,0)</f>
        <v/>
      </c>
      <c r="F99" s="147">
        <f>IF(D99&gt;0.005,MIN(Mortgage!$H$8-E99,D99),0)</f>
        <v/>
      </c>
      <c r="G99" s="147">
        <f>IF(D99-F99&gt;0.005,MIN(D99-F99,Mortgage!$B$18+IF(MONTH(B99)=Mortgage!$B$20,Mortgage!$B$19,0)+SUMIFS(Mortgage!$E$6:$E$15,Mortgage!$D$6:$D$15,"&gt;="&amp;B99,Mortgage!$D$6:$D$15,"&lt;"&amp;EDATE(B99,1))+IF(Mortgage!$B$10="Bi-weekly (accelerated)",Mortgage!$H$8/12,0)),0)</f>
        <v/>
      </c>
      <c r="H99" s="147">
        <f>F99+G99</f>
        <v/>
      </c>
      <c r="I99" s="148">
        <f>D99-H99</f>
        <v/>
      </c>
      <c r="J99" s="147">
        <f>E99+F99+G99</f>
        <v/>
      </c>
      <c r="K99" s="147">
        <f>IF(AND(D99&gt;0.005,Mortgage!$H$7&gt;0.8,D99/Mortgage!$B$5&gt;Mortgage!$B$14),Mortgage!$H$5*Mortgage!$B$13/12,0)</f>
        <v/>
      </c>
      <c r="L99" s="147">
        <f>IF(D99&gt;0.005,Mortgage!$B$11/12*(1+Mortgage!$B$16)^(C99-1),0)</f>
        <v/>
      </c>
      <c r="M99" s="147">
        <f>IF(D99&gt;0.005,Mortgage!$B$12/12*(1+Mortgage!$B$16)^(C99-1),0)</f>
        <v/>
      </c>
      <c r="N99" s="147">
        <f>IF(D99&gt;0.005,Mortgage!$B$15,0)</f>
        <v/>
      </c>
      <c r="O99" s="147">
        <f>J99+K99+L99+M99+N99</f>
        <v/>
      </c>
      <c r="P99" s="147">
        <f>P98+E99</f>
        <v/>
      </c>
      <c r="Q99" s="147">
        <f>IF(D99&gt;0.005,Mortgage!$B$5*(1+Mortgage!$B$17)^(A99/12),"")</f>
        <v/>
      </c>
      <c r="R99" s="147">
        <f>IF(D99&gt;0.005,Q99-I99,"")</f>
        <v/>
      </c>
      <c r="S99" s="147">
        <f>IF(A99&gt;Mortgage!$B$8*12,0,IF(Mortgage!$B$7=0,MAX(0,Mortgage!$H$5-Mortgage!$H$8*A99),MAX(0,Mortgage!$H$5*(1+(Mortgage!$B$7/12))^A99-Mortgage!$H$8*((1+(Mortgage!$B$7/12))^A99-1)/(Mortgage!$B$7/12))))</f>
        <v/>
      </c>
      <c r="T99" s="149">
        <f>IF(D99&gt;0.005,I99/Mortgage!$B$5,"")</f>
        <v/>
      </c>
      <c r="U99">
        <f>IF(A99&gt;Mortgage!$B$8*12,NA(),B99)</f>
        <v/>
      </c>
      <c r="V99">
        <f>IF(D99&gt;0.005,I99,NA())</f>
        <v/>
      </c>
      <c r="W99">
        <f>IF(A99&gt;Mortgage!$B$8*12,NA(),S99)</f>
        <v/>
      </c>
    </row>
    <row r="100">
      <c r="A100" s="129" t="n">
        <v>95</v>
      </c>
      <c r="B100" s="146">
        <f>EDATE(Mortgage!$B$9,A100-1)</f>
        <v/>
      </c>
      <c r="C100" s="129">
        <f>INT((A100-1)/12)+1</f>
        <v/>
      </c>
      <c r="D100" s="147">
        <f>IF(N(I99)&gt;0.005,I99,0)</f>
        <v/>
      </c>
      <c r="E100" s="147">
        <f>IF(D100&gt;0.005,D100*Mortgage!$B$7/12,0)</f>
        <v/>
      </c>
      <c r="F100" s="147">
        <f>IF(D100&gt;0.005,MIN(Mortgage!$H$8-E100,D100),0)</f>
        <v/>
      </c>
      <c r="G100" s="147">
        <f>IF(D100-F100&gt;0.005,MIN(D100-F100,Mortgage!$B$18+IF(MONTH(B100)=Mortgage!$B$20,Mortgage!$B$19,0)+SUMIFS(Mortgage!$E$6:$E$15,Mortgage!$D$6:$D$15,"&gt;="&amp;B100,Mortgage!$D$6:$D$15,"&lt;"&amp;EDATE(B100,1))+IF(Mortgage!$B$10="Bi-weekly (accelerated)",Mortgage!$H$8/12,0)),0)</f>
        <v/>
      </c>
      <c r="H100" s="147">
        <f>F100+G100</f>
        <v/>
      </c>
      <c r="I100" s="148">
        <f>D100-H100</f>
        <v/>
      </c>
      <c r="J100" s="147">
        <f>E100+F100+G100</f>
        <v/>
      </c>
      <c r="K100" s="147">
        <f>IF(AND(D100&gt;0.005,Mortgage!$H$7&gt;0.8,D100/Mortgage!$B$5&gt;Mortgage!$B$14),Mortgage!$H$5*Mortgage!$B$13/12,0)</f>
        <v/>
      </c>
      <c r="L100" s="147">
        <f>IF(D100&gt;0.005,Mortgage!$B$11/12*(1+Mortgage!$B$16)^(C100-1),0)</f>
        <v/>
      </c>
      <c r="M100" s="147">
        <f>IF(D100&gt;0.005,Mortgage!$B$12/12*(1+Mortgage!$B$16)^(C100-1),0)</f>
        <v/>
      </c>
      <c r="N100" s="147">
        <f>IF(D100&gt;0.005,Mortgage!$B$15,0)</f>
        <v/>
      </c>
      <c r="O100" s="147">
        <f>J100+K100+L100+M100+N100</f>
        <v/>
      </c>
      <c r="P100" s="147">
        <f>P99+E100</f>
        <v/>
      </c>
      <c r="Q100" s="147">
        <f>IF(D100&gt;0.005,Mortgage!$B$5*(1+Mortgage!$B$17)^(A100/12),"")</f>
        <v/>
      </c>
      <c r="R100" s="147">
        <f>IF(D100&gt;0.005,Q100-I100,"")</f>
        <v/>
      </c>
      <c r="S100" s="147">
        <f>IF(A100&gt;Mortgage!$B$8*12,0,IF(Mortgage!$B$7=0,MAX(0,Mortgage!$H$5-Mortgage!$H$8*A100),MAX(0,Mortgage!$H$5*(1+(Mortgage!$B$7/12))^A100-Mortgage!$H$8*((1+(Mortgage!$B$7/12))^A100-1)/(Mortgage!$B$7/12))))</f>
        <v/>
      </c>
      <c r="T100" s="149">
        <f>IF(D100&gt;0.005,I100/Mortgage!$B$5,"")</f>
        <v/>
      </c>
      <c r="U100">
        <f>IF(A100&gt;Mortgage!$B$8*12,NA(),B100)</f>
        <v/>
      </c>
      <c r="V100">
        <f>IF(D100&gt;0.005,I100,NA())</f>
        <v/>
      </c>
      <c r="W100">
        <f>IF(A100&gt;Mortgage!$B$8*12,NA(),S100)</f>
        <v/>
      </c>
    </row>
    <row r="101">
      <c r="A101" s="129" t="n">
        <v>96</v>
      </c>
      <c r="B101" s="146">
        <f>EDATE(Mortgage!$B$9,A101-1)</f>
        <v/>
      </c>
      <c r="C101" s="129">
        <f>INT((A101-1)/12)+1</f>
        <v/>
      </c>
      <c r="D101" s="147">
        <f>IF(N(I100)&gt;0.005,I100,0)</f>
        <v/>
      </c>
      <c r="E101" s="147">
        <f>IF(D101&gt;0.005,D101*Mortgage!$B$7/12,0)</f>
        <v/>
      </c>
      <c r="F101" s="147">
        <f>IF(D101&gt;0.005,MIN(Mortgage!$H$8-E101,D101),0)</f>
        <v/>
      </c>
      <c r="G101" s="147">
        <f>IF(D101-F101&gt;0.005,MIN(D101-F101,Mortgage!$B$18+IF(MONTH(B101)=Mortgage!$B$20,Mortgage!$B$19,0)+SUMIFS(Mortgage!$E$6:$E$15,Mortgage!$D$6:$D$15,"&gt;="&amp;B101,Mortgage!$D$6:$D$15,"&lt;"&amp;EDATE(B101,1))+IF(Mortgage!$B$10="Bi-weekly (accelerated)",Mortgage!$H$8/12,0)),0)</f>
        <v/>
      </c>
      <c r="H101" s="147">
        <f>F101+G101</f>
        <v/>
      </c>
      <c r="I101" s="148">
        <f>D101-H101</f>
        <v/>
      </c>
      <c r="J101" s="147">
        <f>E101+F101+G101</f>
        <v/>
      </c>
      <c r="K101" s="147">
        <f>IF(AND(D101&gt;0.005,Mortgage!$H$7&gt;0.8,D101/Mortgage!$B$5&gt;Mortgage!$B$14),Mortgage!$H$5*Mortgage!$B$13/12,0)</f>
        <v/>
      </c>
      <c r="L101" s="147">
        <f>IF(D101&gt;0.005,Mortgage!$B$11/12*(1+Mortgage!$B$16)^(C101-1),0)</f>
        <v/>
      </c>
      <c r="M101" s="147">
        <f>IF(D101&gt;0.005,Mortgage!$B$12/12*(1+Mortgage!$B$16)^(C101-1),0)</f>
        <v/>
      </c>
      <c r="N101" s="147">
        <f>IF(D101&gt;0.005,Mortgage!$B$15,0)</f>
        <v/>
      </c>
      <c r="O101" s="147">
        <f>J101+K101+L101+M101+N101</f>
        <v/>
      </c>
      <c r="P101" s="147">
        <f>P100+E101</f>
        <v/>
      </c>
      <c r="Q101" s="147">
        <f>IF(D101&gt;0.005,Mortgage!$B$5*(1+Mortgage!$B$17)^(A101/12),"")</f>
        <v/>
      </c>
      <c r="R101" s="147">
        <f>IF(D101&gt;0.005,Q101-I101,"")</f>
        <v/>
      </c>
      <c r="S101" s="147">
        <f>IF(A101&gt;Mortgage!$B$8*12,0,IF(Mortgage!$B$7=0,MAX(0,Mortgage!$H$5-Mortgage!$H$8*A101),MAX(0,Mortgage!$H$5*(1+(Mortgage!$B$7/12))^A101-Mortgage!$H$8*((1+(Mortgage!$B$7/12))^A101-1)/(Mortgage!$B$7/12))))</f>
        <v/>
      </c>
      <c r="T101" s="149">
        <f>IF(D101&gt;0.005,I101/Mortgage!$B$5,"")</f>
        <v/>
      </c>
      <c r="U101">
        <f>IF(A101&gt;Mortgage!$B$8*12,NA(),B101)</f>
        <v/>
      </c>
      <c r="V101">
        <f>IF(D101&gt;0.005,I101,NA())</f>
        <v/>
      </c>
      <c r="W101">
        <f>IF(A101&gt;Mortgage!$B$8*12,NA(),S101)</f>
        <v/>
      </c>
    </row>
    <row r="102">
      <c r="A102" s="129" t="n">
        <v>97</v>
      </c>
      <c r="B102" s="146">
        <f>EDATE(Mortgage!$B$9,A102-1)</f>
        <v/>
      </c>
      <c r="C102" s="129">
        <f>INT((A102-1)/12)+1</f>
        <v/>
      </c>
      <c r="D102" s="147">
        <f>IF(N(I101)&gt;0.005,I101,0)</f>
        <v/>
      </c>
      <c r="E102" s="147">
        <f>IF(D102&gt;0.005,D102*Mortgage!$B$7/12,0)</f>
        <v/>
      </c>
      <c r="F102" s="147">
        <f>IF(D102&gt;0.005,MIN(Mortgage!$H$8-E102,D102),0)</f>
        <v/>
      </c>
      <c r="G102" s="147">
        <f>IF(D102-F102&gt;0.005,MIN(D102-F102,Mortgage!$B$18+IF(MONTH(B102)=Mortgage!$B$20,Mortgage!$B$19,0)+SUMIFS(Mortgage!$E$6:$E$15,Mortgage!$D$6:$D$15,"&gt;="&amp;B102,Mortgage!$D$6:$D$15,"&lt;"&amp;EDATE(B102,1))+IF(Mortgage!$B$10="Bi-weekly (accelerated)",Mortgage!$H$8/12,0)),0)</f>
        <v/>
      </c>
      <c r="H102" s="147">
        <f>F102+G102</f>
        <v/>
      </c>
      <c r="I102" s="148">
        <f>D102-H102</f>
        <v/>
      </c>
      <c r="J102" s="147">
        <f>E102+F102+G102</f>
        <v/>
      </c>
      <c r="K102" s="147">
        <f>IF(AND(D102&gt;0.005,Mortgage!$H$7&gt;0.8,D102/Mortgage!$B$5&gt;Mortgage!$B$14),Mortgage!$H$5*Mortgage!$B$13/12,0)</f>
        <v/>
      </c>
      <c r="L102" s="147">
        <f>IF(D102&gt;0.005,Mortgage!$B$11/12*(1+Mortgage!$B$16)^(C102-1),0)</f>
        <v/>
      </c>
      <c r="M102" s="147">
        <f>IF(D102&gt;0.005,Mortgage!$B$12/12*(1+Mortgage!$B$16)^(C102-1),0)</f>
        <v/>
      </c>
      <c r="N102" s="147">
        <f>IF(D102&gt;0.005,Mortgage!$B$15,0)</f>
        <v/>
      </c>
      <c r="O102" s="147">
        <f>J102+K102+L102+M102+N102</f>
        <v/>
      </c>
      <c r="P102" s="147">
        <f>P101+E102</f>
        <v/>
      </c>
      <c r="Q102" s="147">
        <f>IF(D102&gt;0.005,Mortgage!$B$5*(1+Mortgage!$B$17)^(A102/12),"")</f>
        <v/>
      </c>
      <c r="R102" s="147">
        <f>IF(D102&gt;0.005,Q102-I102,"")</f>
        <v/>
      </c>
      <c r="S102" s="147">
        <f>IF(A102&gt;Mortgage!$B$8*12,0,IF(Mortgage!$B$7=0,MAX(0,Mortgage!$H$5-Mortgage!$H$8*A102),MAX(0,Mortgage!$H$5*(1+(Mortgage!$B$7/12))^A102-Mortgage!$H$8*((1+(Mortgage!$B$7/12))^A102-1)/(Mortgage!$B$7/12))))</f>
        <v/>
      </c>
      <c r="T102" s="149">
        <f>IF(D102&gt;0.005,I102/Mortgage!$B$5,"")</f>
        <v/>
      </c>
      <c r="U102">
        <f>IF(A102&gt;Mortgage!$B$8*12,NA(),B102)</f>
        <v/>
      </c>
      <c r="V102">
        <f>IF(D102&gt;0.005,I102,NA())</f>
        <v/>
      </c>
      <c r="W102">
        <f>IF(A102&gt;Mortgage!$B$8*12,NA(),S102)</f>
        <v/>
      </c>
    </row>
    <row r="103">
      <c r="A103" s="129" t="n">
        <v>98</v>
      </c>
      <c r="B103" s="146">
        <f>EDATE(Mortgage!$B$9,A103-1)</f>
        <v/>
      </c>
      <c r="C103" s="129">
        <f>INT((A103-1)/12)+1</f>
        <v/>
      </c>
      <c r="D103" s="147">
        <f>IF(N(I102)&gt;0.005,I102,0)</f>
        <v/>
      </c>
      <c r="E103" s="147">
        <f>IF(D103&gt;0.005,D103*Mortgage!$B$7/12,0)</f>
        <v/>
      </c>
      <c r="F103" s="147">
        <f>IF(D103&gt;0.005,MIN(Mortgage!$H$8-E103,D103),0)</f>
        <v/>
      </c>
      <c r="G103" s="147">
        <f>IF(D103-F103&gt;0.005,MIN(D103-F103,Mortgage!$B$18+IF(MONTH(B103)=Mortgage!$B$20,Mortgage!$B$19,0)+SUMIFS(Mortgage!$E$6:$E$15,Mortgage!$D$6:$D$15,"&gt;="&amp;B103,Mortgage!$D$6:$D$15,"&lt;"&amp;EDATE(B103,1))+IF(Mortgage!$B$10="Bi-weekly (accelerated)",Mortgage!$H$8/12,0)),0)</f>
        <v/>
      </c>
      <c r="H103" s="147">
        <f>F103+G103</f>
        <v/>
      </c>
      <c r="I103" s="148">
        <f>D103-H103</f>
        <v/>
      </c>
      <c r="J103" s="147">
        <f>E103+F103+G103</f>
        <v/>
      </c>
      <c r="K103" s="147">
        <f>IF(AND(D103&gt;0.005,Mortgage!$H$7&gt;0.8,D103/Mortgage!$B$5&gt;Mortgage!$B$14),Mortgage!$H$5*Mortgage!$B$13/12,0)</f>
        <v/>
      </c>
      <c r="L103" s="147">
        <f>IF(D103&gt;0.005,Mortgage!$B$11/12*(1+Mortgage!$B$16)^(C103-1),0)</f>
        <v/>
      </c>
      <c r="M103" s="147">
        <f>IF(D103&gt;0.005,Mortgage!$B$12/12*(1+Mortgage!$B$16)^(C103-1),0)</f>
        <v/>
      </c>
      <c r="N103" s="147">
        <f>IF(D103&gt;0.005,Mortgage!$B$15,0)</f>
        <v/>
      </c>
      <c r="O103" s="147">
        <f>J103+K103+L103+M103+N103</f>
        <v/>
      </c>
      <c r="P103" s="147">
        <f>P102+E103</f>
        <v/>
      </c>
      <c r="Q103" s="147">
        <f>IF(D103&gt;0.005,Mortgage!$B$5*(1+Mortgage!$B$17)^(A103/12),"")</f>
        <v/>
      </c>
      <c r="R103" s="147">
        <f>IF(D103&gt;0.005,Q103-I103,"")</f>
        <v/>
      </c>
      <c r="S103" s="147">
        <f>IF(A103&gt;Mortgage!$B$8*12,0,IF(Mortgage!$B$7=0,MAX(0,Mortgage!$H$5-Mortgage!$H$8*A103),MAX(0,Mortgage!$H$5*(1+(Mortgage!$B$7/12))^A103-Mortgage!$H$8*((1+(Mortgage!$B$7/12))^A103-1)/(Mortgage!$B$7/12))))</f>
        <v/>
      </c>
      <c r="T103" s="149">
        <f>IF(D103&gt;0.005,I103/Mortgage!$B$5,"")</f>
        <v/>
      </c>
      <c r="U103">
        <f>IF(A103&gt;Mortgage!$B$8*12,NA(),B103)</f>
        <v/>
      </c>
      <c r="V103">
        <f>IF(D103&gt;0.005,I103,NA())</f>
        <v/>
      </c>
      <c r="W103">
        <f>IF(A103&gt;Mortgage!$B$8*12,NA(),S103)</f>
        <v/>
      </c>
    </row>
    <row r="104">
      <c r="A104" s="129" t="n">
        <v>99</v>
      </c>
      <c r="B104" s="146">
        <f>EDATE(Mortgage!$B$9,A104-1)</f>
        <v/>
      </c>
      <c r="C104" s="129">
        <f>INT((A104-1)/12)+1</f>
        <v/>
      </c>
      <c r="D104" s="147">
        <f>IF(N(I103)&gt;0.005,I103,0)</f>
        <v/>
      </c>
      <c r="E104" s="147">
        <f>IF(D104&gt;0.005,D104*Mortgage!$B$7/12,0)</f>
        <v/>
      </c>
      <c r="F104" s="147">
        <f>IF(D104&gt;0.005,MIN(Mortgage!$H$8-E104,D104),0)</f>
        <v/>
      </c>
      <c r="G104" s="147">
        <f>IF(D104-F104&gt;0.005,MIN(D104-F104,Mortgage!$B$18+IF(MONTH(B104)=Mortgage!$B$20,Mortgage!$B$19,0)+SUMIFS(Mortgage!$E$6:$E$15,Mortgage!$D$6:$D$15,"&gt;="&amp;B104,Mortgage!$D$6:$D$15,"&lt;"&amp;EDATE(B104,1))+IF(Mortgage!$B$10="Bi-weekly (accelerated)",Mortgage!$H$8/12,0)),0)</f>
        <v/>
      </c>
      <c r="H104" s="147">
        <f>F104+G104</f>
        <v/>
      </c>
      <c r="I104" s="148">
        <f>D104-H104</f>
        <v/>
      </c>
      <c r="J104" s="147">
        <f>E104+F104+G104</f>
        <v/>
      </c>
      <c r="K104" s="147">
        <f>IF(AND(D104&gt;0.005,Mortgage!$H$7&gt;0.8,D104/Mortgage!$B$5&gt;Mortgage!$B$14),Mortgage!$H$5*Mortgage!$B$13/12,0)</f>
        <v/>
      </c>
      <c r="L104" s="147">
        <f>IF(D104&gt;0.005,Mortgage!$B$11/12*(1+Mortgage!$B$16)^(C104-1),0)</f>
        <v/>
      </c>
      <c r="M104" s="147">
        <f>IF(D104&gt;0.005,Mortgage!$B$12/12*(1+Mortgage!$B$16)^(C104-1),0)</f>
        <v/>
      </c>
      <c r="N104" s="147">
        <f>IF(D104&gt;0.005,Mortgage!$B$15,0)</f>
        <v/>
      </c>
      <c r="O104" s="147">
        <f>J104+K104+L104+M104+N104</f>
        <v/>
      </c>
      <c r="P104" s="147">
        <f>P103+E104</f>
        <v/>
      </c>
      <c r="Q104" s="147">
        <f>IF(D104&gt;0.005,Mortgage!$B$5*(1+Mortgage!$B$17)^(A104/12),"")</f>
        <v/>
      </c>
      <c r="R104" s="147">
        <f>IF(D104&gt;0.005,Q104-I104,"")</f>
        <v/>
      </c>
      <c r="S104" s="147">
        <f>IF(A104&gt;Mortgage!$B$8*12,0,IF(Mortgage!$B$7=0,MAX(0,Mortgage!$H$5-Mortgage!$H$8*A104),MAX(0,Mortgage!$H$5*(1+(Mortgage!$B$7/12))^A104-Mortgage!$H$8*((1+(Mortgage!$B$7/12))^A104-1)/(Mortgage!$B$7/12))))</f>
        <v/>
      </c>
      <c r="T104" s="149">
        <f>IF(D104&gt;0.005,I104/Mortgage!$B$5,"")</f>
        <v/>
      </c>
      <c r="U104">
        <f>IF(A104&gt;Mortgage!$B$8*12,NA(),B104)</f>
        <v/>
      </c>
      <c r="V104">
        <f>IF(D104&gt;0.005,I104,NA())</f>
        <v/>
      </c>
      <c r="W104">
        <f>IF(A104&gt;Mortgage!$B$8*12,NA(),S104)</f>
        <v/>
      </c>
    </row>
    <row r="105">
      <c r="A105" s="129" t="n">
        <v>100</v>
      </c>
      <c r="B105" s="146">
        <f>EDATE(Mortgage!$B$9,A105-1)</f>
        <v/>
      </c>
      <c r="C105" s="129">
        <f>INT((A105-1)/12)+1</f>
        <v/>
      </c>
      <c r="D105" s="147">
        <f>IF(N(I104)&gt;0.005,I104,0)</f>
        <v/>
      </c>
      <c r="E105" s="147">
        <f>IF(D105&gt;0.005,D105*Mortgage!$B$7/12,0)</f>
        <v/>
      </c>
      <c r="F105" s="147">
        <f>IF(D105&gt;0.005,MIN(Mortgage!$H$8-E105,D105),0)</f>
        <v/>
      </c>
      <c r="G105" s="147">
        <f>IF(D105-F105&gt;0.005,MIN(D105-F105,Mortgage!$B$18+IF(MONTH(B105)=Mortgage!$B$20,Mortgage!$B$19,0)+SUMIFS(Mortgage!$E$6:$E$15,Mortgage!$D$6:$D$15,"&gt;="&amp;B105,Mortgage!$D$6:$D$15,"&lt;"&amp;EDATE(B105,1))+IF(Mortgage!$B$10="Bi-weekly (accelerated)",Mortgage!$H$8/12,0)),0)</f>
        <v/>
      </c>
      <c r="H105" s="147">
        <f>F105+G105</f>
        <v/>
      </c>
      <c r="I105" s="148">
        <f>D105-H105</f>
        <v/>
      </c>
      <c r="J105" s="147">
        <f>E105+F105+G105</f>
        <v/>
      </c>
      <c r="K105" s="147">
        <f>IF(AND(D105&gt;0.005,Mortgage!$H$7&gt;0.8,D105/Mortgage!$B$5&gt;Mortgage!$B$14),Mortgage!$H$5*Mortgage!$B$13/12,0)</f>
        <v/>
      </c>
      <c r="L105" s="147">
        <f>IF(D105&gt;0.005,Mortgage!$B$11/12*(1+Mortgage!$B$16)^(C105-1),0)</f>
        <v/>
      </c>
      <c r="M105" s="147">
        <f>IF(D105&gt;0.005,Mortgage!$B$12/12*(1+Mortgage!$B$16)^(C105-1),0)</f>
        <v/>
      </c>
      <c r="N105" s="147">
        <f>IF(D105&gt;0.005,Mortgage!$B$15,0)</f>
        <v/>
      </c>
      <c r="O105" s="147">
        <f>J105+K105+L105+M105+N105</f>
        <v/>
      </c>
      <c r="P105" s="147">
        <f>P104+E105</f>
        <v/>
      </c>
      <c r="Q105" s="147">
        <f>IF(D105&gt;0.005,Mortgage!$B$5*(1+Mortgage!$B$17)^(A105/12),"")</f>
        <v/>
      </c>
      <c r="R105" s="147">
        <f>IF(D105&gt;0.005,Q105-I105,"")</f>
        <v/>
      </c>
      <c r="S105" s="147">
        <f>IF(A105&gt;Mortgage!$B$8*12,0,IF(Mortgage!$B$7=0,MAX(0,Mortgage!$H$5-Mortgage!$H$8*A105),MAX(0,Mortgage!$H$5*(1+(Mortgage!$B$7/12))^A105-Mortgage!$H$8*((1+(Mortgage!$B$7/12))^A105-1)/(Mortgage!$B$7/12))))</f>
        <v/>
      </c>
      <c r="T105" s="149">
        <f>IF(D105&gt;0.005,I105/Mortgage!$B$5,"")</f>
        <v/>
      </c>
      <c r="U105">
        <f>IF(A105&gt;Mortgage!$B$8*12,NA(),B105)</f>
        <v/>
      </c>
      <c r="V105">
        <f>IF(D105&gt;0.005,I105,NA())</f>
        <v/>
      </c>
      <c r="W105">
        <f>IF(A105&gt;Mortgage!$B$8*12,NA(),S105)</f>
        <v/>
      </c>
    </row>
    <row r="106">
      <c r="A106" s="129" t="n">
        <v>101</v>
      </c>
      <c r="B106" s="146">
        <f>EDATE(Mortgage!$B$9,A106-1)</f>
        <v/>
      </c>
      <c r="C106" s="129">
        <f>INT((A106-1)/12)+1</f>
        <v/>
      </c>
      <c r="D106" s="147">
        <f>IF(N(I105)&gt;0.005,I105,0)</f>
        <v/>
      </c>
      <c r="E106" s="147">
        <f>IF(D106&gt;0.005,D106*Mortgage!$B$7/12,0)</f>
        <v/>
      </c>
      <c r="F106" s="147">
        <f>IF(D106&gt;0.005,MIN(Mortgage!$H$8-E106,D106),0)</f>
        <v/>
      </c>
      <c r="G106" s="147">
        <f>IF(D106-F106&gt;0.005,MIN(D106-F106,Mortgage!$B$18+IF(MONTH(B106)=Mortgage!$B$20,Mortgage!$B$19,0)+SUMIFS(Mortgage!$E$6:$E$15,Mortgage!$D$6:$D$15,"&gt;="&amp;B106,Mortgage!$D$6:$D$15,"&lt;"&amp;EDATE(B106,1))+IF(Mortgage!$B$10="Bi-weekly (accelerated)",Mortgage!$H$8/12,0)),0)</f>
        <v/>
      </c>
      <c r="H106" s="147">
        <f>F106+G106</f>
        <v/>
      </c>
      <c r="I106" s="148">
        <f>D106-H106</f>
        <v/>
      </c>
      <c r="J106" s="147">
        <f>E106+F106+G106</f>
        <v/>
      </c>
      <c r="K106" s="147">
        <f>IF(AND(D106&gt;0.005,Mortgage!$H$7&gt;0.8,D106/Mortgage!$B$5&gt;Mortgage!$B$14),Mortgage!$H$5*Mortgage!$B$13/12,0)</f>
        <v/>
      </c>
      <c r="L106" s="147">
        <f>IF(D106&gt;0.005,Mortgage!$B$11/12*(1+Mortgage!$B$16)^(C106-1),0)</f>
        <v/>
      </c>
      <c r="M106" s="147">
        <f>IF(D106&gt;0.005,Mortgage!$B$12/12*(1+Mortgage!$B$16)^(C106-1),0)</f>
        <v/>
      </c>
      <c r="N106" s="147">
        <f>IF(D106&gt;0.005,Mortgage!$B$15,0)</f>
        <v/>
      </c>
      <c r="O106" s="147">
        <f>J106+K106+L106+M106+N106</f>
        <v/>
      </c>
      <c r="P106" s="147">
        <f>P105+E106</f>
        <v/>
      </c>
      <c r="Q106" s="147">
        <f>IF(D106&gt;0.005,Mortgage!$B$5*(1+Mortgage!$B$17)^(A106/12),"")</f>
        <v/>
      </c>
      <c r="R106" s="147">
        <f>IF(D106&gt;0.005,Q106-I106,"")</f>
        <v/>
      </c>
      <c r="S106" s="147">
        <f>IF(A106&gt;Mortgage!$B$8*12,0,IF(Mortgage!$B$7=0,MAX(0,Mortgage!$H$5-Mortgage!$H$8*A106),MAX(0,Mortgage!$H$5*(1+(Mortgage!$B$7/12))^A106-Mortgage!$H$8*((1+(Mortgage!$B$7/12))^A106-1)/(Mortgage!$B$7/12))))</f>
        <v/>
      </c>
      <c r="T106" s="149">
        <f>IF(D106&gt;0.005,I106/Mortgage!$B$5,"")</f>
        <v/>
      </c>
      <c r="U106">
        <f>IF(A106&gt;Mortgage!$B$8*12,NA(),B106)</f>
        <v/>
      </c>
      <c r="V106">
        <f>IF(D106&gt;0.005,I106,NA())</f>
        <v/>
      </c>
      <c r="W106">
        <f>IF(A106&gt;Mortgage!$B$8*12,NA(),S106)</f>
        <v/>
      </c>
    </row>
    <row r="107">
      <c r="A107" s="129" t="n">
        <v>102</v>
      </c>
      <c r="B107" s="146">
        <f>EDATE(Mortgage!$B$9,A107-1)</f>
        <v/>
      </c>
      <c r="C107" s="129">
        <f>INT((A107-1)/12)+1</f>
        <v/>
      </c>
      <c r="D107" s="147">
        <f>IF(N(I106)&gt;0.005,I106,0)</f>
        <v/>
      </c>
      <c r="E107" s="147">
        <f>IF(D107&gt;0.005,D107*Mortgage!$B$7/12,0)</f>
        <v/>
      </c>
      <c r="F107" s="147">
        <f>IF(D107&gt;0.005,MIN(Mortgage!$H$8-E107,D107),0)</f>
        <v/>
      </c>
      <c r="G107" s="147">
        <f>IF(D107-F107&gt;0.005,MIN(D107-F107,Mortgage!$B$18+IF(MONTH(B107)=Mortgage!$B$20,Mortgage!$B$19,0)+SUMIFS(Mortgage!$E$6:$E$15,Mortgage!$D$6:$D$15,"&gt;="&amp;B107,Mortgage!$D$6:$D$15,"&lt;"&amp;EDATE(B107,1))+IF(Mortgage!$B$10="Bi-weekly (accelerated)",Mortgage!$H$8/12,0)),0)</f>
        <v/>
      </c>
      <c r="H107" s="147">
        <f>F107+G107</f>
        <v/>
      </c>
      <c r="I107" s="148">
        <f>D107-H107</f>
        <v/>
      </c>
      <c r="J107" s="147">
        <f>E107+F107+G107</f>
        <v/>
      </c>
      <c r="K107" s="147">
        <f>IF(AND(D107&gt;0.005,Mortgage!$H$7&gt;0.8,D107/Mortgage!$B$5&gt;Mortgage!$B$14),Mortgage!$H$5*Mortgage!$B$13/12,0)</f>
        <v/>
      </c>
      <c r="L107" s="147">
        <f>IF(D107&gt;0.005,Mortgage!$B$11/12*(1+Mortgage!$B$16)^(C107-1),0)</f>
        <v/>
      </c>
      <c r="M107" s="147">
        <f>IF(D107&gt;0.005,Mortgage!$B$12/12*(1+Mortgage!$B$16)^(C107-1),0)</f>
        <v/>
      </c>
      <c r="N107" s="147">
        <f>IF(D107&gt;0.005,Mortgage!$B$15,0)</f>
        <v/>
      </c>
      <c r="O107" s="147">
        <f>J107+K107+L107+M107+N107</f>
        <v/>
      </c>
      <c r="P107" s="147">
        <f>P106+E107</f>
        <v/>
      </c>
      <c r="Q107" s="147">
        <f>IF(D107&gt;0.005,Mortgage!$B$5*(1+Mortgage!$B$17)^(A107/12),"")</f>
        <v/>
      </c>
      <c r="R107" s="147">
        <f>IF(D107&gt;0.005,Q107-I107,"")</f>
        <v/>
      </c>
      <c r="S107" s="147">
        <f>IF(A107&gt;Mortgage!$B$8*12,0,IF(Mortgage!$B$7=0,MAX(0,Mortgage!$H$5-Mortgage!$H$8*A107),MAX(0,Mortgage!$H$5*(1+(Mortgage!$B$7/12))^A107-Mortgage!$H$8*((1+(Mortgage!$B$7/12))^A107-1)/(Mortgage!$B$7/12))))</f>
        <v/>
      </c>
      <c r="T107" s="149">
        <f>IF(D107&gt;0.005,I107/Mortgage!$B$5,"")</f>
        <v/>
      </c>
      <c r="U107">
        <f>IF(A107&gt;Mortgage!$B$8*12,NA(),B107)</f>
        <v/>
      </c>
      <c r="V107">
        <f>IF(D107&gt;0.005,I107,NA())</f>
        <v/>
      </c>
      <c r="W107">
        <f>IF(A107&gt;Mortgage!$B$8*12,NA(),S107)</f>
        <v/>
      </c>
    </row>
    <row r="108">
      <c r="A108" s="129" t="n">
        <v>103</v>
      </c>
      <c r="B108" s="146">
        <f>EDATE(Mortgage!$B$9,A108-1)</f>
        <v/>
      </c>
      <c r="C108" s="129">
        <f>INT((A108-1)/12)+1</f>
        <v/>
      </c>
      <c r="D108" s="147">
        <f>IF(N(I107)&gt;0.005,I107,0)</f>
        <v/>
      </c>
      <c r="E108" s="147">
        <f>IF(D108&gt;0.005,D108*Mortgage!$B$7/12,0)</f>
        <v/>
      </c>
      <c r="F108" s="147">
        <f>IF(D108&gt;0.005,MIN(Mortgage!$H$8-E108,D108),0)</f>
        <v/>
      </c>
      <c r="G108" s="147">
        <f>IF(D108-F108&gt;0.005,MIN(D108-F108,Mortgage!$B$18+IF(MONTH(B108)=Mortgage!$B$20,Mortgage!$B$19,0)+SUMIFS(Mortgage!$E$6:$E$15,Mortgage!$D$6:$D$15,"&gt;="&amp;B108,Mortgage!$D$6:$D$15,"&lt;"&amp;EDATE(B108,1))+IF(Mortgage!$B$10="Bi-weekly (accelerated)",Mortgage!$H$8/12,0)),0)</f>
        <v/>
      </c>
      <c r="H108" s="147">
        <f>F108+G108</f>
        <v/>
      </c>
      <c r="I108" s="148">
        <f>D108-H108</f>
        <v/>
      </c>
      <c r="J108" s="147">
        <f>E108+F108+G108</f>
        <v/>
      </c>
      <c r="K108" s="147">
        <f>IF(AND(D108&gt;0.005,Mortgage!$H$7&gt;0.8,D108/Mortgage!$B$5&gt;Mortgage!$B$14),Mortgage!$H$5*Mortgage!$B$13/12,0)</f>
        <v/>
      </c>
      <c r="L108" s="147">
        <f>IF(D108&gt;0.005,Mortgage!$B$11/12*(1+Mortgage!$B$16)^(C108-1),0)</f>
        <v/>
      </c>
      <c r="M108" s="147">
        <f>IF(D108&gt;0.005,Mortgage!$B$12/12*(1+Mortgage!$B$16)^(C108-1),0)</f>
        <v/>
      </c>
      <c r="N108" s="147">
        <f>IF(D108&gt;0.005,Mortgage!$B$15,0)</f>
        <v/>
      </c>
      <c r="O108" s="147">
        <f>J108+K108+L108+M108+N108</f>
        <v/>
      </c>
      <c r="P108" s="147">
        <f>P107+E108</f>
        <v/>
      </c>
      <c r="Q108" s="147">
        <f>IF(D108&gt;0.005,Mortgage!$B$5*(1+Mortgage!$B$17)^(A108/12),"")</f>
        <v/>
      </c>
      <c r="R108" s="147">
        <f>IF(D108&gt;0.005,Q108-I108,"")</f>
        <v/>
      </c>
      <c r="S108" s="147">
        <f>IF(A108&gt;Mortgage!$B$8*12,0,IF(Mortgage!$B$7=0,MAX(0,Mortgage!$H$5-Mortgage!$H$8*A108),MAX(0,Mortgage!$H$5*(1+(Mortgage!$B$7/12))^A108-Mortgage!$H$8*((1+(Mortgage!$B$7/12))^A108-1)/(Mortgage!$B$7/12))))</f>
        <v/>
      </c>
      <c r="T108" s="149">
        <f>IF(D108&gt;0.005,I108/Mortgage!$B$5,"")</f>
        <v/>
      </c>
      <c r="U108">
        <f>IF(A108&gt;Mortgage!$B$8*12,NA(),B108)</f>
        <v/>
      </c>
      <c r="V108">
        <f>IF(D108&gt;0.005,I108,NA())</f>
        <v/>
      </c>
      <c r="W108">
        <f>IF(A108&gt;Mortgage!$B$8*12,NA(),S108)</f>
        <v/>
      </c>
    </row>
    <row r="109">
      <c r="A109" s="129" t="n">
        <v>104</v>
      </c>
      <c r="B109" s="146">
        <f>EDATE(Mortgage!$B$9,A109-1)</f>
        <v/>
      </c>
      <c r="C109" s="129">
        <f>INT((A109-1)/12)+1</f>
        <v/>
      </c>
      <c r="D109" s="147">
        <f>IF(N(I108)&gt;0.005,I108,0)</f>
        <v/>
      </c>
      <c r="E109" s="147">
        <f>IF(D109&gt;0.005,D109*Mortgage!$B$7/12,0)</f>
        <v/>
      </c>
      <c r="F109" s="147">
        <f>IF(D109&gt;0.005,MIN(Mortgage!$H$8-E109,D109),0)</f>
        <v/>
      </c>
      <c r="G109" s="147">
        <f>IF(D109-F109&gt;0.005,MIN(D109-F109,Mortgage!$B$18+IF(MONTH(B109)=Mortgage!$B$20,Mortgage!$B$19,0)+SUMIFS(Mortgage!$E$6:$E$15,Mortgage!$D$6:$D$15,"&gt;="&amp;B109,Mortgage!$D$6:$D$15,"&lt;"&amp;EDATE(B109,1))+IF(Mortgage!$B$10="Bi-weekly (accelerated)",Mortgage!$H$8/12,0)),0)</f>
        <v/>
      </c>
      <c r="H109" s="147">
        <f>F109+G109</f>
        <v/>
      </c>
      <c r="I109" s="148">
        <f>D109-H109</f>
        <v/>
      </c>
      <c r="J109" s="147">
        <f>E109+F109+G109</f>
        <v/>
      </c>
      <c r="K109" s="147">
        <f>IF(AND(D109&gt;0.005,Mortgage!$H$7&gt;0.8,D109/Mortgage!$B$5&gt;Mortgage!$B$14),Mortgage!$H$5*Mortgage!$B$13/12,0)</f>
        <v/>
      </c>
      <c r="L109" s="147">
        <f>IF(D109&gt;0.005,Mortgage!$B$11/12*(1+Mortgage!$B$16)^(C109-1),0)</f>
        <v/>
      </c>
      <c r="M109" s="147">
        <f>IF(D109&gt;0.005,Mortgage!$B$12/12*(1+Mortgage!$B$16)^(C109-1),0)</f>
        <v/>
      </c>
      <c r="N109" s="147">
        <f>IF(D109&gt;0.005,Mortgage!$B$15,0)</f>
        <v/>
      </c>
      <c r="O109" s="147">
        <f>J109+K109+L109+M109+N109</f>
        <v/>
      </c>
      <c r="P109" s="147">
        <f>P108+E109</f>
        <v/>
      </c>
      <c r="Q109" s="147">
        <f>IF(D109&gt;0.005,Mortgage!$B$5*(1+Mortgage!$B$17)^(A109/12),"")</f>
        <v/>
      </c>
      <c r="R109" s="147">
        <f>IF(D109&gt;0.005,Q109-I109,"")</f>
        <v/>
      </c>
      <c r="S109" s="147">
        <f>IF(A109&gt;Mortgage!$B$8*12,0,IF(Mortgage!$B$7=0,MAX(0,Mortgage!$H$5-Mortgage!$H$8*A109),MAX(0,Mortgage!$H$5*(1+(Mortgage!$B$7/12))^A109-Mortgage!$H$8*((1+(Mortgage!$B$7/12))^A109-1)/(Mortgage!$B$7/12))))</f>
        <v/>
      </c>
      <c r="T109" s="149">
        <f>IF(D109&gt;0.005,I109/Mortgage!$B$5,"")</f>
        <v/>
      </c>
      <c r="U109">
        <f>IF(A109&gt;Mortgage!$B$8*12,NA(),B109)</f>
        <v/>
      </c>
      <c r="V109">
        <f>IF(D109&gt;0.005,I109,NA())</f>
        <v/>
      </c>
      <c r="W109">
        <f>IF(A109&gt;Mortgage!$B$8*12,NA(),S109)</f>
        <v/>
      </c>
    </row>
    <row r="110">
      <c r="A110" s="129" t="n">
        <v>105</v>
      </c>
      <c r="B110" s="146">
        <f>EDATE(Mortgage!$B$9,A110-1)</f>
        <v/>
      </c>
      <c r="C110" s="129">
        <f>INT((A110-1)/12)+1</f>
        <v/>
      </c>
      <c r="D110" s="147">
        <f>IF(N(I109)&gt;0.005,I109,0)</f>
        <v/>
      </c>
      <c r="E110" s="147">
        <f>IF(D110&gt;0.005,D110*Mortgage!$B$7/12,0)</f>
        <v/>
      </c>
      <c r="F110" s="147">
        <f>IF(D110&gt;0.005,MIN(Mortgage!$H$8-E110,D110),0)</f>
        <v/>
      </c>
      <c r="G110" s="147">
        <f>IF(D110-F110&gt;0.005,MIN(D110-F110,Mortgage!$B$18+IF(MONTH(B110)=Mortgage!$B$20,Mortgage!$B$19,0)+SUMIFS(Mortgage!$E$6:$E$15,Mortgage!$D$6:$D$15,"&gt;="&amp;B110,Mortgage!$D$6:$D$15,"&lt;"&amp;EDATE(B110,1))+IF(Mortgage!$B$10="Bi-weekly (accelerated)",Mortgage!$H$8/12,0)),0)</f>
        <v/>
      </c>
      <c r="H110" s="147">
        <f>F110+G110</f>
        <v/>
      </c>
      <c r="I110" s="148">
        <f>D110-H110</f>
        <v/>
      </c>
      <c r="J110" s="147">
        <f>E110+F110+G110</f>
        <v/>
      </c>
      <c r="K110" s="147">
        <f>IF(AND(D110&gt;0.005,Mortgage!$H$7&gt;0.8,D110/Mortgage!$B$5&gt;Mortgage!$B$14),Mortgage!$H$5*Mortgage!$B$13/12,0)</f>
        <v/>
      </c>
      <c r="L110" s="147">
        <f>IF(D110&gt;0.005,Mortgage!$B$11/12*(1+Mortgage!$B$16)^(C110-1),0)</f>
        <v/>
      </c>
      <c r="M110" s="147">
        <f>IF(D110&gt;0.005,Mortgage!$B$12/12*(1+Mortgage!$B$16)^(C110-1),0)</f>
        <v/>
      </c>
      <c r="N110" s="147">
        <f>IF(D110&gt;0.005,Mortgage!$B$15,0)</f>
        <v/>
      </c>
      <c r="O110" s="147">
        <f>J110+K110+L110+M110+N110</f>
        <v/>
      </c>
      <c r="P110" s="147">
        <f>P109+E110</f>
        <v/>
      </c>
      <c r="Q110" s="147">
        <f>IF(D110&gt;0.005,Mortgage!$B$5*(1+Mortgage!$B$17)^(A110/12),"")</f>
        <v/>
      </c>
      <c r="R110" s="147">
        <f>IF(D110&gt;0.005,Q110-I110,"")</f>
        <v/>
      </c>
      <c r="S110" s="147">
        <f>IF(A110&gt;Mortgage!$B$8*12,0,IF(Mortgage!$B$7=0,MAX(0,Mortgage!$H$5-Mortgage!$H$8*A110),MAX(0,Mortgage!$H$5*(1+(Mortgage!$B$7/12))^A110-Mortgage!$H$8*((1+(Mortgage!$B$7/12))^A110-1)/(Mortgage!$B$7/12))))</f>
        <v/>
      </c>
      <c r="T110" s="149">
        <f>IF(D110&gt;0.005,I110/Mortgage!$B$5,"")</f>
        <v/>
      </c>
      <c r="U110">
        <f>IF(A110&gt;Mortgage!$B$8*12,NA(),B110)</f>
        <v/>
      </c>
      <c r="V110">
        <f>IF(D110&gt;0.005,I110,NA())</f>
        <v/>
      </c>
      <c r="W110">
        <f>IF(A110&gt;Mortgage!$B$8*12,NA(),S110)</f>
        <v/>
      </c>
    </row>
    <row r="111">
      <c r="A111" s="129" t="n">
        <v>106</v>
      </c>
      <c r="B111" s="146">
        <f>EDATE(Mortgage!$B$9,A111-1)</f>
        <v/>
      </c>
      <c r="C111" s="129">
        <f>INT((A111-1)/12)+1</f>
        <v/>
      </c>
      <c r="D111" s="147">
        <f>IF(N(I110)&gt;0.005,I110,0)</f>
        <v/>
      </c>
      <c r="E111" s="147">
        <f>IF(D111&gt;0.005,D111*Mortgage!$B$7/12,0)</f>
        <v/>
      </c>
      <c r="F111" s="147">
        <f>IF(D111&gt;0.005,MIN(Mortgage!$H$8-E111,D111),0)</f>
        <v/>
      </c>
      <c r="G111" s="147">
        <f>IF(D111-F111&gt;0.005,MIN(D111-F111,Mortgage!$B$18+IF(MONTH(B111)=Mortgage!$B$20,Mortgage!$B$19,0)+SUMIFS(Mortgage!$E$6:$E$15,Mortgage!$D$6:$D$15,"&gt;="&amp;B111,Mortgage!$D$6:$D$15,"&lt;"&amp;EDATE(B111,1))+IF(Mortgage!$B$10="Bi-weekly (accelerated)",Mortgage!$H$8/12,0)),0)</f>
        <v/>
      </c>
      <c r="H111" s="147">
        <f>F111+G111</f>
        <v/>
      </c>
      <c r="I111" s="148">
        <f>D111-H111</f>
        <v/>
      </c>
      <c r="J111" s="147">
        <f>E111+F111+G111</f>
        <v/>
      </c>
      <c r="K111" s="147">
        <f>IF(AND(D111&gt;0.005,Mortgage!$H$7&gt;0.8,D111/Mortgage!$B$5&gt;Mortgage!$B$14),Mortgage!$H$5*Mortgage!$B$13/12,0)</f>
        <v/>
      </c>
      <c r="L111" s="147">
        <f>IF(D111&gt;0.005,Mortgage!$B$11/12*(1+Mortgage!$B$16)^(C111-1),0)</f>
        <v/>
      </c>
      <c r="M111" s="147">
        <f>IF(D111&gt;0.005,Mortgage!$B$12/12*(1+Mortgage!$B$16)^(C111-1),0)</f>
        <v/>
      </c>
      <c r="N111" s="147">
        <f>IF(D111&gt;0.005,Mortgage!$B$15,0)</f>
        <v/>
      </c>
      <c r="O111" s="147">
        <f>J111+K111+L111+M111+N111</f>
        <v/>
      </c>
      <c r="P111" s="147">
        <f>P110+E111</f>
        <v/>
      </c>
      <c r="Q111" s="147">
        <f>IF(D111&gt;0.005,Mortgage!$B$5*(1+Mortgage!$B$17)^(A111/12),"")</f>
        <v/>
      </c>
      <c r="R111" s="147">
        <f>IF(D111&gt;0.005,Q111-I111,"")</f>
        <v/>
      </c>
      <c r="S111" s="147">
        <f>IF(A111&gt;Mortgage!$B$8*12,0,IF(Mortgage!$B$7=0,MAX(0,Mortgage!$H$5-Mortgage!$H$8*A111),MAX(0,Mortgage!$H$5*(1+(Mortgage!$B$7/12))^A111-Mortgage!$H$8*((1+(Mortgage!$B$7/12))^A111-1)/(Mortgage!$B$7/12))))</f>
        <v/>
      </c>
      <c r="T111" s="149">
        <f>IF(D111&gt;0.005,I111/Mortgage!$B$5,"")</f>
        <v/>
      </c>
      <c r="U111">
        <f>IF(A111&gt;Mortgage!$B$8*12,NA(),B111)</f>
        <v/>
      </c>
      <c r="V111">
        <f>IF(D111&gt;0.005,I111,NA())</f>
        <v/>
      </c>
      <c r="W111">
        <f>IF(A111&gt;Mortgage!$B$8*12,NA(),S111)</f>
        <v/>
      </c>
    </row>
    <row r="112">
      <c r="A112" s="129" t="n">
        <v>107</v>
      </c>
      <c r="B112" s="146">
        <f>EDATE(Mortgage!$B$9,A112-1)</f>
        <v/>
      </c>
      <c r="C112" s="129">
        <f>INT((A112-1)/12)+1</f>
        <v/>
      </c>
      <c r="D112" s="147">
        <f>IF(N(I111)&gt;0.005,I111,0)</f>
        <v/>
      </c>
      <c r="E112" s="147">
        <f>IF(D112&gt;0.005,D112*Mortgage!$B$7/12,0)</f>
        <v/>
      </c>
      <c r="F112" s="147">
        <f>IF(D112&gt;0.005,MIN(Mortgage!$H$8-E112,D112),0)</f>
        <v/>
      </c>
      <c r="G112" s="147">
        <f>IF(D112-F112&gt;0.005,MIN(D112-F112,Mortgage!$B$18+IF(MONTH(B112)=Mortgage!$B$20,Mortgage!$B$19,0)+SUMIFS(Mortgage!$E$6:$E$15,Mortgage!$D$6:$D$15,"&gt;="&amp;B112,Mortgage!$D$6:$D$15,"&lt;"&amp;EDATE(B112,1))+IF(Mortgage!$B$10="Bi-weekly (accelerated)",Mortgage!$H$8/12,0)),0)</f>
        <v/>
      </c>
      <c r="H112" s="147">
        <f>F112+G112</f>
        <v/>
      </c>
      <c r="I112" s="148">
        <f>D112-H112</f>
        <v/>
      </c>
      <c r="J112" s="147">
        <f>E112+F112+G112</f>
        <v/>
      </c>
      <c r="K112" s="147">
        <f>IF(AND(D112&gt;0.005,Mortgage!$H$7&gt;0.8,D112/Mortgage!$B$5&gt;Mortgage!$B$14),Mortgage!$H$5*Mortgage!$B$13/12,0)</f>
        <v/>
      </c>
      <c r="L112" s="147">
        <f>IF(D112&gt;0.005,Mortgage!$B$11/12*(1+Mortgage!$B$16)^(C112-1),0)</f>
        <v/>
      </c>
      <c r="M112" s="147">
        <f>IF(D112&gt;0.005,Mortgage!$B$12/12*(1+Mortgage!$B$16)^(C112-1),0)</f>
        <v/>
      </c>
      <c r="N112" s="147">
        <f>IF(D112&gt;0.005,Mortgage!$B$15,0)</f>
        <v/>
      </c>
      <c r="O112" s="147">
        <f>J112+K112+L112+M112+N112</f>
        <v/>
      </c>
      <c r="P112" s="147">
        <f>P111+E112</f>
        <v/>
      </c>
      <c r="Q112" s="147">
        <f>IF(D112&gt;0.005,Mortgage!$B$5*(1+Mortgage!$B$17)^(A112/12),"")</f>
        <v/>
      </c>
      <c r="R112" s="147">
        <f>IF(D112&gt;0.005,Q112-I112,"")</f>
        <v/>
      </c>
      <c r="S112" s="147">
        <f>IF(A112&gt;Mortgage!$B$8*12,0,IF(Mortgage!$B$7=0,MAX(0,Mortgage!$H$5-Mortgage!$H$8*A112),MAX(0,Mortgage!$H$5*(1+(Mortgage!$B$7/12))^A112-Mortgage!$H$8*((1+(Mortgage!$B$7/12))^A112-1)/(Mortgage!$B$7/12))))</f>
        <v/>
      </c>
      <c r="T112" s="149">
        <f>IF(D112&gt;0.005,I112/Mortgage!$B$5,"")</f>
        <v/>
      </c>
      <c r="U112">
        <f>IF(A112&gt;Mortgage!$B$8*12,NA(),B112)</f>
        <v/>
      </c>
      <c r="V112">
        <f>IF(D112&gt;0.005,I112,NA())</f>
        <v/>
      </c>
      <c r="W112">
        <f>IF(A112&gt;Mortgage!$B$8*12,NA(),S112)</f>
        <v/>
      </c>
    </row>
    <row r="113">
      <c r="A113" s="129" t="n">
        <v>108</v>
      </c>
      <c r="B113" s="146">
        <f>EDATE(Mortgage!$B$9,A113-1)</f>
        <v/>
      </c>
      <c r="C113" s="129">
        <f>INT((A113-1)/12)+1</f>
        <v/>
      </c>
      <c r="D113" s="147">
        <f>IF(N(I112)&gt;0.005,I112,0)</f>
        <v/>
      </c>
      <c r="E113" s="147">
        <f>IF(D113&gt;0.005,D113*Mortgage!$B$7/12,0)</f>
        <v/>
      </c>
      <c r="F113" s="147">
        <f>IF(D113&gt;0.005,MIN(Mortgage!$H$8-E113,D113),0)</f>
        <v/>
      </c>
      <c r="G113" s="147">
        <f>IF(D113-F113&gt;0.005,MIN(D113-F113,Mortgage!$B$18+IF(MONTH(B113)=Mortgage!$B$20,Mortgage!$B$19,0)+SUMIFS(Mortgage!$E$6:$E$15,Mortgage!$D$6:$D$15,"&gt;="&amp;B113,Mortgage!$D$6:$D$15,"&lt;"&amp;EDATE(B113,1))+IF(Mortgage!$B$10="Bi-weekly (accelerated)",Mortgage!$H$8/12,0)),0)</f>
        <v/>
      </c>
      <c r="H113" s="147">
        <f>F113+G113</f>
        <v/>
      </c>
      <c r="I113" s="148">
        <f>D113-H113</f>
        <v/>
      </c>
      <c r="J113" s="147">
        <f>E113+F113+G113</f>
        <v/>
      </c>
      <c r="K113" s="147">
        <f>IF(AND(D113&gt;0.005,Mortgage!$H$7&gt;0.8,D113/Mortgage!$B$5&gt;Mortgage!$B$14),Mortgage!$H$5*Mortgage!$B$13/12,0)</f>
        <v/>
      </c>
      <c r="L113" s="147">
        <f>IF(D113&gt;0.005,Mortgage!$B$11/12*(1+Mortgage!$B$16)^(C113-1),0)</f>
        <v/>
      </c>
      <c r="M113" s="147">
        <f>IF(D113&gt;0.005,Mortgage!$B$12/12*(1+Mortgage!$B$16)^(C113-1),0)</f>
        <v/>
      </c>
      <c r="N113" s="147">
        <f>IF(D113&gt;0.005,Mortgage!$B$15,0)</f>
        <v/>
      </c>
      <c r="O113" s="147">
        <f>J113+K113+L113+M113+N113</f>
        <v/>
      </c>
      <c r="P113" s="147">
        <f>P112+E113</f>
        <v/>
      </c>
      <c r="Q113" s="147">
        <f>IF(D113&gt;0.005,Mortgage!$B$5*(1+Mortgage!$B$17)^(A113/12),"")</f>
        <v/>
      </c>
      <c r="R113" s="147">
        <f>IF(D113&gt;0.005,Q113-I113,"")</f>
        <v/>
      </c>
      <c r="S113" s="147">
        <f>IF(A113&gt;Mortgage!$B$8*12,0,IF(Mortgage!$B$7=0,MAX(0,Mortgage!$H$5-Mortgage!$H$8*A113),MAX(0,Mortgage!$H$5*(1+(Mortgage!$B$7/12))^A113-Mortgage!$H$8*((1+(Mortgage!$B$7/12))^A113-1)/(Mortgage!$B$7/12))))</f>
        <v/>
      </c>
      <c r="T113" s="149">
        <f>IF(D113&gt;0.005,I113/Mortgage!$B$5,"")</f>
        <v/>
      </c>
      <c r="U113">
        <f>IF(A113&gt;Mortgage!$B$8*12,NA(),B113)</f>
        <v/>
      </c>
      <c r="V113">
        <f>IF(D113&gt;0.005,I113,NA())</f>
        <v/>
      </c>
      <c r="W113">
        <f>IF(A113&gt;Mortgage!$B$8*12,NA(),S113)</f>
        <v/>
      </c>
    </row>
    <row r="114">
      <c r="A114" s="129" t="n">
        <v>109</v>
      </c>
      <c r="B114" s="146">
        <f>EDATE(Mortgage!$B$9,A114-1)</f>
        <v/>
      </c>
      <c r="C114" s="129">
        <f>INT((A114-1)/12)+1</f>
        <v/>
      </c>
      <c r="D114" s="147">
        <f>IF(N(I113)&gt;0.005,I113,0)</f>
        <v/>
      </c>
      <c r="E114" s="147">
        <f>IF(D114&gt;0.005,D114*Mortgage!$B$7/12,0)</f>
        <v/>
      </c>
      <c r="F114" s="147">
        <f>IF(D114&gt;0.005,MIN(Mortgage!$H$8-E114,D114),0)</f>
        <v/>
      </c>
      <c r="G114" s="147">
        <f>IF(D114-F114&gt;0.005,MIN(D114-F114,Mortgage!$B$18+IF(MONTH(B114)=Mortgage!$B$20,Mortgage!$B$19,0)+SUMIFS(Mortgage!$E$6:$E$15,Mortgage!$D$6:$D$15,"&gt;="&amp;B114,Mortgage!$D$6:$D$15,"&lt;"&amp;EDATE(B114,1))+IF(Mortgage!$B$10="Bi-weekly (accelerated)",Mortgage!$H$8/12,0)),0)</f>
        <v/>
      </c>
      <c r="H114" s="147">
        <f>F114+G114</f>
        <v/>
      </c>
      <c r="I114" s="148">
        <f>D114-H114</f>
        <v/>
      </c>
      <c r="J114" s="147">
        <f>E114+F114+G114</f>
        <v/>
      </c>
      <c r="K114" s="147">
        <f>IF(AND(D114&gt;0.005,Mortgage!$H$7&gt;0.8,D114/Mortgage!$B$5&gt;Mortgage!$B$14),Mortgage!$H$5*Mortgage!$B$13/12,0)</f>
        <v/>
      </c>
      <c r="L114" s="147">
        <f>IF(D114&gt;0.005,Mortgage!$B$11/12*(1+Mortgage!$B$16)^(C114-1),0)</f>
        <v/>
      </c>
      <c r="M114" s="147">
        <f>IF(D114&gt;0.005,Mortgage!$B$12/12*(1+Mortgage!$B$16)^(C114-1),0)</f>
        <v/>
      </c>
      <c r="N114" s="147">
        <f>IF(D114&gt;0.005,Mortgage!$B$15,0)</f>
        <v/>
      </c>
      <c r="O114" s="147">
        <f>J114+K114+L114+M114+N114</f>
        <v/>
      </c>
      <c r="P114" s="147">
        <f>P113+E114</f>
        <v/>
      </c>
      <c r="Q114" s="147">
        <f>IF(D114&gt;0.005,Mortgage!$B$5*(1+Mortgage!$B$17)^(A114/12),"")</f>
        <v/>
      </c>
      <c r="R114" s="147">
        <f>IF(D114&gt;0.005,Q114-I114,"")</f>
        <v/>
      </c>
      <c r="S114" s="147">
        <f>IF(A114&gt;Mortgage!$B$8*12,0,IF(Mortgage!$B$7=0,MAX(0,Mortgage!$H$5-Mortgage!$H$8*A114),MAX(0,Mortgage!$H$5*(1+(Mortgage!$B$7/12))^A114-Mortgage!$H$8*((1+(Mortgage!$B$7/12))^A114-1)/(Mortgage!$B$7/12))))</f>
        <v/>
      </c>
      <c r="T114" s="149">
        <f>IF(D114&gt;0.005,I114/Mortgage!$B$5,"")</f>
        <v/>
      </c>
      <c r="U114">
        <f>IF(A114&gt;Mortgage!$B$8*12,NA(),B114)</f>
        <v/>
      </c>
      <c r="V114">
        <f>IF(D114&gt;0.005,I114,NA())</f>
        <v/>
      </c>
      <c r="W114">
        <f>IF(A114&gt;Mortgage!$B$8*12,NA(),S114)</f>
        <v/>
      </c>
    </row>
    <row r="115">
      <c r="A115" s="129" t="n">
        <v>110</v>
      </c>
      <c r="B115" s="146">
        <f>EDATE(Mortgage!$B$9,A115-1)</f>
        <v/>
      </c>
      <c r="C115" s="129">
        <f>INT((A115-1)/12)+1</f>
        <v/>
      </c>
      <c r="D115" s="147">
        <f>IF(N(I114)&gt;0.005,I114,0)</f>
        <v/>
      </c>
      <c r="E115" s="147">
        <f>IF(D115&gt;0.005,D115*Mortgage!$B$7/12,0)</f>
        <v/>
      </c>
      <c r="F115" s="147">
        <f>IF(D115&gt;0.005,MIN(Mortgage!$H$8-E115,D115),0)</f>
        <v/>
      </c>
      <c r="G115" s="147">
        <f>IF(D115-F115&gt;0.005,MIN(D115-F115,Mortgage!$B$18+IF(MONTH(B115)=Mortgage!$B$20,Mortgage!$B$19,0)+SUMIFS(Mortgage!$E$6:$E$15,Mortgage!$D$6:$D$15,"&gt;="&amp;B115,Mortgage!$D$6:$D$15,"&lt;"&amp;EDATE(B115,1))+IF(Mortgage!$B$10="Bi-weekly (accelerated)",Mortgage!$H$8/12,0)),0)</f>
        <v/>
      </c>
      <c r="H115" s="147">
        <f>F115+G115</f>
        <v/>
      </c>
      <c r="I115" s="148">
        <f>D115-H115</f>
        <v/>
      </c>
      <c r="J115" s="147">
        <f>E115+F115+G115</f>
        <v/>
      </c>
      <c r="K115" s="147">
        <f>IF(AND(D115&gt;0.005,Mortgage!$H$7&gt;0.8,D115/Mortgage!$B$5&gt;Mortgage!$B$14),Mortgage!$H$5*Mortgage!$B$13/12,0)</f>
        <v/>
      </c>
      <c r="L115" s="147">
        <f>IF(D115&gt;0.005,Mortgage!$B$11/12*(1+Mortgage!$B$16)^(C115-1),0)</f>
        <v/>
      </c>
      <c r="M115" s="147">
        <f>IF(D115&gt;0.005,Mortgage!$B$12/12*(1+Mortgage!$B$16)^(C115-1),0)</f>
        <v/>
      </c>
      <c r="N115" s="147">
        <f>IF(D115&gt;0.005,Mortgage!$B$15,0)</f>
        <v/>
      </c>
      <c r="O115" s="147">
        <f>J115+K115+L115+M115+N115</f>
        <v/>
      </c>
      <c r="P115" s="147">
        <f>P114+E115</f>
        <v/>
      </c>
      <c r="Q115" s="147">
        <f>IF(D115&gt;0.005,Mortgage!$B$5*(1+Mortgage!$B$17)^(A115/12),"")</f>
        <v/>
      </c>
      <c r="R115" s="147">
        <f>IF(D115&gt;0.005,Q115-I115,"")</f>
        <v/>
      </c>
      <c r="S115" s="147">
        <f>IF(A115&gt;Mortgage!$B$8*12,0,IF(Mortgage!$B$7=0,MAX(0,Mortgage!$H$5-Mortgage!$H$8*A115),MAX(0,Mortgage!$H$5*(1+(Mortgage!$B$7/12))^A115-Mortgage!$H$8*((1+(Mortgage!$B$7/12))^A115-1)/(Mortgage!$B$7/12))))</f>
        <v/>
      </c>
      <c r="T115" s="149">
        <f>IF(D115&gt;0.005,I115/Mortgage!$B$5,"")</f>
        <v/>
      </c>
      <c r="U115">
        <f>IF(A115&gt;Mortgage!$B$8*12,NA(),B115)</f>
        <v/>
      </c>
      <c r="V115">
        <f>IF(D115&gt;0.005,I115,NA())</f>
        <v/>
      </c>
      <c r="W115">
        <f>IF(A115&gt;Mortgage!$B$8*12,NA(),S115)</f>
        <v/>
      </c>
    </row>
    <row r="116">
      <c r="A116" s="129" t="n">
        <v>111</v>
      </c>
      <c r="B116" s="146">
        <f>EDATE(Mortgage!$B$9,A116-1)</f>
        <v/>
      </c>
      <c r="C116" s="129">
        <f>INT((A116-1)/12)+1</f>
        <v/>
      </c>
      <c r="D116" s="147">
        <f>IF(N(I115)&gt;0.005,I115,0)</f>
        <v/>
      </c>
      <c r="E116" s="147">
        <f>IF(D116&gt;0.005,D116*Mortgage!$B$7/12,0)</f>
        <v/>
      </c>
      <c r="F116" s="147">
        <f>IF(D116&gt;0.005,MIN(Mortgage!$H$8-E116,D116),0)</f>
        <v/>
      </c>
      <c r="G116" s="147">
        <f>IF(D116-F116&gt;0.005,MIN(D116-F116,Mortgage!$B$18+IF(MONTH(B116)=Mortgage!$B$20,Mortgage!$B$19,0)+SUMIFS(Mortgage!$E$6:$E$15,Mortgage!$D$6:$D$15,"&gt;="&amp;B116,Mortgage!$D$6:$D$15,"&lt;"&amp;EDATE(B116,1))+IF(Mortgage!$B$10="Bi-weekly (accelerated)",Mortgage!$H$8/12,0)),0)</f>
        <v/>
      </c>
      <c r="H116" s="147">
        <f>F116+G116</f>
        <v/>
      </c>
      <c r="I116" s="148">
        <f>D116-H116</f>
        <v/>
      </c>
      <c r="J116" s="147">
        <f>E116+F116+G116</f>
        <v/>
      </c>
      <c r="K116" s="147">
        <f>IF(AND(D116&gt;0.005,Mortgage!$H$7&gt;0.8,D116/Mortgage!$B$5&gt;Mortgage!$B$14),Mortgage!$H$5*Mortgage!$B$13/12,0)</f>
        <v/>
      </c>
      <c r="L116" s="147">
        <f>IF(D116&gt;0.005,Mortgage!$B$11/12*(1+Mortgage!$B$16)^(C116-1),0)</f>
        <v/>
      </c>
      <c r="M116" s="147">
        <f>IF(D116&gt;0.005,Mortgage!$B$12/12*(1+Mortgage!$B$16)^(C116-1),0)</f>
        <v/>
      </c>
      <c r="N116" s="147">
        <f>IF(D116&gt;0.005,Mortgage!$B$15,0)</f>
        <v/>
      </c>
      <c r="O116" s="147">
        <f>J116+K116+L116+M116+N116</f>
        <v/>
      </c>
      <c r="P116" s="147">
        <f>P115+E116</f>
        <v/>
      </c>
      <c r="Q116" s="147">
        <f>IF(D116&gt;0.005,Mortgage!$B$5*(1+Mortgage!$B$17)^(A116/12),"")</f>
        <v/>
      </c>
      <c r="R116" s="147">
        <f>IF(D116&gt;0.005,Q116-I116,"")</f>
        <v/>
      </c>
      <c r="S116" s="147">
        <f>IF(A116&gt;Mortgage!$B$8*12,0,IF(Mortgage!$B$7=0,MAX(0,Mortgage!$H$5-Mortgage!$H$8*A116),MAX(0,Mortgage!$H$5*(1+(Mortgage!$B$7/12))^A116-Mortgage!$H$8*((1+(Mortgage!$B$7/12))^A116-1)/(Mortgage!$B$7/12))))</f>
        <v/>
      </c>
      <c r="T116" s="149">
        <f>IF(D116&gt;0.005,I116/Mortgage!$B$5,"")</f>
        <v/>
      </c>
      <c r="U116">
        <f>IF(A116&gt;Mortgage!$B$8*12,NA(),B116)</f>
        <v/>
      </c>
      <c r="V116">
        <f>IF(D116&gt;0.005,I116,NA())</f>
        <v/>
      </c>
      <c r="W116">
        <f>IF(A116&gt;Mortgage!$B$8*12,NA(),S116)</f>
        <v/>
      </c>
    </row>
    <row r="117">
      <c r="A117" s="129" t="n">
        <v>112</v>
      </c>
      <c r="B117" s="146">
        <f>EDATE(Mortgage!$B$9,A117-1)</f>
        <v/>
      </c>
      <c r="C117" s="129">
        <f>INT((A117-1)/12)+1</f>
        <v/>
      </c>
      <c r="D117" s="147">
        <f>IF(N(I116)&gt;0.005,I116,0)</f>
        <v/>
      </c>
      <c r="E117" s="147">
        <f>IF(D117&gt;0.005,D117*Mortgage!$B$7/12,0)</f>
        <v/>
      </c>
      <c r="F117" s="147">
        <f>IF(D117&gt;0.005,MIN(Mortgage!$H$8-E117,D117),0)</f>
        <v/>
      </c>
      <c r="G117" s="147">
        <f>IF(D117-F117&gt;0.005,MIN(D117-F117,Mortgage!$B$18+IF(MONTH(B117)=Mortgage!$B$20,Mortgage!$B$19,0)+SUMIFS(Mortgage!$E$6:$E$15,Mortgage!$D$6:$D$15,"&gt;="&amp;B117,Mortgage!$D$6:$D$15,"&lt;"&amp;EDATE(B117,1))+IF(Mortgage!$B$10="Bi-weekly (accelerated)",Mortgage!$H$8/12,0)),0)</f>
        <v/>
      </c>
      <c r="H117" s="147">
        <f>F117+G117</f>
        <v/>
      </c>
      <c r="I117" s="148">
        <f>D117-H117</f>
        <v/>
      </c>
      <c r="J117" s="147">
        <f>E117+F117+G117</f>
        <v/>
      </c>
      <c r="K117" s="147">
        <f>IF(AND(D117&gt;0.005,Mortgage!$H$7&gt;0.8,D117/Mortgage!$B$5&gt;Mortgage!$B$14),Mortgage!$H$5*Mortgage!$B$13/12,0)</f>
        <v/>
      </c>
      <c r="L117" s="147">
        <f>IF(D117&gt;0.005,Mortgage!$B$11/12*(1+Mortgage!$B$16)^(C117-1),0)</f>
        <v/>
      </c>
      <c r="M117" s="147">
        <f>IF(D117&gt;0.005,Mortgage!$B$12/12*(1+Mortgage!$B$16)^(C117-1),0)</f>
        <v/>
      </c>
      <c r="N117" s="147">
        <f>IF(D117&gt;0.005,Mortgage!$B$15,0)</f>
        <v/>
      </c>
      <c r="O117" s="147">
        <f>J117+K117+L117+M117+N117</f>
        <v/>
      </c>
      <c r="P117" s="147">
        <f>P116+E117</f>
        <v/>
      </c>
      <c r="Q117" s="147">
        <f>IF(D117&gt;0.005,Mortgage!$B$5*(1+Mortgage!$B$17)^(A117/12),"")</f>
        <v/>
      </c>
      <c r="R117" s="147">
        <f>IF(D117&gt;0.005,Q117-I117,"")</f>
        <v/>
      </c>
      <c r="S117" s="147">
        <f>IF(A117&gt;Mortgage!$B$8*12,0,IF(Mortgage!$B$7=0,MAX(0,Mortgage!$H$5-Mortgage!$H$8*A117),MAX(0,Mortgage!$H$5*(1+(Mortgage!$B$7/12))^A117-Mortgage!$H$8*((1+(Mortgage!$B$7/12))^A117-1)/(Mortgage!$B$7/12))))</f>
        <v/>
      </c>
      <c r="T117" s="149">
        <f>IF(D117&gt;0.005,I117/Mortgage!$B$5,"")</f>
        <v/>
      </c>
      <c r="U117">
        <f>IF(A117&gt;Mortgage!$B$8*12,NA(),B117)</f>
        <v/>
      </c>
      <c r="V117">
        <f>IF(D117&gt;0.005,I117,NA())</f>
        <v/>
      </c>
      <c r="W117">
        <f>IF(A117&gt;Mortgage!$B$8*12,NA(),S117)</f>
        <v/>
      </c>
    </row>
    <row r="118">
      <c r="A118" s="129" t="n">
        <v>113</v>
      </c>
      <c r="B118" s="146">
        <f>EDATE(Mortgage!$B$9,A118-1)</f>
        <v/>
      </c>
      <c r="C118" s="129">
        <f>INT((A118-1)/12)+1</f>
        <v/>
      </c>
      <c r="D118" s="147">
        <f>IF(N(I117)&gt;0.005,I117,0)</f>
        <v/>
      </c>
      <c r="E118" s="147">
        <f>IF(D118&gt;0.005,D118*Mortgage!$B$7/12,0)</f>
        <v/>
      </c>
      <c r="F118" s="147">
        <f>IF(D118&gt;0.005,MIN(Mortgage!$H$8-E118,D118),0)</f>
        <v/>
      </c>
      <c r="G118" s="147">
        <f>IF(D118-F118&gt;0.005,MIN(D118-F118,Mortgage!$B$18+IF(MONTH(B118)=Mortgage!$B$20,Mortgage!$B$19,0)+SUMIFS(Mortgage!$E$6:$E$15,Mortgage!$D$6:$D$15,"&gt;="&amp;B118,Mortgage!$D$6:$D$15,"&lt;"&amp;EDATE(B118,1))+IF(Mortgage!$B$10="Bi-weekly (accelerated)",Mortgage!$H$8/12,0)),0)</f>
        <v/>
      </c>
      <c r="H118" s="147">
        <f>F118+G118</f>
        <v/>
      </c>
      <c r="I118" s="148">
        <f>D118-H118</f>
        <v/>
      </c>
      <c r="J118" s="147">
        <f>E118+F118+G118</f>
        <v/>
      </c>
      <c r="K118" s="147">
        <f>IF(AND(D118&gt;0.005,Mortgage!$H$7&gt;0.8,D118/Mortgage!$B$5&gt;Mortgage!$B$14),Mortgage!$H$5*Mortgage!$B$13/12,0)</f>
        <v/>
      </c>
      <c r="L118" s="147">
        <f>IF(D118&gt;0.005,Mortgage!$B$11/12*(1+Mortgage!$B$16)^(C118-1),0)</f>
        <v/>
      </c>
      <c r="M118" s="147">
        <f>IF(D118&gt;0.005,Mortgage!$B$12/12*(1+Mortgage!$B$16)^(C118-1),0)</f>
        <v/>
      </c>
      <c r="N118" s="147">
        <f>IF(D118&gt;0.005,Mortgage!$B$15,0)</f>
        <v/>
      </c>
      <c r="O118" s="147">
        <f>J118+K118+L118+M118+N118</f>
        <v/>
      </c>
      <c r="P118" s="147">
        <f>P117+E118</f>
        <v/>
      </c>
      <c r="Q118" s="147">
        <f>IF(D118&gt;0.005,Mortgage!$B$5*(1+Mortgage!$B$17)^(A118/12),"")</f>
        <v/>
      </c>
      <c r="R118" s="147">
        <f>IF(D118&gt;0.005,Q118-I118,"")</f>
        <v/>
      </c>
      <c r="S118" s="147">
        <f>IF(A118&gt;Mortgage!$B$8*12,0,IF(Mortgage!$B$7=0,MAX(0,Mortgage!$H$5-Mortgage!$H$8*A118),MAX(0,Mortgage!$H$5*(1+(Mortgage!$B$7/12))^A118-Mortgage!$H$8*((1+(Mortgage!$B$7/12))^A118-1)/(Mortgage!$B$7/12))))</f>
        <v/>
      </c>
      <c r="T118" s="149">
        <f>IF(D118&gt;0.005,I118/Mortgage!$B$5,"")</f>
        <v/>
      </c>
      <c r="U118">
        <f>IF(A118&gt;Mortgage!$B$8*12,NA(),B118)</f>
        <v/>
      </c>
      <c r="V118">
        <f>IF(D118&gt;0.005,I118,NA())</f>
        <v/>
      </c>
      <c r="W118">
        <f>IF(A118&gt;Mortgage!$B$8*12,NA(),S118)</f>
        <v/>
      </c>
    </row>
    <row r="119">
      <c r="A119" s="129" t="n">
        <v>114</v>
      </c>
      <c r="B119" s="146">
        <f>EDATE(Mortgage!$B$9,A119-1)</f>
        <v/>
      </c>
      <c r="C119" s="129">
        <f>INT((A119-1)/12)+1</f>
        <v/>
      </c>
      <c r="D119" s="147">
        <f>IF(N(I118)&gt;0.005,I118,0)</f>
        <v/>
      </c>
      <c r="E119" s="147">
        <f>IF(D119&gt;0.005,D119*Mortgage!$B$7/12,0)</f>
        <v/>
      </c>
      <c r="F119" s="147">
        <f>IF(D119&gt;0.005,MIN(Mortgage!$H$8-E119,D119),0)</f>
        <v/>
      </c>
      <c r="G119" s="147">
        <f>IF(D119-F119&gt;0.005,MIN(D119-F119,Mortgage!$B$18+IF(MONTH(B119)=Mortgage!$B$20,Mortgage!$B$19,0)+SUMIFS(Mortgage!$E$6:$E$15,Mortgage!$D$6:$D$15,"&gt;="&amp;B119,Mortgage!$D$6:$D$15,"&lt;"&amp;EDATE(B119,1))+IF(Mortgage!$B$10="Bi-weekly (accelerated)",Mortgage!$H$8/12,0)),0)</f>
        <v/>
      </c>
      <c r="H119" s="147">
        <f>F119+G119</f>
        <v/>
      </c>
      <c r="I119" s="148">
        <f>D119-H119</f>
        <v/>
      </c>
      <c r="J119" s="147">
        <f>E119+F119+G119</f>
        <v/>
      </c>
      <c r="K119" s="147">
        <f>IF(AND(D119&gt;0.005,Mortgage!$H$7&gt;0.8,D119/Mortgage!$B$5&gt;Mortgage!$B$14),Mortgage!$H$5*Mortgage!$B$13/12,0)</f>
        <v/>
      </c>
      <c r="L119" s="147">
        <f>IF(D119&gt;0.005,Mortgage!$B$11/12*(1+Mortgage!$B$16)^(C119-1),0)</f>
        <v/>
      </c>
      <c r="M119" s="147">
        <f>IF(D119&gt;0.005,Mortgage!$B$12/12*(1+Mortgage!$B$16)^(C119-1),0)</f>
        <v/>
      </c>
      <c r="N119" s="147">
        <f>IF(D119&gt;0.005,Mortgage!$B$15,0)</f>
        <v/>
      </c>
      <c r="O119" s="147">
        <f>J119+K119+L119+M119+N119</f>
        <v/>
      </c>
      <c r="P119" s="147">
        <f>P118+E119</f>
        <v/>
      </c>
      <c r="Q119" s="147">
        <f>IF(D119&gt;0.005,Mortgage!$B$5*(1+Mortgage!$B$17)^(A119/12),"")</f>
        <v/>
      </c>
      <c r="R119" s="147">
        <f>IF(D119&gt;0.005,Q119-I119,"")</f>
        <v/>
      </c>
      <c r="S119" s="147">
        <f>IF(A119&gt;Mortgage!$B$8*12,0,IF(Mortgage!$B$7=0,MAX(0,Mortgage!$H$5-Mortgage!$H$8*A119),MAX(0,Mortgage!$H$5*(1+(Mortgage!$B$7/12))^A119-Mortgage!$H$8*((1+(Mortgage!$B$7/12))^A119-1)/(Mortgage!$B$7/12))))</f>
        <v/>
      </c>
      <c r="T119" s="149">
        <f>IF(D119&gt;0.005,I119/Mortgage!$B$5,"")</f>
        <v/>
      </c>
      <c r="U119">
        <f>IF(A119&gt;Mortgage!$B$8*12,NA(),B119)</f>
        <v/>
      </c>
      <c r="V119">
        <f>IF(D119&gt;0.005,I119,NA())</f>
        <v/>
      </c>
      <c r="W119">
        <f>IF(A119&gt;Mortgage!$B$8*12,NA(),S119)</f>
        <v/>
      </c>
    </row>
    <row r="120">
      <c r="A120" s="129" t="n">
        <v>115</v>
      </c>
      <c r="B120" s="146">
        <f>EDATE(Mortgage!$B$9,A120-1)</f>
        <v/>
      </c>
      <c r="C120" s="129">
        <f>INT((A120-1)/12)+1</f>
        <v/>
      </c>
      <c r="D120" s="147">
        <f>IF(N(I119)&gt;0.005,I119,0)</f>
        <v/>
      </c>
      <c r="E120" s="147">
        <f>IF(D120&gt;0.005,D120*Mortgage!$B$7/12,0)</f>
        <v/>
      </c>
      <c r="F120" s="147">
        <f>IF(D120&gt;0.005,MIN(Mortgage!$H$8-E120,D120),0)</f>
        <v/>
      </c>
      <c r="G120" s="147">
        <f>IF(D120-F120&gt;0.005,MIN(D120-F120,Mortgage!$B$18+IF(MONTH(B120)=Mortgage!$B$20,Mortgage!$B$19,0)+SUMIFS(Mortgage!$E$6:$E$15,Mortgage!$D$6:$D$15,"&gt;="&amp;B120,Mortgage!$D$6:$D$15,"&lt;"&amp;EDATE(B120,1))+IF(Mortgage!$B$10="Bi-weekly (accelerated)",Mortgage!$H$8/12,0)),0)</f>
        <v/>
      </c>
      <c r="H120" s="147">
        <f>F120+G120</f>
        <v/>
      </c>
      <c r="I120" s="148">
        <f>D120-H120</f>
        <v/>
      </c>
      <c r="J120" s="147">
        <f>E120+F120+G120</f>
        <v/>
      </c>
      <c r="K120" s="147">
        <f>IF(AND(D120&gt;0.005,Mortgage!$H$7&gt;0.8,D120/Mortgage!$B$5&gt;Mortgage!$B$14),Mortgage!$H$5*Mortgage!$B$13/12,0)</f>
        <v/>
      </c>
      <c r="L120" s="147">
        <f>IF(D120&gt;0.005,Mortgage!$B$11/12*(1+Mortgage!$B$16)^(C120-1),0)</f>
        <v/>
      </c>
      <c r="M120" s="147">
        <f>IF(D120&gt;0.005,Mortgage!$B$12/12*(1+Mortgage!$B$16)^(C120-1),0)</f>
        <v/>
      </c>
      <c r="N120" s="147">
        <f>IF(D120&gt;0.005,Mortgage!$B$15,0)</f>
        <v/>
      </c>
      <c r="O120" s="147">
        <f>J120+K120+L120+M120+N120</f>
        <v/>
      </c>
      <c r="P120" s="147">
        <f>P119+E120</f>
        <v/>
      </c>
      <c r="Q120" s="147">
        <f>IF(D120&gt;0.005,Mortgage!$B$5*(1+Mortgage!$B$17)^(A120/12),"")</f>
        <v/>
      </c>
      <c r="R120" s="147">
        <f>IF(D120&gt;0.005,Q120-I120,"")</f>
        <v/>
      </c>
      <c r="S120" s="147">
        <f>IF(A120&gt;Mortgage!$B$8*12,0,IF(Mortgage!$B$7=0,MAX(0,Mortgage!$H$5-Mortgage!$H$8*A120),MAX(0,Mortgage!$H$5*(1+(Mortgage!$B$7/12))^A120-Mortgage!$H$8*((1+(Mortgage!$B$7/12))^A120-1)/(Mortgage!$B$7/12))))</f>
        <v/>
      </c>
      <c r="T120" s="149">
        <f>IF(D120&gt;0.005,I120/Mortgage!$B$5,"")</f>
        <v/>
      </c>
      <c r="U120">
        <f>IF(A120&gt;Mortgage!$B$8*12,NA(),B120)</f>
        <v/>
      </c>
      <c r="V120">
        <f>IF(D120&gt;0.005,I120,NA())</f>
        <v/>
      </c>
      <c r="W120">
        <f>IF(A120&gt;Mortgage!$B$8*12,NA(),S120)</f>
        <v/>
      </c>
    </row>
    <row r="121">
      <c r="A121" s="129" t="n">
        <v>116</v>
      </c>
      <c r="B121" s="146">
        <f>EDATE(Mortgage!$B$9,A121-1)</f>
        <v/>
      </c>
      <c r="C121" s="129">
        <f>INT((A121-1)/12)+1</f>
        <v/>
      </c>
      <c r="D121" s="147">
        <f>IF(N(I120)&gt;0.005,I120,0)</f>
        <v/>
      </c>
      <c r="E121" s="147">
        <f>IF(D121&gt;0.005,D121*Mortgage!$B$7/12,0)</f>
        <v/>
      </c>
      <c r="F121" s="147">
        <f>IF(D121&gt;0.005,MIN(Mortgage!$H$8-E121,D121),0)</f>
        <v/>
      </c>
      <c r="G121" s="147">
        <f>IF(D121-F121&gt;0.005,MIN(D121-F121,Mortgage!$B$18+IF(MONTH(B121)=Mortgage!$B$20,Mortgage!$B$19,0)+SUMIFS(Mortgage!$E$6:$E$15,Mortgage!$D$6:$D$15,"&gt;="&amp;B121,Mortgage!$D$6:$D$15,"&lt;"&amp;EDATE(B121,1))+IF(Mortgage!$B$10="Bi-weekly (accelerated)",Mortgage!$H$8/12,0)),0)</f>
        <v/>
      </c>
      <c r="H121" s="147">
        <f>F121+G121</f>
        <v/>
      </c>
      <c r="I121" s="148">
        <f>D121-H121</f>
        <v/>
      </c>
      <c r="J121" s="147">
        <f>E121+F121+G121</f>
        <v/>
      </c>
      <c r="K121" s="147">
        <f>IF(AND(D121&gt;0.005,Mortgage!$H$7&gt;0.8,D121/Mortgage!$B$5&gt;Mortgage!$B$14),Mortgage!$H$5*Mortgage!$B$13/12,0)</f>
        <v/>
      </c>
      <c r="L121" s="147">
        <f>IF(D121&gt;0.005,Mortgage!$B$11/12*(1+Mortgage!$B$16)^(C121-1),0)</f>
        <v/>
      </c>
      <c r="M121" s="147">
        <f>IF(D121&gt;0.005,Mortgage!$B$12/12*(1+Mortgage!$B$16)^(C121-1),0)</f>
        <v/>
      </c>
      <c r="N121" s="147">
        <f>IF(D121&gt;0.005,Mortgage!$B$15,0)</f>
        <v/>
      </c>
      <c r="O121" s="147">
        <f>J121+K121+L121+M121+N121</f>
        <v/>
      </c>
      <c r="P121" s="147">
        <f>P120+E121</f>
        <v/>
      </c>
      <c r="Q121" s="147">
        <f>IF(D121&gt;0.005,Mortgage!$B$5*(1+Mortgage!$B$17)^(A121/12),"")</f>
        <v/>
      </c>
      <c r="R121" s="147">
        <f>IF(D121&gt;0.005,Q121-I121,"")</f>
        <v/>
      </c>
      <c r="S121" s="147">
        <f>IF(A121&gt;Mortgage!$B$8*12,0,IF(Mortgage!$B$7=0,MAX(0,Mortgage!$H$5-Mortgage!$H$8*A121),MAX(0,Mortgage!$H$5*(1+(Mortgage!$B$7/12))^A121-Mortgage!$H$8*((1+(Mortgage!$B$7/12))^A121-1)/(Mortgage!$B$7/12))))</f>
        <v/>
      </c>
      <c r="T121" s="149">
        <f>IF(D121&gt;0.005,I121/Mortgage!$B$5,"")</f>
        <v/>
      </c>
      <c r="U121">
        <f>IF(A121&gt;Mortgage!$B$8*12,NA(),B121)</f>
        <v/>
      </c>
      <c r="V121">
        <f>IF(D121&gt;0.005,I121,NA())</f>
        <v/>
      </c>
      <c r="W121">
        <f>IF(A121&gt;Mortgage!$B$8*12,NA(),S121)</f>
        <v/>
      </c>
    </row>
    <row r="122">
      <c r="A122" s="129" t="n">
        <v>117</v>
      </c>
      <c r="B122" s="146">
        <f>EDATE(Mortgage!$B$9,A122-1)</f>
        <v/>
      </c>
      <c r="C122" s="129">
        <f>INT((A122-1)/12)+1</f>
        <v/>
      </c>
      <c r="D122" s="147">
        <f>IF(N(I121)&gt;0.005,I121,0)</f>
        <v/>
      </c>
      <c r="E122" s="147">
        <f>IF(D122&gt;0.005,D122*Mortgage!$B$7/12,0)</f>
        <v/>
      </c>
      <c r="F122" s="147">
        <f>IF(D122&gt;0.005,MIN(Mortgage!$H$8-E122,D122),0)</f>
        <v/>
      </c>
      <c r="G122" s="147">
        <f>IF(D122-F122&gt;0.005,MIN(D122-F122,Mortgage!$B$18+IF(MONTH(B122)=Mortgage!$B$20,Mortgage!$B$19,0)+SUMIFS(Mortgage!$E$6:$E$15,Mortgage!$D$6:$D$15,"&gt;="&amp;B122,Mortgage!$D$6:$D$15,"&lt;"&amp;EDATE(B122,1))+IF(Mortgage!$B$10="Bi-weekly (accelerated)",Mortgage!$H$8/12,0)),0)</f>
        <v/>
      </c>
      <c r="H122" s="147">
        <f>F122+G122</f>
        <v/>
      </c>
      <c r="I122" s="148">
        <f>D122-H122</f>
        <v/>
      </c>
      <c r="J122" s="147">
        <f>E122+F122+G122</f>
        <v/>
      </c>
      <c r="K122" s="147">
        <f>IF(AND(D122&gt;0.005,Mortgage!$H$7&gt;0.8,D122/Mortgage!$B$5&gt;Mortgage!$B$14),Mortgage!$H$5*Mortgage!$B$13/12,0)</f>
        <v/>
      </c>
      <c r="L122" s="147">
        <f>IF(D122&gt;0.005,Mortgage!$B$11/12*(1+Mortgage!$B$16)^(C122-1),0)</f>
        <v/>
      </c>
      <c r="M122" s="147">
        <f>IF(D122&gt;0.005,Mortgage!$B$12/12*(1+Mortgage!$B$16)^(C122-1),0)</f>
        <v/>
      </c>
      <c r="N122" s="147">
        <f>IF(D122&gt;0.005,Mortgage!$B$15,0)</f>
        <v/>
      </c>
      <c r="O122" s="147">
        <f>J122+K122+L122+M122+N122</f>
        <v/>
      </c>
      <c r="P122" s="147">
        <f>P121+E122</f>
        <v/>
      </c>
      <c r="Q122" s="147">
        <f>IF(D122&gt;0.005,Mortgage!$B$5*(1+Mortgage!$B$17)^(A122/12),"")</f>
        <v/>
      </c>
      <c r="R122" s="147">
        <f>IF(D122&gt;0.005,Q122-I122,"")</f>
        <v/>
      </c>
      <c r="S122" s="147">
        <f>IF(A122&gt;Mortgage!$B$8*12,0,IF(Mortgage!$B$7=0,MAX(0,Mortgage!$H$5-Mortgage!$H$8*A122),MAX(0,Mortgage!$H$5*(1+(Mortgage!$B$7/12))^A122-Mortgage!$H$8*((1+(Mortgage!$B$7/12))^A122-1)/(Mortgage!$B$7/12))))</f>
        <v/>
      </c>
      <c r="T122" s="149">
        <f>IF(D122&gt;0.005,I122/Mortgage!$B$5,"")</f>
        <v/>
      </c>
      <c r="U122">
        <f>IF(A122&gt;Mortgage!$B$8*12,NA(),B122)</f>
        <v/>
      </c>
      <c r="V122">
        <f>IF(D122&gt;0.005,I122,NA())</f>
        <v/>
      </c>
      <c r="W122">
        <f>IF(A122&gt;Mortgage!$B$8*12,NA(),S122)</f>
        <v/>
      </c>
    </row>
    <row r="123">
      <c r="A123" s="129" t="n">
        <v>118</v>
      </c>
      <c r="B123" s="146">
        <f>EDATE(Mortgage!$B$9,A123-1)</f>
        <v/>
      </c>
      <c r="C123" s="129">
        <f>INT((A123-1)/12)+1</f>
        <v/>
      </c>
      <c r="D123" s="147">
        <f>IF(N(I122)&gt;0.005,I122,0)</f>
        <v/>
      </c>
      <c r="E123" s="147">
        <f>IF(D123&gt;0.005,D123*Mortgage!$B$7/12,0)</f>
        <v/>
      </c>
      <c r="F123" s="147">
        <f>IF(D123&gt;0.005,MIN(Mortgage!$H$8-E123,D123),0)</f>
        <v/>
      </c>
      <c r="G123" s="147">
        <f>IF(D123-F123&gt;0.005,MIN(D123-F123,Mortgage!$B$18+IF(MONTH(B123)=Mortgage!$B$20,Mortgage!$B$19,0)+SUMIFS(Mortgage!$E$6:$E$15,Mortgage!$D$6:$D$15,"&gt;="&amp;B123,Mortgage!$D$6:$D$15,"&lt;"&amp;EDATE(B123,1))+IF(Mortgage!$B$10="Bi-weekly (accelerated)",Mortgage!$H$8/12,0)),0)</f>
        <v/>
      </c>
      <c r="H123" s="147">
        <f>F123+G123</f>
        <v/>
      </c>
      <c r="I123" s="148">
        <f>D123-H123</f>
        <v/>
      </c>
      <c r="J123" s="147">
        <f>E123+F123+G123</f>
        <v/>
      </c>
      <c r="K123" s="147">
        <f>IF(AND(D123&gt;0.005,Mortgage!$H$7&gt;0.8,D123/Mortgage!$B$5&gt;Mortgage!$B$14),Mortgage!$H$5*Mortgage!$B$13/12,0)</f>
        <v/>
      </c>
      <c r="L123" s="147">
        <f>IF(D123&gt;0.005,Mortgage!$B$11/12*(1+Mortgage!$B$16)^(C123-1),0)</f>
        <v/>
      </c>
      <c r="M123" s="147">
        <f>IF(D123&gt;0.005,Mortgage!$B$12/12*(1+Mortgage!$B$16)^(C123-1),0)</f>
        <v/>
      </c>
      <c r="N123" s="147">
        <f>IF(D123&gt;0.005,Mortgage!$B$15,0)</f>
        <v/>
      </c>
      <c r="O123" s="147">
        <f>J123+K123+L123+M123+N123</f>
        <v/>
      </c>
      <c r="P123" s="147">
        <f>P122+E123</f>
        <v/>
      </c>
      <c r="Q123" s="147">
        <f>IF(D123&gt;0.005,Mortgage!$B$5*(1+Mortgage!$B$17)^(A123/12),"")</f>
        <v/>
      </c>
      <c r="R123" s="147">
        <f>IF(D123&gt;0.005,Q123-I123,"")</f>
        <v/>
      </c>
      <c r="S123" s="147">
        <f>IF(A123&gt;Mortgage!$B$8*12,0,IF(Mortgage!$B$7=0,MAX(0,Mortgage!$H$5-Mortgage!$H$8*A123),MAX(0,Mortgage!$H$5*(1+(Mortgage!$B$7/12))^A123-Mortgage!$H$8*((1+(Mortgage!$B$7/12))^A123-1)/(Mortgage!$B$7/12))))</f>
        <v/>
      </c>
      <c r="T123" s="149">
        <f>IF(D123&gt;0.005,I123/Mortgage!$B$5,"")</f>
        <v/>
      </c>
      <c r="U123">
        <f>IF(A123&gt;Mortgage!$B$8*12,NA(),B123)</f>
        <v/>
      </c>
      <c r="V123">
        <f>IF(D123&gt;0.005,I123,NA())</f>
        <v/>
      </c>
      <c r="W123">
        <f>IF(A123&gt;Mortgage!$B$8*12,NA(),S123)</f>
        <v/>
      </c>
    </row>
    <row r="124">
      <c r="A124" s="129" t="n">
        <v>119</v>
      </c>
      <c r="B124" s="146">
        <f>EDATE(Mortgage!$B$9,A124-1)</f>
        <v/>
      </c>
      <c r="C124" s="129">
        <f>INT((A124-1)/12)+1</f>
        <v/>
      </c>
      <c r="D124" s="147">
        <f>IF(N(I123)&gt;0.005,I123,0)</f>
        <v/>
      </c>
      <c r="E124" s="147">
        <f>IF(D124&gt;0.005,D124*Mortgage!$B$7/12,0)</f>
        <v/>
      </c>
      <c r="F124" s="147">
        <f>IF(D124&gt;0.005,MIN(Mortgage!$H$8-E124,D124),0)</f>
        <v/>
      </c>
      <c r="G124" s="147">
        <f>IF(D124-F124&gt;0.005,MIN(D124-F124,Mortgage!$B$18+IF(MONTH(B124)=Mortgage!$B$20,Mortgage!$B$19,0)+SUMIFS(Mortgage!$E$6:$E$15,Mortgage!$D$6:$D$15,"&gt;="&amp;B124,Mortgage!$D$6:$D$15,"&lt;"&amp;EDATE(B124,1))+IF(Mortgage!$B$10="Bi-weekly (accelerated)",Mortgage!$H$8/12,0)),0)</f>
        <v/>
      </c>
      <c r="H124" s="147">
        <f>F124+G124</f>
        <v/>
      </c>
      <c r="I124" s="148">
        <f>D124-H124</f>
        <v/>
      </c>
      <c r="J124" s="147">
        <f>E124+F124+G124</f>
        <v/>
      </c>
      <c r="K124" s="147">
        <f>IF(AND(D124&gt;0.005,Mortgage!$H$7&gt;0.8,D124/Mortgage!$B$5&gt;Mortgage!$B$14),Mortgage!$H$5*Mortgage!$B$13/12,0)</f>
        <v/>
      </c>
      <c r="L124" s="147">
        <f>IF(D124&gt;0.005,Mortgage!$B$11/12*(1+Mortgage!$B$16)^(C124-1),0)</f>
        <v/>
      </c>
      <c r="M124" s="147">
        <f>IF(D124&gt;0.005,Mortgage!$B$12/12*(1+Mortgage!$B$16)^(C124-1),0)</f>
        <v/>
      </c>
      <c r="N124" s="147">
        <f>IF(D124&gt;0.005,Mortgage!$B$15,0)</f>
        <v/>
      </c>
      <c r="O124" s="147">
        <f>J124+K124+L124+M124+N124</f>
        <v/>
      </c>
      <c r="P124" s="147">
        <f>P123+E124</f>
        <v/>
      </c>
      <c r="Q124" s="147">
        <f>IF(D124&gt;0.005,Mortgage!$B$5*(1+Mortgage!$B$17)^(A124/12),"")</f>
        <v/>
      </c>
      <c r="R124" s="147">
        <f>IF(D124&gt;0.005,Q124-I124,"")</f>
        <v/>
      </c>
      <c r="S124" s="147">
        <f>IF(A124&gt;Mortgage!$B$8*12,0,IF(Mortgage!$B$7=0,MAX(0,Mortgage!$H$5-Mortgage!$H$8*A124),MAX(0,Mortgage!$H$5*(1+(Mortgage!$B$7/12))^A124-Mortgage!$H$8*((1+(Mortgage!$B$7/12))^A124-1)/(Mortgage!$B$7/12))))</f>
        <v/>
      </c>
      <c r="T124" s="149">
        <f>IF(D124&gt;0.005,I124/Mortgage!$B$5,"")</f>
        <v/>
      </c>
      <c r="U124">
        <f>IF(A124&gt;Mortgage!$B$8*12,NA(),B124)</f>
        <v/>
      </c>
      <c r="V124">
        <f>IF(D124&gt;0.005,I124,NA())</f>
        <v/>
      </c>
      <c r="W124">
        <f>IF(A124&gt;Mortgage!$B$8*12,NA(),S124)</f>
        <v/>
      </c>
    </row>
    <row r="125">
      <c r="A125" s="129" t="n">
        <v>120</v>
      </c>
      <c r="B125" s="146">
        <f>EDATE(Mortgage!$B$9,A125-1)</f>
        <v/>
      </c>
      <c r="C125" s="129">
        <f>INT((A125-1)/12)+1</f>
        <v/>
      </c>
      <c r="D125" s="147">
        <f>IF(N(I124)&gt;0.005,I124,0)</f>
        <v/>
      </c>
      <c r="E125" s="147">
        <f>IF(D125&gt;0.005,D125*Mortgage!$B$7/12,0)</f>
        <v/>
      </c>
      <c r="F125" s="147">
        <f>IF(D125&gt;0.005,MIN(Mortgage!$H$8-E125,D125),0)</f>
        <v/>
      </c>
      <c r="G125" s="147">
        <f>IF(D125-F125&gt;0.005,MIN(D125-F125,Mortgage!$B$18+IF(MONTH(B125)=Mortgage!$B$20,Mortgage!$B$19,0)+SUMIFS(Mortgage!$E$6:$E$15,Mortgage!$D$6:$D$15,"&gt;="&amp;B125,Mortgage!$D$6:$D$15,"&lt;"&amp;EDATE(B125,1))+IF(Mortgage!$B$10="Bi-weekly (accelerated)",Mortgage!$H$8/12,0)),0)</f>
        <v/>
      </c>
      <c r="H125" s="147">
        <f>F125+G125</f>
        <v/>
      </c>
      <c r="I125" s="148">
        <f>D125-H125</f>
        <v/>
      </c>
      <c r="J125" s="147">
        <f>E125+F125+G125</f>
        <v/>
      </c>
      <c r="K125" s="147">
        <f>IF(AND(D125&gt;0.005,Mortgage!$H$7&gt;0.8,D125/Mortgage!$B$5&gt;Mortgage!$B$14),Mortgage!$H$5*Mortgage!$B$13/12,0)</f>
        <v/>
      </c>
      <c r="L125" s="147">
        <f>IF(D125&gt;0.005,Mortgage!$B$11/12*(1+Mortgage!$B$16)^(C125-1),0)</f>
        <v/>
      </c>
      <c r="M125" s="147">
        <f>IF(D125&gt;0.005,Mortgage!$B$12/12*(1+Mortgage!$B$16)^(C125-1),0)</f>
        <v/>
      </c>
      <c r="N125" s="147">
        <f>IF(D125&gt;0.005,Mortgage!$B$15,0)</f>
        <v/>
      </c>
      <c r="O125" s="147">
        <f>J125+K125+L125+M125+N125</f>
        <v/>
      </c>
      <c r="P125" s="147">
        <f>P124+E125</f>
        <v/>
      </c>
      <c r="Q125" s="147">
        <f>IF(D125&gt;0.005,Mortgage!$B$5*(1+Mortgage!$B$17)^(A125/12),"")</f>
        <v/>
      </c>
      <c r="R125" s="147">
        <f>IF(D125&gt;0.005,Q125-I125,"")</f>
        <v/>
      </c>
      <c r="S125" s="147">
        <f>IF(A125&gt;Mortgage!$B$8*12,0,IF(Mortgage!$B$7=0,MAX(0,Mortgage!$H$5-Mortgage!$H$8*A125),MAX(0,Mortgage!$H$5*(1+(Mortgage!$B$7/12))^A125-Mortgage!$H$8*((1+(Mortgage!$B$7/12))^A125-1)/(Mortgage!$B$7/12))))</f>
        <v/>
      </c>
      <c r="T125" s="149">
        <f>IF(D125&gt;0.005,I125/Mortgage!$B$5,"")</f>
        <v/>
      </c>
      <c r="U125">
        <f>IF(A125&gt;Mortgage!$B$8*12,NA(),B125)</f>
        <v/>
      </c>
      <c r="V125">
        <f>IF(D125&gt;0.005,I125,NA())</f>
        <v/>
      </c>
      <c r="W125">
        <f>IF(A125&gt;Mortgage!$B$8*12,NA(),S125)</f>
        <v/>
      </c>
    </row>
    <row r="126">
      <c r="A126" s="129" t="n">
        <v>121</v>
      </c>
      <c r="B126" s="146">
        <f>EDATE(Mortgage!$B$9,A126-1)</f>
        <v/>
      </c>
      <c r="C126" s="129">
        <f>INT((A126-1)/12)+1</f>
        <v/>
      </c>
      <c r="D126" s="147">
        <f>IF(N(I125)&gt;0.005,I125,0)</f>
        <v/>
      </c>
      <c r="E126" s="147">
        <f>IF(D126&gt;0.005,D126*Mortgage!$B$7/12,0)</f>
        <v/>
      </c>
      <c r="F126" s="147">
        <f>IF(D126&gt;0.005,MIN(Mortgage!$H$8-E126,D126),0)</f>
        <v/>
      </c>
      <c r="G126" s="147">
        <f>IF(D126-F126&gt;0.005,MIN(D126-F126,Mortgage!$B$18+IF(MONTH(B126)=Mortgage!$B$20,Mortgage!$B$19,0)+SUMIFS(Mortgage!$E$6:$E$15,Mortgage!$D$6:$D$15,"&gt;="&amp;B126,Mortgage!$D$6:$D$15,"&lt;"&amp;EDATE(B126,1))+IF(Mortgage!$B$10="Bi-weekly (accelerated)",Mortgage!$H$8/12,0)),0)</f>
        <v/>
      </c>
      <c r="H126" s="147">
        <f>F126+G126</f>
        <v/>
      </c>
      <c r="I126" s="148">
        <f>D126-H126</f>
        <v/>
      </c>
      <c r="J126" s="147">
        <f>E126+F126+G126</f>
        <v/>
      </c>
      <c r="K126" s="147">
        <f>IF(AND(D126&gt;0.005,Mortgage!$H$7&gt;0.8,D126/Mortgage!$B$5&gt;Mortgage!$B$14),Mortgage!$H$5*Mortgage!$B$13/12,0)</f>
        <v/>
      </c>
      <c r="L126" s="147">
        <f>IF(D126&gt;0.005,Mortgage!$B$11/12*(1+Mortgage!$B$16)^(C126-1),0)</f>
        <v/>
      </c>
      <c r="M126" s="147">
        <f>IF(D126&gt;0.005,Mortgage!$B$12/12*(1+Mortgage!$B$16)^(C126-1),0)</f>
        <v/>
      </c>
      <c r="N126" s="147">
        <f>IF(D126&gt;0.005,Mortgage!$B$15,0)</f>
        <v/>
      </c>
      <c r="O126" s="147">
        <f>J126+K126+L126+M126+N126</f>
        <v/>
      </c>
      <c r="P126" s="147">
        <f>P125+E126</f>
        <v/>
      </c>
      <c r="Q126" s="147">
        <f>IF(D126&gt;0.005,Mortgage!$B$5*(1+Mortgage!$B$17)^(A126/12),"")</f>
        <v/>
      </c>
      <c r="R126" s="147">
        <f>IF(D126&gt;0.005,Q126-I126,"")</f>
        <v/>
      </c>
      <c r="S126" s="147">
        <f>IF(A126&gt;Mortgage!$B$8*12,0,IF(Mortgage!$B$7=0,MAX(0,Mortgage!$H$5-Mortgage!$H$8*A126),MAX(0,Mortgage!$H$5*(1+(Mortgage!$B$7/12))^A126-Mortgage!$H$8*((1+(Mortgage!$B$7/12))^A126-1)/(Mortgage!$B$7/12))))</f>
        <v/>
      </c>
      <c r="T126" s="149">
        <f>IF(D126&gt;0.005,I126/Mortgage!$B$5,"")</f>
        <v/>
      </c>
      <c r="U126">
        <f>IF(A126&gt;Mortgage!$B$8*12,NA(),B126)</f>
        <v/>
      </c>
      <c r="V126">
        <f>IF(D126&gt;0.005,I126,NA())</f>
        <v/>
      </c>
      <c r="W126">
        <f>IF(A126&gt;Mortgage!$B$8*12,NA(),S126)</f>
        <v/>
      </c>
    </row>
    <row r="127">
      <c r="A127" s="129" t="n">
        <v>122</v>
      </c>
      <c r="B127" s="146">
        <f>EDATE(Mortgage!$B$9,A127-1)</f>
        <v/>
      </c>
      <c r="C127" s="129">
        <f>INT((A127-1)/12)+1</f>
        <v/>
      </c>
      <c r="D127" s="147">
        <f>IF(N(I126)&gt;0.005,I126,0)</f>
        <v/>
      </c>
      <c r="E127" s="147">
        <f>IF(D127&gt;0.005,D127*Mortgage!$B$7/12,0)</f>
        <v/>
      </c>
      <c r="F127" s="147">
        <f>IF(D127&gt;0.005,MIN(Mortgage!$H$8-E127,D127),0)</f>
        <v/>
      </c>
      <c r="G127" s="147">
        <f>IF(D127-F127&gt;0.005,MIN(D127-F127,Mortgage!$B$18+IF(MONTH(B127)=Mortgage!$B$20,Mortgage!$B$19,0)+SUMIFS(Mortgage!$E$6:$E$15,Mortgage!$D$6:$D$15,"&gt;="&amp;B127,Mortgage!$D$6:$D$15,"&lt;"&amp;EDATE(B127,1))+IF(Mortgage!$B$10="Bi-weekly (accelerated)",Mortgage!$H$8/12,0)),0)</f>
        <v/>
      </c>
      <c r="H127" s="147">
        <f>F127+G127</f>
        <v/>
      </c>
      <c r="I127" s="148">
        <f>D127-H127</f>
        <v/>
      </c>
      <c r="J127" s="147">
        <f>E127+F127+G127</f>
        <v/>
      </c>
      <c r="K127" s="147">
        <f>IF(AND(D127&gt;0.005,Mortgage!$H$7&gt;0.8,D127/Mortgage!$B$5&gt;Mortgage!$B$14),Mortgage!$H$5*Mortgage!$B$13/12,0)</f>
        <v/>
      </c>
      <c r="L127" s="147">
        <f>IF(D127&gt;0.005,Mortgage!$B$11/12*(1+Mortgage!$B$16)^(C127-1),0)</f>
        <v/>
      </c>
      <c r="M127" s="147">
        <f>IF(D127&gt;0.005,Mortgage!$B$12/12*(1+Mortgage!$B$16)^(C127-1),0)</f>
        <v/>
      </c>
      <c r="N127" s="147">
        <f>IF(D127&gt;0.005,Mortgage!$B$15,0)</f>
        <v/>
      </c>
      <c r="O127" s="147">
        <f>J127+K127+L127+M127+N127</f>
        <v/>
      </c>
      <c r="P127" s="147">
        <f>P126+E127</f>
        <v/>
      </c>
      <c r="Q127" s="147">
        <f>IF(D127&gt;0.005,Mortgage!$B$5*(1+Mortgage!$B$17)^(A127/12),"")</f>
        <v/>
      </c>
      <c r="R127" s="147">
        <f>IF(D127&gt;0.005,Q127-I127,"")</f>
        <v/>
      </c>
      <c r="S127" s="147">
        <f>IF(A127&gt;Mortgage!$B$8*12,0,IF(Mortgage!$B$7=0,MAX(0,Mortgage!$H$5-Mortgage!$H$8*A127),MAX(0,Mortgage!$H$5*(1+(Mortgage!$B$7/12))^A127-Mortgage!$H$8*((1+(Mortgage!$B$7/12))^A127-1)/(Mortgage!$B$7/12))))</f>
        <v/>
      </c>
      <c r="T127" s="149">
        <f>IF(D127&gt;0.005,I127/Mortgage!$B$5,"")</f>
        <v/>
      </c>
      <c r="U127">
        <f>IF(A127&gt;Mortgage!$B$8*12,NA(),B127)</f>
        <v/>
      </c>
      <c r="V127">
        <f>IF(D127&gt;0.005,I127,NA())</f>
        <v/>
      </c>
      <c r="W127">
        <f>IF(A127&gt;Mortgage!$B$8*12,NA(),S127)</f>
        <v/>
      </c>
    </row>
    <row r="128">
      <c r="A128" s="129" t="n">
        <v>123</v>
      </c>
      <c r="B128" s="146">
        <f>EDATE(Mortgage!$B$9,A128-1)</f>
        <v/>
      </c>
      <c r="C128" s="129">
        <f>INT((A128-1)/12)+1</f>
        <v/>
      </c>
      <c r="D128" s="147">
        <f>IF(N(I127)&gt;0.005,I127,0)</f>
        <v/>
      </c>
      <c r="E128" s="147">
        <f>IF(D128&gt;0.005,D128*Mortgage!$B$7/12,0)</f>
        <v/>
      </c>
      <c r="F128" s="147">
        <f>IF(D128&gt;0.005,MIN(Mortgage!$H$8-E128,D128),0)</f>
        <v/>
      </c>
      <c r="G128" s="147">
        <f>IF(D128-F128&gt;0.005,MIN(D128-F128,Mortgage!$B$18+IF(MONTH(B128)=Mortgage!$B$20,Mortgage!$B$19,0)+SUMIFS(Mortgage!$E$6:$E$15,Mortgage!$D$6:$D$15,"&gt;="&amp;B128,Mortgage!$D$6:$D$15,"&lt;"&amp;EDATE(B128,1))+IF(Mortgage!$B$10="Bi-weekly (accelerated)",Mortgage!$H$8/12,0)),0)</f>
        <v/>
      </c>
      <c r="H128" s="147">
        <f>F128+G128</f>
        <v/>
      </c>
      <c r="I128" s="148">
        <f>D128-H128</f>
        <v/>
      </c>
      <c r="J128" s="147">
        <f>E128+F128+G128</f>
        <v/>
      </c>
      <c r="K128" s="147">
        <f>IF(AND(D128&gt;0.005,Mortgage!$H$7&gt;0.8,D128/Mortgage!$B$5&gt;Mortgage!$B$14),Mortgage!$H$5*Mortgage!$B$13/12,0)</f>
        <v/>
      </c>
      <c r="L128" s="147">
        <f>IF(D128&gt;0.005,Mortgage!$B$11/12*(1+Mortgage!$B$16)^(C128-1),0)</f>
        <v/>
      </c>
      <c r="M128" s="147">
        <f>IF(D128&gt;0.005,Mortgage!$B$12/12*(1+Mortgage!$B$16)^(C128-1),0)</f>
        <v/>
      </c>
      <c r="N128" s="147">
        <f>IF(D128&gt;0.005,Mortgage!$B$15,0)</f>
        <v/>
      </c>
      <c r="O128" s="147">
        <f>J128+K128+L128+M128+N128</f>
        <v/>
      </c>
      <c r="P128" s="147">
        <f>P127+E128</f>
        <v/>
      </c>
      <c r="Q128" s="147">
        <f>IF(D128&gt;0.005,Mortgage!$B$5*(1+Mortgage!$B$17)^(A128/12),"")</f>
        <v/>
      </c>
      <c r="R128" s="147">
        <f>IF(D128&gt;0.005,Q128-I128,"")</f>
        <v/>
      </c>
      <c r="S128" s="147">
        <f>IF(A128&gt;Mortgage!$B$8*12,0,IF(Mortgage!$B$7=0,MAX(0,Mortgage!$H$5-Mortgage!$H$8*A128),MAX(0,Mortgage!$H$5*(1+(Mortgage!$B$7/12))^A128-Mortgage!$H$8*((1+(Mortgage!$B$7/12))^A128-1)/(Mortgage!$B$7/12))))</f>
        <v/>
      </c>
      <c r="T128" s="149">
        <f>IF(D128&gt;0.005,I128/Mortgage!$B$5,"")</f>
        <v/>
      </c>
      <c r="U128">
        <f>IF(A128&gt;Mortgage!$B$8*12,NA(),B128)</f>
        <v/>
      </c>
      <c r="V128">
        <f>IF(D128&gt;0.005,I128,NA())</f>
        <v/>
      </c>
      <c r="W128">
        <f>IF(A128&gt;Mortgage!$B$8*12,NA(),S128)</f>
        <v/>
      </c>
    </row>
    <row r="129">
      <c r="A129" s="129" t="n">
        <v>124</v>
      </c>
      <c r="B129" s="146">
        <f>EDATE(Mortgage!$B$9,A129-1)</f>
        <v/>
      </c>
      <c r="C129" s="129">
        <f>INT((A129-1)/12)+1</f>
        <v/>
      </c>
      <c r="D129" s="147">
        <f>IF(N(I128)&gt;0.005,I128,0)</f>
        <v/>
      </c>
      <c r="E129" s="147">
        <f>IF(D129&gt;0.005,D129*Mortgage!$B$7/12,0)</f>
        <v/>
      </c>
      <c r="F129" s="147">
        <f>IF(D129&gt;0.005,MIN(Mortgage!$H$8-E129,D129),0)</f>
        <v/>
      </c>
      <c r="G129" s="147">
        <f>IF(D129-F129&gt;0.005,MIN(D129-F129,Mortgage!$B$18+IF(MONTH(B129)=Mortgage!$B$20,Mortgage!$B$19,0)+SUMIFS(Mortgage!$E$6:$E$15,Mortgage!$D$6:$D$15,"&gt;="&amp;B129,Mortgage!$D$6:$D$15,"&lt;"&amp;EDATE(B129,1))+IF(Mortgage!$B$10="Bi-weekly (accelerated)",Mortgage!$H$8/12,0)),0)</f>
        <v/>
      </c>
      <c r="H129" s="147">
        <f>F129+G129</f>
        <v/>
      </c>
      <c r="I129" s="148">
        <f>D129-H129</f>
        <v/>
      </c>
      <c r="J129" s="147">
        <f>E129+F129+G129</f>
        <v/>
      </c>
      <c r="K129" s="147">
        <f>IF(AND(D129&gt;0.005,Mortgage!$H$7&gt;0.8,D129/Mortgage!$B$5&gt;Mortgage!$B$14),Mortgage!$H$5*Mortgage!$B$13/12,0)</f>
        <v/>
      </c>
      <c r="L129" s="147">
        <f>IF(D129&gt;0.005,Mortgage!$B$11/12*(1+Mortgage!$B$16)^(C129-1),0)</f>
        <v/>
      </c>
      <c r="M129" s="147">
        <f>IF(D129&gt;0.005,Mortgage!$B$12/12*(1+Mortgage!$B$16)^(C129-1),0)</f>
        <v/>
      </c>
      <c r="N129" s="147">
        <f>IF(D129&gt;0.005,Mortgage!$B$15,0)</f>
        <v/>
      </c>
      <c r="O129" s="147">
        <f>J129+K129+L129+M129+N129</f>
        <v/>
      </c>
      <c r="P129" s="147">
        <f>P128+E129</f>
        <v/>
      </c>
      <c r="Q129" s="147">
        <f>IF(D129&gt;0.005,Mortgage!$B$5*(1+Mortgage!$B$17)^(A129/12),"")</f>
        <v/>
      </c>
      <c r="R129" s="147">
        <f>IF(D129&gt;0.005,Q129-I129,"")</f>
        <v/>
      </c>
      <c r="S129" s="147">
        <f>IF(A129&gt;Mortgage!$B$8*12,0,IF(Mortgage!$B$7=0,MAX(0,Mortgage!$H$5-Mortgage!$H$8*A129),MAX(0,Mortgage!$H$5*(1+(Mortgage!$B$7/12))^A129-Mortgage!$H$8*((1+(Mortgage!$B$7/12))^A129-1)/(Mortgage!$B$7/12))))</f>
        <v/>
      </c>
      <c r="T129" s="149">
        <f>IF(D129&gt;0.005,I129/Mortgage!$B$5,"")</f>
        <v/>
      </c>
      <c r="U129">
        <f>IF(A129&gt;Mortgage!$B$8*12,NA(),B129)</f>
        <v/>
      </c>
      <c r="V129">
        <f>IF(D129&gt;0.005,I129,NA())</f>
        <v/>
      </c>
      <c r="W129">
        <f>IF(A129&gt;Mortgage!$B$8*12,NA(),S129)</f>
        <v/>
      </c>
    </row>
    <row r="130">
      <c r="A130" s="129" t="n">
        <v>125</v>
      </c>
      <c r="B130" s="146">
        <f>EDATE(Mortgage!$B$9,A130-1)</f>
        <v/>
      </c>
      <c r="C130" s="129">
        <f>INT((A130-1)/12)+1</f>
        <v/>
      </c>
      <c r="D130" s="147">
        <f>IF(N(I129)&gt;0.005,I129,0)</f>
        <v/>
      </c>
      <c r="E130" s="147">
        <f>IF(D130&gt;0.005,D130*Mortgage!$B$7/12,0)</f>
        <v/>
      </c>
      <c r="F130" s="147">
        <f>IF(D130&gt;0.005,MIN(Mortgage!$H$8-E130,D130),0)</f>
        <v/>
      </c>
      <c r="G130" s="147">
        <f>IF(D130-F130&gt;0.005,MIN(D130-F130,Mortgage!$B$18+IF(MONTH(B130)=Mortgage!$B$20,Mortgage!$B$19,0)+SUMIFS(Mortgage!$E$6:$E$15,Mortgage!$D$6:$D$15,"&gt;="&amp;B130,Mortgage!$D$6:$D$15,"&lt;"&amp;EDATE(B130,1))+IF(Mortgage!$B$10="Bi-weekly (accelerated)",Mortgage!$H$8/12,0)),0)</f>
        <v/>
      </c>
      <c r="H130" s="147">
        <f>F130+G130</f>
        <v/>
      </c>
      <c r="I130" s="148">
        <f>D130-H130</f>
        <v/>
      </c>
      <c r="J130" s="147">
        <f>E130+F130+G130</f>
        <v/>
      </c>
      <c r="K130" s="147">
        <f>IF(AND(D130&gt;0.005,Mortgage!$H$7&gt;0.8,D130/Mortgage!$B$5&gt;Mortgage!$B$14),Mortgage!$H$5*Mortgage!$B$13/12,0)</f>
        <v/>
      </c>
      <c r="L130" s="147">
        <f>IF(D130&gt;0.005,Mortgage!$B$11/12*(1+Mortgage!$B$16)^(C130-1),0)</f>
        <v/>
      </c>
      <c r="M130" s="147">
        <f>IF(D130&gt;0.005,Mortgage!$B$12/12*(1+Mortgage!$B$16)^(C130-1),0)</f>
        <v/>
      </c>
      <c r="N130" s="147">
        <f>IF(D130&gt;0.005,Mortgage!$B$15,0)</f>
        <v/>
      </c>
      <c r="O130" s="147">
        <f>J130+K130+L130+M130+N130</f>
        <v/>
      </c>
      <c r="P130" s="147">
        <f>P129+E130</f>
        <v/>
      </c>
      <c r="Q130" s="147">
        <f>IF(D130&gt;0.005,Mortgage!$B$5*(1+Mortgage!$B$17)^(A130/12),"")</f>
        <v/>
      </c>
      <c r="R130" s="147">
        <f>IF(D130&gt;0.005,Q130-I130,"")</f>
        <v/>
      </c>
      <c r="S130" s="147">
        <f>IF(A130&gt;Mortgage!$B$8*12,0,IF(Mortgage!$B$7=0,MAX(0,Mortgage!$H$5-Mortgage!$H$8*A130),MAX(0,Mortgage!$H$5*(1+(Mortgage!$B$7/12))^A130-Mortgage!$H$8*((1+(Mortgage!$B$7/12))^A130-1)/(Mortgage!$B$7/12))))</f>
        <v/>
      </c>
      <c r="T130" s="149">
        <f>IF(D130&gt;0.005,I130/Mortgage!$B$5,"")</f>
        <v/>
      </c>
      <c r="U130">
        <f>IF(A130&gt;Mortgage!$B$8*12,NA(),B130)</f>
        <v/>
      </c>
      <c r="V130">
        <f>IF(D130&gt;0.005,I130,NA())</f>
        <v/>
      </c>
      <c r="W130">
        <f>IF(A130&gt;Mortgage!$B$8*12,NA(),S130)</f>
        <v/>
      </c>
    </row>
    <row r="131">
      <c r="A131" s="129" t="n">
        <v>126</v>
      </c>
      <c r="B131" s="146">
        <f>EDATE(Mortgage!$B$9,A131-1)</f>
        <v/>
      </c>
      <c r="C131" s="129">
        <f>INT((A131-1)/12)+1</f>
        <v/>
      </c>
      <c r="D131" s="147">
        <f>IF(N(I130)&gt;0.005,I130,0)</f>
        <v/>
      </c>
      <c r="E131" s="147">
        <f>IF(D131&gt;0.005,D131*Mortgage!$B$7/12,0)</f>
        <v/>
      </c>
      <c r="F131" s="147">
        <f>IF(D131&gt;0.005,MIN(Mortgage!$H$8-E131,D131),0)</f>
        <v/>
      </c>
      <c r="G131" s="147">
        <f>IF(D131-F131&gt;0.005,MIN(D131-F131,Mortgage!$B$18+IF(MONTH(B131)=Mortgage!$B$20,Mortgage!$B$19,0)+SUMIFS(Mortgage!$E$6:$E$15,Mortgage!$D$6:$D$15,"&gt;="&amp;B131,Mortgage!$D$6:$D$15,"&lt;"&amp;EDATE(B131,1))+IF(Mortgage!$B$10="Bi-weekly (accelerated)",Mortgage!$H$8/12,0)),0)</f>
        <v/>
      </c>
      <c r="H131" s="147">
        <f>F131+G131</f>
        <v/>
      </c>
      <c r="I131" s="148">
        <f>D131-H131</f>
        <v/>
      </c>
      <c r="J131" s="147">
        <f>E131+F131+G131</f>
        <v/>
      </c>
      <c r="K131" s="147">
        <f>IF(AND(D131&gt;0.005,Mortgage!$H$7&gt;0.8,D131/Mortgage!$B$5&gt;Mortgage!$B$14),Mortgage!$H$5*Mortgage!$B$13/12,0)</f>
        <v/>
      </c>
      <c r="L131" s="147">
        <f>IF(D131&gt;0.005,Mortgage!$B$11/12*(1+Mortgage!$B$16)^(C131-1),0)</f>
        <v/>
      </c>
      <c r="M131" s="147">
        <f>IF(D131&gt;0.005,Mortgage!$B$12/12*(1+Mortgage!$B$16)^(C131-1),0)</f>
        <v/>
      </c>
      <c r="N131" s="147">
        <f>IF(D131&gt;0.005,Mortgage!$B$15,0)</f>
        <v/>
      </c>
      <c r="O131" s="147">
        <f>J131+K131+L131+M131+N131</f>
        <v/>
      </c>
      <c r="P131" s="147">
        <f>P130+E131</f>
        <v/>
      </c>
      <c r="Q131" s="147">
        <f>IF(D131&gt;0.005,Mortgage!$B$5*(1+Mortgage!$B$17)^(A131/12),"")</f>
        <v/>
      </c>
      <c r="R131" s="147">
        <f>IF(D131&gt;0.005,Q131-I131,"")</f>
        <v/>
      </c>
      <c r="S131" s="147">
        <f>IF(A131&gt;Mortgage!$B$8*12,0,IF(Mortgage!$B$7=0,MAX(0,Mortgage!$H$5-Mortgage!$H$8*A131),MAX(0,Mortgage!$H$5*(1+(Mortgage!$B$7/12))^A131-Mortgage!$H$8*((1+(Mortgage!$B$7/12))^A131-1)/(Mortgage!$B$7/12))))</f>
        <v/>
      </c>
      <c r="T131" s="149">
        <f>IF(D131&gt;0.005,I131/Mortgage!$B$5,"")</f>
        <v/>
      </c>
      <c r="U131">
        <f>IF(A131&gt;Mortgage!$B$8*12,NA(),B131)</f>
        <v/>
      </c>
      <c r="V131">
        <f>IF(D131&gt;0.005,I131,NA())</f>
        <v/>
      </c>
      <c r="W131">
        <f>IF(A131&gt;Mortgage!$B$8*12,NA(),S131)</f>
        <v/>
      </c>
    </row>
    <row r="132">
      <c r="A132" s="129" t="n">
        <v>127</v>
      </c>
      <c r="B132" s="146">
        <f>EDATE(Mortgage!$B$9,A132-1)</f>
        <v/>
      </c>
      <c r="C132" s="129">
        <f>INT((A132-1)/12)+1</f>
        <v/>
      </c>
      <c r="D132" s="147">
        <f>IF(N(I131)&gt;0.005,I131,0)</f>
        <v/>
      </c>
      <c r="E132" s="147">
        <f>IF(D132&gt;0.005,D132*Mortgage!$B$7/12,0)</f>
        <v/>
      </c>
      <c r="F132" s="147">
        <f>IF(D132&gt;0.005,MIN(Mortgage!$H$8-E132,D132),0)</f>
        <v/>
      </c>
      <c r="G132" s="147">
        <f>IF(D132-F132&gt;0.005,MIN(D132-F132,Mortgage!$B$18+IF(MONTH(B132)=Mortgage!$B$20,Mortgage!$B$19,0)+SUMIFS(Mortgage!$E$6:$E$15,Mortgage!$D$6:$D$15,"&gt;="&amp;B132,Mortgage!$D$6:$D$15,"&lt;"&amp;EDATE(B132,1))+IF(Mortgage!$B$10="Bi-weekly (accelerated)",Mortgage!$H$8/12,0)),0)</f>
        <v/>
      </c>
      <c r="H132" s="147">
        <f>F132+G132</f>
        <v/>
      </c>
      <c r="I132" s="148">
        <f>D132-H132</f>
        <v/>
      </c>
      <c r="J132" s="147">
        <f>E132+F132+G132</f>
        <v/>
      </c>
      <c r="K132" s="147">
        <f>IF(AND(D132&gt;0.005,Mortgage!$H$7&gt;0.8,D132/Mortgage!$B$5&gt;Mortgage!$B$14),Mortgage!$H$5*Mortgage!$B$13/12,0)</f>
        <v/>
      </c>
      <c r="L132" s="147">
        <f>IF(D132&gt;0.005,Mortgage!$B$11/12*(1+Mortgage!$B$16)^(C132-1),0)</f>
        <v/>
      </c>
      <c r="M132" s="147">
        <f>IF(D132&gt;0.005,Mortgage!$B$12/12*(1+Mortgage!$B$16)^(C132-1),0)</f>
        <v/>
      </c>
      <c r="N132" s="147">
        <f>IF(D132&gt;0.005,Mortgage!$B$15,0)</f>
        <v/>
      </c>
      <c r="O132" s="147">
        <f>J132+K132+L132+M132+N132</f>
        <v/>
      </c>
      <c r="P132" s="147">
        <f>P131+E132</f>
        <v/>
      </c>
      <c r="Q132" s="147">
        <f>IF(D132&gt;0.005,Mortgage!$B$5*(1+Mortgage!$B$17)^(A132/12),"")</f>
        <v/>
      </c>
      <c r="R132" s="147">
        <f>IF(D132&gt;0.005,Q132-I132,"")</f>
        <v/>
      </c>
      <c r="S132" s="147">
        <f>IF(A132&gt;Mortgage!$B$8*12,0,IF(Mortgage!$B$7=0,MAX(0,Mortgage!$H$5-Mortgage!$H$8*A132),MAX(0,Mortgage!$H$5*(1+(Mortgage!$B$7/12))^A132-Mortgage!$H$8*((1+(Mortgage!$B$7/12))^A132-1)/(Mortgage!$B$7/12))))</f>
        <v/>
      </c>
      <c r="T132" s="149">
        <f>IF(D132&gt;0.005,I132/Mortgage!$B$5,"")</f>
        <v/>
      </c>
      <c r="U132">
        <f>IF(A132&gt;Mortgage!$B$8*12,NA(),B132)</f>
        <v/>
      </c>
      <c r="V132">
        <f>IF(D132&gt;0.005,I132,NA())</f>
        <v/>
      </c>
      <c r="W132">
        <f>IF(A132&gt;Mortgage!$B$8*12,NA(),S132)</f>
        <v/>
      </c>
    </row>
    <row r="133">
      <c r="A133" s="129" t="n">
        <v>128</v>
      </c>
      <c r="B133" s="146">
        <f>EDATE(Mortgage!$B$9,A133-1)</f>
        <v/>
      </c>
      <c r="C133" s="129">
        <f>INT((A133-1)/12)+1</f>
        <v/>
      </c>
      <c r="D133" s="147">
        <f>IF(N(I132)&gt;0.005,I132,0)</f>
        <v/>
      </c>
      <c r="E133" s="147">
        <f>IF(D133&gt;0.005,D133*Mortgage!$B$7/12,0)</f>
        <v/>
      </c>
      <c r="F133" s="147">
        <f>IF(D133&gt;0.005,MIN(Mortgage!$H$8-E133,D133),0)</f>
        <v/>
      </c>
      <c r="G133" s="147">
        <f>IF(D133-F133&gt;0.005,MIN(D133-F133,Mortgage!$B$18+IF(MONTH(B133)=Mortgage!$B$20,Mortgage!$B$19,0)+SUMIFS(Mortgage!$E$6:$E$15,Mortgage!$D$6:$D$15,"&gt;="&amp;B133,Mortgage!$D$6:$D$15,"&lt;"&amp;EDATE(B133,1))+IF(Mortgage!$B$10="Bi-weekly (accelerated)",Mortgage!$H$8/12,0)),0)</f>
        <v/>
      </c>
      <c r="H133" s="147">
        <f>F133+G133</f>
        <v/>
      </c>
      <c r="I133" s="148">
        <f>D133-H133</f>
        <v/>
      </c>
      <c r="J133" s="147">
        <f>E133+F133+G133</f>
        <v/>
      </c>
      <c r="K133" s="147">
        <f>IF(AND(D133&gt;0.005,Mortgage!$H$7&gt;0.8,D133/Mortgage!$B$5&gt;Mortgage!$B$14),Mortgage!$H$5*Mortgage!$B$13/12,0)</f>
        <v/>
      </c>
      <c r="L133" s="147">
        <f>IF(D133&gt;0.005,Mortgage!$B$11/12*(1+Mortgage!$B$16)^(C133-1),0)</f>
        <v/>
      </c>
      <c r="M133" s="147">
        <f>IF(D133&gt;0.005,Mortgage!$B$12/12*(1+Mortgage!$B$16)^(C133-1),0)</f>
        <v/>
      </c>
      <c r="N133" s="147">
        <f>IF(D133&gt;0.005,Mortgage!$B$15,0)</f>
        <v/>
      </c>
      <c r="O133" s="147">
        <f>J133+K133+L133+M133+N133</f>
        <v/>
      </c>
      <c r="P133" s="147">
        <f>P132+E133</f>
        <v/>
      </c>
      <c r="Q133" s="147">
        <f>IF(D133&gt;0.005,Mortgage!$B$5*(1+Mortgage!$B$17)^(A133/12),"")</f>
        <v/>
      </c>
      <c r="R133" s="147">
        <f>IF(D133&gt;0.005,Q133-I133,"")</f>
        <v/>
      </c>
      <c r="S133" s="147">
        <f>IF(A133&gt;Mortgage!$B$8*12,0,IF(Mortgage!$B$7=0,MAX(0,Mortgage!$H$5-Mortgage!$H$8*A133),MAX(0,Mortgage!$H$5*(1+(Mortgage!$B$7/12))^A133-Mortgage!$H$8*((1+(Mortgage!$B$7/12))^A133-1)/(Mortgage!$B$7/12))))</f>
        <v/>
      </c>
      <c r="T133" s="149">
        <f>IF(D133&gt;0.005,I133/Mortgage!$B$5,"")</f>
        <v/>
      </c>
      <c r="U133">
        <f>IF(A133&gt;Mortgage!$B$8*12,NA(),B133)</f>
        <v/>
      </c>
      <c r="V133">
        <f>IF(D133&gt;0.005,I133,NA())</f>
        <v/>
      </c>
      <c r="W133">
        <f>IF(A133&gt;Mortgage!$B$8*12,NA(),S133)</f>
        <v/>
      </c>
    </row>
    <row r="134">
      <c r="A134" s="129" t="n">
        <v>129</v>
      </c>
      <c r="B134" s="146">
        <f>EDATE(Mortgage!$B$9,A134-1)</f>
        <v/>
      </c>
      <c r="C134" s="129">
        <f>INT((A134-1)/12)+1</f>
        <v/>
      </c>
      <c r="D134" s="147">
        <f>IF(N(I133)&gt;0.005,I133,0)</f>
        <v/>
      </c>
      <c r="E134" s="147">
        <f>IF(D134&gt;0.005,D134*Mortgage!$B$7/12,0)</f>
        <v/>
      </c>
      <c r="F134" s="147">
        <f>IF(D134&gt;0.005,MIN(Mortgage!$H$8-E134,D134),0)</f>
        <v/>
      </c>
      <c r="G134" s="147">
        <f>IF(D134-F134&gt;0.005,MIN(D134-F134,Mortgage!$B$18+IF(MONTH(B134)=Mortgage!$B$20,Mortgage!$B$19,0)+SUMIFS(Mortgage!$E$6:$E$15,Mortgage!$D$6:$D$15,"&gt;="&amp;B134,Mortgage!$D$6:$D$15,"&lt;"&amp;EDATE(B134,1))+IF(Mortgage!$B$10="Bi-weekly (accelerated)",Mortgage!$H$8/12,0)),0)</f>
        <v/>
      </c>
      <c r="H134" s="147">
        <f>F134+G134</f>
        <v/>
      </c>
      <c r="I134" s="148">
        <f>D134-H134</f>
        <v/>
      </c>
      <c r="J134" s="147">
        <f>E134+F134+G134</f>
        <v/>
      </c>
      <c r="K134" s="147">
        <f>IF(AND(D134&gt;0.005,Mortgage!$H$7&gt;0.8,D134/Mortgage!$B$5&gt;Mortgage!$B$14),Mortgage!$H$5*Mortgage!$B$13/12,0)</f>
        <v/>
      </c>
      <c r="L134" s="147">
        <f>IF(D134&gt;0.005,Mortgage!$B$11/12*(1+Mortgage!$B$16)^(C134-1),0)</f>
        <v/>
      </c>
      <c r="M134" s="147">
        <f>IF(D134&gt;0.005,Mortgage!$B$12/12*(1+Mortgage!$B$16)^(C134-1),0)</f>
        <v/>
      </c>
      <c r="N134" s="147">
        <f>IF(D134&gt;0.005,Mortgage!$B$15,0)</f>
        <v/>
      </c>
      <c r="O134" s="147">
        <f>J134+K134+L134+M134+N134</f>
        <v/>
      </c>
      <c r="P134" s="147">
        <f>P133+E134</f>
        <v/>
      </c>
      <c r="Q134" s="147">
        <f>IF(D134&gt;0.005,Mortgage!$B$5*(1+Mortgage!$B$17)^(A134/12),"")</f>
        <v/>
      </c>
      <c r="R134" s="147">
        <f>IF(D134&gt;0.005,Q134-I134,"")</f>
        <v/>
      </c>
      <c r="S134" s="147">
        <f>IF(A134&gt;Mortgage!$B$8*12,0,IF(Mortgage!$B$7=0,MAX(0,Mortgage!$H$5-Mortgage!$H$8*A134),MAX(0,Mortgage!$H$5*(1+(Mortgage!$B$7/12))^A134-Mortgage!$H$8*((1+(Mortgage!$B$7/12))^A134-1)/(Mortgage!$B$7/12))))</f>
        <v/>
      </c>
      <c r="T134" s="149">
        <f>IF(D134&gt;0.005,I134/Mortgage!$B$5,"")</f>
        <v/>
      </c>
      <c r="U134">
        <f>IF(A134&gt;Mortgage!$B$8*12,NA(),B134)</f>
        <v/>
      </c>
      <c r="V134">
        <f>IF(D134&gt;0.005,I134,NA())</f>
        <v/>
      </c>
      <c r="W134">
        <f>IF(A134&gt;Mortgage!$B$8*12,NA(),S134)</f>
        <v/>
      </c>
    </row>
    <row r="135">
      <c r="A135" s="129" t="n">
        <v>130</v>
      </c>
      <c r="B135" s="146">
        <f>EDATE(Mortgage!$B$9,A135-1)</f>
        <v/>
      </c>
      <c r="C135" s="129">
        <f>INT((A135-1)/12)+1</f>
        <v/>
      </c>
      <c r="D135" s="147">
        <f>IF(N(I134)&gt;0.005,I134,0)</f>
        <v/>
      </c>
      <c r="E135" s="147">
        <f>IF(D135&gt;0.005,D135*Mortgage!$B$7/12,0)</f>
        <v/>
      </c>
      <c r="F135" s="147">
        <f>IF(D135&gt;0.005,MIN(Mortgage!$H$8-E135,D135),0)</f>
        <v/>
      </c>
      <c r="G135" s="147">
        <f>IF(D135-F135&gt;0.005,MIN(D135-F135,Mortgage!$B$18+IF(MONTH(B135)=Mortgage!$B$20,Mortgage!$B$19,0)+SUMIFS(Mortgage!$E$6:$E$15,Mortgage!$D$6:$D$15,"&gt;="&amp;B135,Mortgage!$D$6:$D$15,"&lt;"&amp;EDATE(B135,1))+IF(Mortgage!$B$10="Bi-weekly (accelerated)",Mortgage!$H$8/12,0)),0)</f>
        <v/>
      </c>
      <c r="H135" s="147">
        <f>F135+G135</f>
        <v/>
      </c>
      <c r="I135" s="148">
        <f>D135-H135</f>
        <v/>
      </c>
      <c r="J135" s="147">
        <f>E135+F135+G135</f>
        <v/>
      </c>
      <c r="K135" s="147">
        <f>IF(AND(D135&gt;0.005,Mortgage!$H$7&gt;0.8,D135/Mortgage!$B$5&gt;Mortgage!$B$14),Mortgage!$H$5*Mortgage!$B$13/12,0)</f>
        <v/>
      </c>
      <c r="L135" s="147">
        <f>IF(D135&gt;0.005,Mortgage!$B$11/12*(1+Mortgage!$B$16)^(C135-1),0)</f>
        <v/>
      </c>
      <c r="M135" s="147">
        <f>IF(D135&gt;0.005,Mortgage!$B$12/12*(1+Mortgage!$B$16)^(C135-1),0)</f>
        <v/>
      </c>
      <c r="N135" s="147">
        <f>IF(D135&gt;0.005,Mortgage!$B$15,0)</f>
        <v/>
      </c>
      <c r="O135" s="147">
        <f>J135+K135+L135+M135+N135</f>
        <v/>
      </c>
      <c r="P135" s="147">
        <f>P134+E135</f>
        <v/>
      </c>
      <c r="Q135" s="147">
        <f>IF(D135&gt;0.005,Mortgage!$B$5*(1+Mortgage!$B$17)^(A135/12),"")</f>
        <v/>
      </c>
      <c r="R135" s="147">
        <f>IF(D135&gt;0.005,Q135-I135,"")</f>
        <v/>
      </c>
      <c r="S135" s="147">
        <f>IF(A135&gt;Mortgage!$B$8*12,0,IF(Mortgage!$B$7=0,MAX(0,Mortgage!$H$5-Mortgage!$H$8*A135),MAX(0,Mortgage!$H$5*(1+(Mortgage!$B$7/12))^A135-Mortgage!$H$8*((1+(Mortgage!$B$7/12))^A135-1)/(Mortgage!$B$7/12))))</f>
        <v/>
      </c>
      <c r="T135" s="149">
        <f>IF(D135&gt;0.005,I135/Mortgage!$B$5,"")</f>
        <v/>
      </c>
      <c r="U135">
        <f>IF(A135&gt;Mortgage!$B$8*12,NA(),B135)</f>
        <v/>
      </c>
      <c r="V135">
        <f>IF(D135&gt;0.005,I135,NA())</f>
        <v/>
      </c>
      <c r="W135">
        <f>IF(A135&gt;Mortgage!$B$8*12,NA(),S135)</f>
        <v/>
      </c>
    </row>
    <row r="136">
      <c r="A136" s="129" t="n">
        <v>131</v>
      </c>
      <c r="B136" s="146">
        <f>EDATE(Mortgage!$B$9,A136-1)</f>
        <v/>
      </c>
      <c r="C136" s="129">
        <f>INT((A136-1)/12)+1</f>
        <v/>
      </c>
      <c r="D136" s="147">
        <f>IF(N(I135)&gt;0.005,I135,0)</f>
        <v/>
      </c>
      <c r="E136" s="147">
        <f>IF(D136&gt;0.005,D136*Mortgage!$B$7/12,0)</f>
        <v/>
      </c>
      <c r="F136" s="147">
        <f>IF(D136&gt;0.005,MIN(Mortgage!$H$8-E136,D136),0)</f>
        <v/>
      </c>
      <c r="G136" s="147">
        <f>IF(D136-F136&gt;0.005,MIN(D136-F136,Mortgage!$B$18+IF(MONTH(B136)=Mortgage!$B$20,Mortgage!$B$19,0)+SUMIFS(Mortgage!$E$6:$E$15,Mortgage!$D$6:$D$15,"&gt;="&amp;B136,Mortgage!$D$6:$D$15,"&lt;"&amp;EDATE(B136,1))+IF(Mortgage!$B$10="Bi-weekly (accelerated)",Mortgage!$H$8/12,0)),0)</f>
        <v/>
      </c>
      <c r="H136" s="147">
        <f>F136+G136</f>
        <v/>
      </c>
      <c r="I136" s="148">
        <f>D136-H136</f>
        <v/>
      </c>
      <c r="J136" s="147">
        <f>E136+F136+G136</f>
        <v/>
      </c>
      <c r="K136" s="147">
        <f>IF(AND(D136&gt;0.005,Mortgage!$H$7&gt;0.8,D136/Mortgage!$B$5&gt;Mortgage!$B$14),Mortgage!$H$5*Mortgage!$B$13/12,0)</f>
        <v/>
      </c>
      <c r="L136" s="147">
        <f>IF(D136&gt;0.005,Mortgage!$B$11/12*(1+Mortgage!$B$16)^(C136-1),0)</f>
        <v/>
      </c>
      <c r="M136" s="147">
        <f>IF(D136&gt;0.005,Mortgage!$B$12/12*(1+Mortgage!$B$16)^(C136-1),0)</f>
        <v/>
      </c>
      <c r="N136" s="147">
        <f>IF(D136&gt;0.005,Mortgage!$B$15,0)</f>
        <v/>
      </c>
      <c r="O136" s="147">
        <f>J136+K136+L136+M136+N136</f>
        <v/>
      </c>
      <c r="P136" s="147">
        <f>P135+E136</f>
        <v/>
      </c>
      <c r="Q136" s="147">
        <f>IF(D136&gt;0.005,Mortgage!$B$5*(1+Mortgage!$B$17)^(A136/12),"")</f>
        <v/>
      </c>
      <c r="R136" s="147">
        <f>IF(D136&gt;0.005,Q136-I136,"")</f>
        <v/>
      </c>
      <c r="S136" s="147">
        <f>IF(A136&gt;Mortgage!$B$8*12,0,IF(Mortgage!$B$7=0,MAX(0,Mortgage!$H$5-Mortgage!$H$8*A136),MAX(0,Mortgage!$H$5*(1+(Mortgage!$B$7/12))^A136-Mortgage!$H$8*((1+(Mortgage!$B$7/12))^A136-1)/(Mortgage!$B$7/12))))</f>
        <v/>
      </c>
      <c r="T136" s="149">
        <f>IF(D136&gt;0.005,I136/Mortgage!$B$5,"")</f>
        <v/>
      </c>
      <c r="U136">
        <f>IF(A136&gt;Mortgage!$B$8*12,NA(),B136)</f>
        <v/>
      </c>
      <c r="V136">
        <f>IF(D136&gt;0.005,I136,NA())</f>
        <v/>
      </c>
      <c r="W136">
        <f>IF(A136&gt;Mortgage!$B$8*12,NA(),S136)</f>
        <v/>
      </c>
    </row>
    <row r="137">
      <c r="A137" s="129" t="n">
        <v>132</v>
      </c>
      <c r="B137" s="146">
        <f>EDATE(Mortgage!$B$9,A137-1)</f>
        <v/>
      </c>
      <c r="C137" s="129">
        <f>INT((A137-1)/12)+1</f>
        <v/>
      </c>
      <c r="D137" s="147">
        <f>IF(N(I136)&gt;0.005,I136,0)</f>
        <v/>
      </c>
      <c r="E137" s="147">
        <f>IF(D137&gt;0.005,D137*Mortgage!$B$7/12,0)</f>
        <v/>
      </c>
      <c r="F137" s="147">
        <f>IF(D137&gt;0.005,MIN(Mortgage!$H$8-E137,D137),0)</f>
        <v/>
      </c>
      <c r="G137" s="147">
        <f>IF(D137-F137&gt;0.005,MIN(D137-F137,Mortgage!$B$18+IF(MONTH(B137)=Mortgage!$B$20,Mortgage!$B$19,0)+SUMIFS(Mortgage!$E$6:$E$15,Mortgage!$D$6:$D$15,"&gt;="&amp;B137,Mortgage!$D$6:$D$15,"&lt;"&amp;EDATE(B137,1))+IF(Mortgage!$B$10="Bi-weekly (accelerated)",Mortgage!$H$8/12,0)),0)</f>
        <v/>
      </c>
      <c r="H137" s="147">
        <f>F137+G137</f>
        <v/>
      </c>
      <c r="I137" s="148">
        <f>D137-H137</f>
        <v/>
      </c>
      <c r="J137" s="147">
        <f>E137+F137+G137</f>
        <v/>
      </c>
      <c r="K137" s="147">
        <f>IF(AND(D137&gt;0.005,Mortgage!$H$7&gt;0.8,D137/Mortgage!$B$5&gt;Mortgage!$B$14),Mortgage!$H$5*Mortgage!$B$13/12,0)</f>
        <v/>
      </c>
      <c r="L137" s="147">
        <f>IF(D137&gt;0.005,Mortgage!$B$11/12*(1+Mortgage!$B$16)^(C137-1),0)</f>
        <v/>
      </c>
      <c r="M137" s="147">
        <f>IF(D137&gt;0.005,Mortgage!$B$12/12*(1+Mortgage!$B$16)^(C137-1),0)</f>
        <v/>
      </c>
      <c r="N137" s="147">
        <f>IF(D137&gt;0.005,Mortgage!$B$15,0)</f>
        <v/>
      </c>
      <c r="O137" s="147">
        <f>J137+K137+L137+M137+N137</f>
        <v/>
      </c>
      <c r="P137" s="147">
        <f>P136+E137</f>
        <v/>
      </c>
      <c r="Q137" s="147">
        <f>IF(D137&gt;0.005,Mortgage!$B$5*(1+Mortgage!$B$17)^(A137/12),"")</f>
        <v/>
      </c>
      <c r="R137" s="147">
        <f>IF(D137&gt;0.005,Q137-I137,"")</f>
        <v/>
      </c>
      <c r="S137" s="147">
        <f>IF(A137&gt;Mortgage!$B$8*12,0,IF(Mortgage!$B$7=0,MAX(0,Mortgage!$H$5-Mortgage!$H$8*A137),MAX(0,Mortgage!$H$5*(1+(Mortgage!$B$7/12))^A137-Mortgage!$H$8*((1+(Mortgage!$B$7/12))^A137-1)/(Mortgage!$B$7/12))))</f>
        <v/>
      </c>
      <c r="T137" s="149">
        <f>IF(D137&gt;0.005,I137/Mortgage!$B$5,"")</f>
        <v/>
      </c>
      <c r="U137">
        <f>IF(A137&gt;Mortgage!$B$8*12,NA(),B137)</f>
        <v/>
      </c>
      <c r="V137">
        <f>IF(D137&gt;0.005,I137,NA())</f>
        <v/>
      </c>
      <c r="W137">
        <f>IF(A137&gt;Mortgage!$B$8*12,NA(),S137)</f>
        <v/>
      </c>
    </row>
    <row r="138">
      <c r="A138" s="129" t="n">
        <v>133</v>
      </c>
      <c r="B138" s="146">
        <f>EDATE(Mortgage!$B$9,A138-1)</f>
        <v/>
      </c>
      <c r="C138" s="129">
        <f>INT((A138-1)/12)+1</f>
        <v/>
      </c>
      <c r="D138" s="147">
        <f>IF(N(I137)&gt;0.005,I137,0)</f>
        <v/>
      </c>
      <c r="E138" s="147">
        <f>IF(D138&gt;0.005,D138*Mortgage!$B$7/12,0)</f>
        <v/>
      </c>
      <c r="F138" s="147">
        <f>IF(D138&gt;0.005,MIN(Mortgage!$H$8-E138,D138),0)</f>
        <v/>
      </c>
      <c r="G138" s="147">
        <f>IF(D138-F138&gt;0.005,MIN(D138-F138,Mortgage!$B$18+IF(MONTH(B138)=Mortgage!$B$20,Mortgage!$B$19,0)+SUMIFS(Mortgage!$E$6:$E$15,Mortgage!$D$6:$D$15,"&gt;="&amp;B138,Mortgage!$D$6:$D$15,"&lt;"&amp;EDATE(B138,1))+IF(Mortgage!$B$10="Bi-weekly (accelerated)",Mortgage!$H$8/12,0)),0)</f>
        <v/>
      </c>
      <c r="H138" s="147">
        <f>F138+G138</f>
        <v/>
      </c>
      <c r="I138" s="148">
        <f>D138-H138</f>
        <v/>
      </c>
      <c r="J138" s="147">
        <f>E138+F138+G138</f>
        <v/>
      </c>
      <c r="K138" s="147">
        <f>IF(AND(D138&gt;0.005,Mortgage!$H$7&gt;0.8,D138/Mortgage!$B$5&gt;Mortgage!$B$14),Mortgage!$H$5*Mortgage!$B$13/12,0)</f>
        <v/>
      </c>
      <c r="L138" s="147">
        <f>IF(D138&gt;0.005,Mortgage!$B$11/12*(1+Mortgage!$B$16)^(C138-1),0)</f>
        <v/>
      </c>
      <c r="M138" s="147">
        <f>IF(D138&gt;0.005,Mortgage!$B$12/12*(1+Mortgage!$B$16)^(C138-1),0)</f>
        <v/>
      </c>
      <c r="N138" s="147">
        <f>IF(D138&gt;0.005,Mortgage!$B$15,0)</f>
        <v/>
      </c>
      <c r="O138" s="147">
        <f>J138+K138+L138+M138+N138</f>
        <v/>
      </c>
      <c r="P138" s="147">
        <f>P137+E138</f>
        <v/>
      </c>
      <c r="Q138" s="147">
        <f>IF(D138&gt;0.005,Mortgage!$B$5*(1+Mortgage!$B$17)^(A138/12),"")</f>
        <v/>
      </c>
      <c r="R138" s="147">
        <f>IF(D138&gt;0.005,Q138-I138,"")</f>
        <v/>
      </c>
      <c r="S138" s="147">
        <f>IF(A138&gt;Mortgage!$B$8*12,0,IF(Mortgage!$B$7=0,MAX(0,Mortgage!$H$5-Mortgage!$H$8*A138),MAX(0,Mortgage!$H$5*(1+(Mortgage!$B$7/12))^A138-Mortgage!$H$8*((1+(Mortgage!$B$7/12))^A138-1)/(Mortgage!$B$7/12))))</f>
        <v/>
      </c>
      <c r="T138" s="149">
        <f>IF(D138&gt;0.005,I138/Mortgage!$B$5,"")</f>
        <v/>
      </c>
      <c r="U138">
        <f>IF(A138&gt;Mortgage!$B$8*12,NA(),B138)</f>
        <v/>
      </c>
      <c r="V138">
        <f>IF(D138&gt;0.005,I138,NA())</f>
        <v/>
      </c>
      <c r="W138">
        <f>IF(A138&gt;Mortgage!$B$8*12,NA(),S138)</f>
        <v/>
      </c>
    </row>
    <row r="139">
      <c r="A139" s="129" t="n">
        <v>134</v>
      </c>
      <c r="B139" s="146">
        <f>EDATE(Mortgage!$B$9,A139-1)</f>
        <v/>
      </c>
      <c r="C139" s="129">
        <f>INT((A139-1)/12)+1</f>
        <v/>
      </c>
      <c r="D139" s="147">
        <f>IF(N(I138)&gt;0.005,I138,0)</f>
        <v/>
      </c>
      <c r="E139" s="147">
        <f>IF(D139&gt;0.005,D139*Mortgage!$B$7/12,0)</f>
        <v/>
      </c>
      <c r="F139" s="147">
        <f>IF(D139&gt;0.005,MIN(Mortgage!$H$8-E139,D139),0)</f>
        <v/>
      </c>
      <c r="G139" s="147">
        <f>IF(D139-F139&gt;0.005,MIN(D139-F139,Mortgage!$B$18+IF(MONTH(B139)=Mortgage!$B$20,Mortgage!$B$19,0)+SUMIFS(Mortgage!$E$6:$E$15,Mortgage!$D$6:$D$15,"&gt;="&amp;B139,Mortgage!$D$6:$D$15,"&lt;"&amp;EDATE(B139,1))+IF(Mortgage!$B$10="Bi-weekly (accelerated)",Mortgage!$H$8/12,0)),0)</f>
        <v/>
      </c>
      <c r="H139" s="147">
        <f>F139+G139</f>
        <v/>
      </c>
      <c r="I139" s="148">
        <f>D139-H139</f>
        <v/>
      </c>
      <c r="J139" s="147">
        <f>E139+F139+G139</f>
        <v/>
      </c>
      <c r="K139" s="147">
        <f>IF(AND(D139&gt;0.005,Mortgage!$H$7&gt;0.8,D139/Mortgage!$B$5&gt;Mortgage!$B$14),Mortgage!$H$5*Mortgage!$B$13/12,0)</f>
        <v/>
      </c>
      <c r="L139" s="147">
        <f>IF(D139&gt;0.005,Mortgage!$B$11/12*(1+Mortgage!$B$16)^(C139-1),0)</f>
        <v/>
      </c>
      <c r="M139" s="147">
        <f>IF(D139&gt;0.005,Mortgage!$B$12/12*(1+Mortgage!$B$16)^(C139-1),0)</f>
        <v/>
      </c>
      <c r="N139" s="147">
        <f>IF(D139&gt;0.005,Mortgage!$B$15,0)</f>
        <v/>
      </c>
      <c r="O139" s="147">
        <f>J139+K139+L139+M139+N139</f>
        <v/>
      </c>
      <c r="P139" s="147">
        <f>P138+E139</f>
        <v/>
      </c>
      <c r="Q139" s="147">
        <f>IF(D139&gt;0.005,Mortgage!$B$5*(1+Mortgage!$B$17)^(A139/12),"")</f>
        <v/>
      </c>
      <c r="R139" s="147">
        <f>IF(D139&gt;0.005,Q139-I139,"")</f>
        <v/>
      </c>
      <c r="S139" s="147">
        <f>IF(A139&gt;Mortgage!$B$8*12,0,IF(Mortgage!$B$7=0,MAX(0,Mortgage!$H$5-Mortgage!$H$8*A139),MAX(0,Mortgage!$H$5*(1+(Mortgage!$B$7/12))^A139-Mortgage!$H$8*((1+(Mortgage!$B$7/12))^A139-1)/(Mortgage!$B$7/12))))</f>
        <v/>
      </c>
      <c r="T139" s="149">
        <f>IF(D139&gt;0.005,I139/Mortgage!$B$5,"")</f>
        <v/>
      </c>
      <c r="U139">
        <f>IF(A139&gt;Mortgage!$B$8*12,NA(),B139)</f>
        <v/>
      </c>
      <c r="V139">
        <f>IF(D139&gt;0.005,I139,NA())</f>
        <v/>
      </c>
      <c r="W139">
        <f>IF(A139&gt;Mortgage!$B$8*12,NA(),S139)</f>
        <v/>
      </c>
    </row>
    <row r="140">
      <c r="A140" s="129" t="n">
        <v>135</v>
      </c>
      <c r="B140" s="146">
        <f>EDATE(Mortgage!$B$9,A140-1)</f>
        <v/>
      </c>
      <c r="C140" s="129">
        <f>INT((A140-1)/12)+1</f>
        <v/>
      </c>
      <c r="D140" s="147">
        <f>IF(N(I139)&gt;0.005,I139,0)</f>
        <v/>
      </c>
      <c r="E140" s="147">
        <f>IF(D140&gt;0.005,D140*Mortgage!$B$7/12,0)</f>
        <v/>
      </c>
      <c r="F140" s="147">
        <f>IF(D140&gt;0.005,MIN(Mortgage!$H$8-E140,D140),0)</f>
        <v/>
      </c>
      <c r="G140" s="147">
        <f>IF(D140-F140&gt;0.005,MIN(D140-F140,Mortgage!$B$18+IF(MONTH(B140)=Mortgage!$B$20,Mortgage!$B$19,0)+SUMIFS(Mortgage!$E$6:$E$15,Mortgage!$D$6:$D$15,"&gt;="&amp;B140,Mortgage!$D$6:$D$15,"&lt;"&amp;EDATE(B140,1))+IF(Mortgage!$B$10="Bi-weekly (accelerated)",Mortgage!$H$8/12,0)),0)</f>
        <v/>
      </c>
      <c r="H140" s="147">
        <f>F140+G140</f>
        <v/>
      </c>
      <c r="I140" s="148">
        <f>D140-H140</f>
        <v/>
      </c>
      <c r="J140" s="147">
        <f>E140+F140+G140</f>
        <v/>
      </c>
      <c r="K140" s="147">
        <f>IF(AND(D140&gt;0.005,Mortgage!$H$7&gt;0.8,D140/Mortgage!$B$5&gt;Mortgage!$B$14),Mortgage!$H$5*Mortgage!$B$13/12,0)</f>
        <v/>
      </c>
      <c r="L140" s="147">
        <f>IF(D140&gt;0.005,Mortgage!$B$11/12*(1+Mortgage!$B$16)^(C140-1),0)</f>
        <v/>
      </c>
      <c r="M140" s="147">
        <f>IF(D140&gt;0.005,Mortgage!$B$12/12*(1+Mortgage!$B$16)^(C140-1),0)</f>
        <v/>
      </c>
      <c r="N140" s="147">
        <f>IF(D140&gt;0.005,Mortgage!$B$15,0)</f>
        <v/>
      </c>
      <c r="O140" s="147">
        <f>J140+K140+L140+M140+N140</f>
        <v/>
      </c>
      <c r="P140" s="147">
        <f>P139+E140</f>
        <v/>
      </c>
      <c r="Q140" s="147">
        <f>IF(D140&gt;0.005,Mortgage!$B$5*(1+Mortgage!$B$17)^(A140/12),"")</f>
        <v/>
      </c>
      <c r="R140" s="147">
        <f>IF(D140&gt;0.005,Q140-I140,"")</f>
        <v/>
      </c>
      <c r="S140" s="147">
        <f>IF(A140&gt;Mortgage!$B$8*12,0,IF(Mortgage!$B$7=0,MAX(0,Mortgage!$H$5-Mortgage!$H$8*A140),MAX(0,Mortgage!$H$5*(1+(Mortgage!$B$7/12))^A140-Mortgage!$H$8*((1+(Mortgage!$B$7/12))^A140-1)/(Mortgage!$B$7/12))))</f>
        <v/>
      </c>
      <c r="T140" s="149">
        <f>IF(D140&gt;0.005,I140/Mortgage!$B$5,"")</f>
        <v/>
      </c>
      <c r="U140">
        <f>IF(A140&gt;Mortgage!$B$8*12,NA(),B140)</f>
        <v/>
      </c>
      <c r="V140">
        <f>IF(D140&gt;0.005,I140,NA())</f>
        <v/>
      </c>
      <c r="W140">
        <f>IF(A140&gt;Mortgage!$B$8*12,NA(),S140)</f>
        <v/>
      </c>
    </row>
    <row r="141">
      <c r="A141" s="129" t="n">
        <v>136</v>
      </c>
      <c r="B141" s="146">
        <f>EDATE(Mortgage!$B$9,A141-1)</f>
        <v/>
      </c>
      <c r="C141" s="129">
        <f>INT((A141-1)/12)+1</f>
        <v/>
      </c>
      <c r="D141" s="147">
        <f>IF(N(I140)&gt;0.005,I140,0)</f>
        <v/>
      </c>
      <c r="E141" s="147">
        <f>IF(D141&gt;0.005,D141*Mortgage!$B$7/12,0)</f>
        <v/>
      </c>
      <c r="F141" s="147">
        <f>IF(D141&gt;0.005,MIN(Mortgage!$H$8-E141,D141),0)</f>
        <v/>
      </c>
      <c r="G141" s="147">
        <f>IF(D141-F141&gt;0.005,MIN(D141-F141,Mortgage!$B$18+IF(MONTH(B141)=Mortgage!$B$20,Mortgage!$B$19,0)+SUMIFS(Mortgage!$E$6:$E$15,Mortgage!$D$6:$D$15,"&gt;="&amp;B141,Mortgage!$D$6:$D$15,"&lt;"&amp;EDATE(B141,1))+IF(Mortgage!$B$10="Bi-weekly (accelerated)",Mortgage!$H$8/12,0)),0)</f>
        <v/>
      </c>
      <c r="H141" s="147">
        <f>F141+G141</f>
        <v/>
      </c>
      <c r="I141" s="148">
        <f>D141-H141</f>
        <v/>
      </c>
      <c r="J141" s="147">
        <f>E141+F141+G141</f>
        <v/>
      </c>
      <c r="K141" s="147">
        <f>IF(AND(D141&gt;0.005,Mortgage!$H$7&gt;0.8,D141/Mortgage!$B$5&gt;Mortgage!$B$14),Mortgage!$H$5*Mortgage!$B$13/12,0)</f>
        <v/>
      </c>
      <c r="L141" s="147">
        <f>IF(D141&gt;0.005,Mortgage!$B$11/12*(1+Mortgage!$B$16)^(C141-1),0)</f>
        <v/>
      </c>
      <c r="M141" s="147">
        <f>IF(D141&gt;0.005,Mortgage!$B$12/12*(1+Mortgage!$B$16)^(C141-1),0)</f>
        <v/>
      </c>
      <c r="N141" s="147">
        <f>IF(D141&gt;0.005,Mortgage!$B$15,0)</f>
        <v/>
      </c>
      <c r="O141" s="147">
        <f>J141+K141+L141+M141+N141</f>
        <v/>
      </c>
      <c r="P141" s="147">
        <f>P140+E141</f>
        <v/>
      </c>
      <c r="Q141" s="147">
        <f>IF(D141&gt;0.005,Mortgage!$B$5*(1+Mortgage!$B$17)^(A141/12),"")</f>
        <v/>
      </c>
      <c r="R141" s="147">
        <f>IF(D141&gt;0.005,Q141-I141,"")</f>
        <v/>
      </c>
      <c r="S141" s="147">
        <f>IF(A141&gt;Mortgage!$B$8*12,0,IF(Mortgage!$B$7=0,MAX(0,Mortgage!$H$5-Mortgage!$H$8*A141),MAX(0,Mortgage!$H$5*(1+(Mortgage!$B$7/12))^A141-Mortgage!$H$8*((1+(Mortgage!$B$7/12))^A141-1)/(Mortgage!$B$7/12))))</f>
        <v/>
      </c>
      <c r="T141" s="149">
        <f>IF(D141&gt;0.005,I141/Mortgage!$B$5,"")</f>
        <v/>
      </c>
      <c r="U141">
        <f>IF(A141&gt;Mortgage!$B$8*12,NA(),B141)</f>
        <v/>
      </c>
      <c r="V141">
        <f>IF(D141&gt;0.005,I141,NA())</f>
        <v/>
      </c>
      <c r="W141">
        <f>IF(A141&gt;Mortgage!$B$8*12,NA(),S141)</f>
        <v/>
      </c>
    </row>
    <row r="142">
      <c r="A142" s="129" t="n">
        <v>137</v>
      </c>
      <c r="B142" s="146">
        <f>EDATE(Mortgage!$B$9,A142-1)</f>
        <v/>
      </c>
      <c r="C142" s="129">
        <f>INT((A142-1)/12)+1</f>
        <v/>
      </c>
      <c r="D142" s="147">
        <f>IF(N(I141)&gt;0.005,I141,0)</f>
        <v/>
      </c>
      <c r="E142" s="147">
        <f>IF(D142&gt;0.005,D142*Mortgage!$B$7/12,0)</f>
        <v/>
      </c>
      <c r="F142" s="147">
        <f>IF(D142&gt;0.005,MIN(Mortgage!$H$8-E142,D142),0)</f>
        <v/>
      </c>
      <c r="G142" s="147">
        <f>IF(D142-F142&gt;0.005,MIN(D142-F142,Mortgage!$B$18+IF(MONTH(B142)=Mortgage!$B$20,Mortgage!$B$19,0)+SUMIFS(Mortgage!$E$6:$E$15,Mortgage!$D$6:$D$15,"&gt;="&amp;B142,Mortgage!$D$6:$D$15,"&lt;"&amp;EDATE(B142,1))+IF(Mortgage!$B$10="Bi-weekly (accelerated)",Mortgage!$H$8/12,0)),0)</f>
        <v/>
      </c>
      <c r="H142" s="147">
        <f>F142+G142</f>
        <v/>
      </c>
      <c r="I142" s="148">
        <f>D142-H142</f>
        <v/>
      </c>
      <c r="J142" s="147">
        <f>E142+F142+G142</f>
        <v/>
      </c>
      <c r="K142" s="147">
        <f>IF(AND(D142&gt;0.005,Mortgage!$H$7&gt;0.8,D142/Mortgage!$B$5&gt;Mortgage!$B$14),Mortgage!$H$5*Mortgage!$B$13/12,0)</f>
        <v/>
      </c>
      <c r="L142" s="147">
        <f>IF(D142&gt;0.005,Mortgage!$B$11/12*(1+Mortgage!$B$16)^(C142-1),0)</f>
        <v/>
      </c>
      <c r="M142" s="147">
        <f>IF(D142&gt;0.005,Mortgage!$B$12/12*(1+Mortgage!$B$16)^(C142-1),0)</f>
        <v/>
      </c>
      <c r="N142" s="147">
        <f>IF(D142&gt;0.005,Mortgage!$B$15,0)</f>
        <v/>
      </c>
      <c r="O142" s="147">
        <f>J142+K142+L142+M142+N142</f>
        <v/>
      </c>
      <c r="P142" s="147">
        <f>P141+E142</f>
        <v/>
      </c>
      <c r="Q142" s="147">
        <f>IF(D142&gt;0.005,Mortgage!$B$5*(1+Mortgage!$B$17)^(A142/12),"")</f>
        <v/>
      </c>
      <c r="R142" s="147">
        <f>IF(D142&gt;0.005,Q142-I142,"")</f>
        <v/>
      </c>
      <c r="S142" s="147">
        <f>IF(A142&gt;Mortgage!$B$8*12,0,IF(Mortgage!$B$7=0,MAX(0,Mortgage!$H$5-Mortgage!$H$8*A142),MAX(0,Mortgage!$H$5*(1+(Mortgage!$B$7/12))^A142-Mortgage!$H$8*((1+(Mortgage!$B$7/12))^A142-1)/(Mortgage!$B$7/12))))</f>
        <v/>
      </c>
      <c r="T142" s="149">
        <f>IF(D142&gt;0.005,I142/Mortgage!$B$5,"")</f>
        <v/>
      </c>
      <c r="U142">
        <f>IF(A142&gt;Mortgage!$B$8*12,NA(),B142)</f>
        <v/>
      </c>
      <c r="V142">
        <f>IF(D142&gt;0.005,I142,NA())</f>
        <v/>
      </c>
      <c r="W142">
        <f>IF(A142&gt;Mortgage!$B$8*12,NA(),S142)</f>
        <v/>
      </c>
    </row>
    <row r="143">
      <c r="A143" s="129" t="n">
        <v>138</v>
      </c>
      <c r="B143" s="146">
        <f>EDATE(Mortgage!$B$9,A143-1)</f>
        <v/>
      </c>
      <c r="C143" s="129">
        <f>INT((A143-1)/12)+1</f>
        <v/>
      </c>
      <c r="D143" s="147">
        <f>IF(N(I142)&gt;0.005,I142,0)</f>
        <v/>
      </c>
      <c r="E143" s="147">
        <f>IF(D143&gt;0.005,D143*Mortgage!$B$7/12,0)</f>
        <v/>
      </c>
      <c r="F143" s="147">
        <f>IF(D143&gt;0.005,MIN(Mortgage!$H$8-E143,D143),0)</f>
        <v/>
      </c>
      <c r="G143" s="147">
        <f>IF(D143-F143&gt;0.005,MIN(D143-F143,Mortgage!$B$18+IF(MONTH(B143)=Mortgage!$B$20,Mortgage!$B$19,0)+SUMIFS(Mortgage!$E$6:$E$15,Mortgage!$D$6:$D$15,"&gt;="&amp;B143,Mortgage!$D$6:$D$15,"&lt;"&amp;EDATE(B143,1))+IF(Mortgage!$B$10="Bi-weekly (accelerated)",Mortgage!$H$8/12,0)),0)</f>
        <v/>
      </c>
      <c r="H143" s="147">
        <f>F143+G143</f>
        <v/>
      </c>
      <c r="I143" s="148">
        <f>D143-H143</f>
        <v/>
      </c>
      <c r="J143" s="147">
        <f>E143+F143+G143</f>
        <v/>
      </c>
      <c r="K143" s="147">
        <f>IF(AND(D143&gt;0.005,Mortgage!$H$7&gt;0.8,D143/Mortgage!$B$5&gt;Mortgage!$B$14),Mortgage!$H$5*Mortgage!$B$13/12,0)</f>
        <v/>
      </c>
      <c r="L143" s="147">
        <f>IF(D143&gt;0.005,Mortgage!$B$11/12*(1+Mortgage!$B$16)^(C143-1),0)</f>
        <v/>
      </c>
      <c r="M143" s="147">
        <f>IF(D143&gt;0.005,Mortgage!$B$12/12*(1+Mortgage!$B$16)^(C143-1),0)</f>
        <v/>
      </c>
      <c r="N143" s="147">
        <f>IF(D143&gt;0.005,Mortgage!$B$15,0)</f>
        <v/>
      </c>
      <c r="O143" s="147">
        <f>J143+K143+L143+M143+N143</f>
        <v/>
      </c>
      <c r="P143" s="147">
        <f>P142+E143</f>
        <v/>
      </c>
      <c r="Q143" s="147">
        <f>IF(D143&gt;0.005,Mortgage!$B$5*(1+Mortgage!$B$17)^(A143/12),"")</f>
        <v/>
      </c>
      <c r="R143" s="147">
        <f>IF(D143&gt;0.005,Q143-I143,"")</f>
        <v/>
      </c>
      <c r="S143" s="147">
        <f>IF(A143&gt;Mortgage!$B$8*12,0,IF(Mortgage!$B$7=0,MAX(0,Mortgage!$H$5-Mortgage!$H$8*A143),MAX(0,Mortgage!$H$5*(1+(Mortgage!$B$7/12))^A143-Mortgage!$H$8*((1+(Mortgage!$B$7/12))^A143-1)/(Mortgage!$B$7/12))))</f>
        <v/>
      </c>
      <c r="T143" s="149">
        <f>IF(D143&gt;0.005,I143/Mortgage!$B$5,"")</f>
        <v/>
      </c>
      <c r="U143">
        <f>IF(A143&gt;Mortgage!$B$8*12,NA(),B143)</f>
        <v/>
      </c>
      <c r="V143">
        <f>IF(D143&gt;0.005,I143,NA())</f>
        <v/>
      </c>
      <c r="W143">
        <f>IF(A143&gt;Mortgage!$B$8*12,NA(),S143)</f>
        <v/>
      </c>
    </row>
    <row r="144">
      <c r="A144" s="129" t="n">
        <v>139</v>
      </c>
      <c r="B144" s="146">
        <f>EDATE(Mortgage!$B$9,A144-1)</f>
        <v/>
      </c>
      <c r="C144" s="129">
        <f>INT((A144-1)/12)+1</f>
        <v/>
      </c>
      <c r="D144" s="147">
        <f>IF(N(I143)&gt;0.005,I143,0)</f>
        <v/>
      </c>
      <c r="E144" s="147">
        <f>IF(D144&gt;0.005,D144*Mortgage!$B$7/12,0)</f>
        <v/>
      </c>
      <c r="F144" s="147">
        <f>IF(D144&gt;0.005,MIN(Mortgage!$H$8-E144,D144),0)</f>
        <v/>
      </c>
      <c r="G144" s="147">
        <f>IF(D144-F144&gt;0.005,MIN(D144-F144,Mortgage!$B$18+IF(MONTH(B144)=Mortgage!$B$20,Mortgage!$B$19,0)+SUMIFS(Mortgage!$E$6:$E$15,Mortgage!$D$6:$D$15,"&gt;="&amp;B144,Mortgage!$D$6:$D$15,"&lt;"&amp;EDATE(B144,1))+IF(Mortgage!$B$10="Bi-weekly (accelerated)",Mortgage!$H$8/12,0)),0)</f>
        <v/>
      </c>
      <c r="H144" s="147">
        <f>F144+G144</f>
        <v/>
      </c>
      <c r="I144" s="148">
        <f>D144-H144</f>
        <v/>
      </c>
      <c r="J144" s="147">
        <f>E144+F144+G144</f>
        <v/>
      </c>
      <c r="K144" s="147">
        <f>IF(AND(D144&gt;0.005,Mortgage!$H$7&gt;0.8,D144/Mortgage!$B$5&gt;Mortgage!$B$14),Mortgage!$H$5*Mortgage!$B$13/12,0)</f>
        <v/>
      </c>
      <c r="L144" s="147">
        <f>IF(D144&gt;0.005,Mortgage!$B$11/12*(1+Mortgage!$B$16)^(C144-1),0)</f>
        <v/>
      </c>
      <c r="M144" s="147">
        <f>IF(D144&gt;0.005,Mortgage!$B$12/12*(1+Mortgage!$B$16)^(C144-1),0)</f>
        <v/>
      </c>
      <c r="N144" s="147">
        <f>IF(D144&gt;0.005,Mortgage!$B$15,0)</f>
        <v/>
      </c>
      <c r="O144" s="147">
        <f>J144+K144+L144+M144+N144</f>
        <v/>
      </c>
      <c r="P144" s="147">
        <f>P143+E144</f>
        <v/>
      </c>
      <c r="Q144" s="147">
        <f>IF(D144&gt;0.005,Mortgage!$B$5*(1+Mortgage!$B$17)^(A144/12),"")</f>
        <v/>
      </c>
      <c r="R144" s="147">
        <f>IF(D144&gt;0.005,Q144-I144,"")</f>
        <v/>
      </c>
      <c r="S144" s="147">
        <f>IF(A144&gt;Mortgage!$B$8*12,0,IF(Mortgage!$B$7=0,MAX(0,Mortgage!$H$5-Mortgage!$H$8*A144),MAX(0,Mortgage!$H$5*(1+(Mortgage!$B$7/12))^A144-Mortgage!$H$8*((1+(Mortgage!$B$7/12))^A144-1)/(Mortgage!$B$7/12))))</f>
        <v/>
      </c>
      <c r="T144" s="149">
        <f>IF(D144&gt;0.005,I144/Mortgage!$B$5,"")</f>
        <v/>
      </c>
      <c r="U144">
        <f>IF(A144&gt;Mortgage!$B$8*12,NA(),B144)</f>
        <v/>
      </c>
      <c r="V144">
        <f>IF(D144&gt;0.005,I144,NA())</f>
        <v/>
      </c>
      <c r="W144">
        <f>IF(A144&gt;Mortgage!$B$8*12,NA(),S144)</f>
        <v/>
      </c>
    </row>
    <row r="145">
      <c r="A145" s="129" t="n">
        <v>140</v>
      </c>
      <c r="B145" s="146">
        <f>EDATE(Mortgage!$B$9,A145-1)</f>
        <v/>
      </c>
      <c r="C145" s="129">
        <f>INT((A145-1)/12)+1</f>
        <v/>
      </c>
      <c r="D145" s="147">
        <f>IF(N(I144)&gt;0.005,I144,0)</f>
        <v/>
      </c>
      <c r="E145" s="147">
        <f>IF(D145&gt;0.005,D145*Mortgage!$B$7/12,0)</f>
        <v/>
      </c>
      <c r="F145" s="147">
        <f>IF(D145&gt;0.005,MIN(Mortgage!$H$8-E145,D145),0)</f>
        <v/>
      </c>
      <c r="G145" s="147">
        <f>IF(D145-F145&gt;0.005,MIN(D145-F145,Mortgage!$B$18+IF(MONTH(B145)=Mortgage!$B$20,Mortgage!$B$19,0)+SUMIFS(Mortgage!$E$6:$E$15,Mortgage!$D$6:$D$15,"&gt;="&amp;B145,Mortgage!$D$6:$D$15,"&lt;"&amp;EDATE(B145,1))+IF(Mortgage!$B$10="Bi-weekly (accelerated)",Mortgage!$H$8/12,0)),0)</f>
        <v/>
      </c>
      <c r="H145" s="147">
        <f>F145+G145</f>
        <v/>
      </c>
      <c r="I145" s="148">
        <f>D145-H145</f>
        <v/>
      </c>
      <c r="J145" s="147">
        <f>E145+F145+G145</f>
        <v/>
      </c>
      <c r="K145" s="147">
        <f>IF(AND(D145&gt;0.005,Mortgage!$H$7&gt;0.8,D145/Mortgage!$B$5&gt;Mortgage!$B$14),Mortgage!$H$5*Mortgage!$B$13/12,0)</f>
        <v/>
      </c>
      <c r="L145" s="147">
        <f>IF(D145&gt;0.005,Mortgage!$B$11/12*(1+Mortgage!$B$16)^(C145-1),0)</f>
        <v/>
      </c>
      <c r="M145" s="147">
        <f>IF(D145&gt;0.005,Mortgage!$B$12/12*(1+Mortgage!$B$16)^(C145-1),0)</f>
        <v/>
      </c>
      <c r="N145" s="147">
        <f>IF(D145&gt;0.005,Mortgage!$B$15,0)</f>
        <v/>
      </c>
      <c r="O145" s="147">
        <f>J145+K145+L145+M145+N145</f>
        <v/>
      </c>
      <c r="P145" s="147">
        <f>P144+E145</f>
        <v/>
      </c>
      <c r="Q145" s="147">
        <f>IF(D145&gt;0.005,Mortgage!$B$5*(1+Mortgage!$B$17)^(A145/12),"")</f>
        <v/>
      </c>
      <c r="R145" s="147">
        <f>IF(D145&gt;0.005,Q145-I145,"")</f>
        <v/>
      </c>
      <c r="S145" s="147">
        <f>IF(A145&gt;Mortgage!$B$8*12,0,IF(Mortgage!$B$7=0,MAX(0,Mortgage!$H$5-Mortgage!$H$8*A145),MAX(0,Mortgage!$H$5*(1+(Mortgage!$B$7/12))^A145-Mortgage!$H$8*((1+(Mortgage!$B$7/12))^A145-1)/(Mortgage!$B$7/12))))</f>
        <v/>
      </c>
      <c r="T145" s="149">
        <f>IF(D145&gt;0.005,I145/Mortgage!$B$5,"")</f>
        <v/>
      </c>
      <c r="U145">
        <f>IF(A145&gt;Mortgage!$B$8*12,NA(),B145)</f>
        <v/>
      </c>
      <c r="V145">
        <f>IF(D145&gt;0.005,I145,NA())</f>
        <v/>
      </c>
      <c r="W145">
        <f>IF(A145&gt;Mortgage!$B$8*12,NA(),S145)</f>
        <v/>
      </c>
    </row>
    <row r="146">
      <c r="A146" s="129" t="n">
        <v>141</v>
      </c>
      <c r="B146" s="146">
        <f>EDATE(Mortgage!$B$9,A146-1)</f>
        <v/>
      </c>
      <c r="C146" s="129">
        <f>INT((A146-1)/12)+1</f>
        <v/>
      </c>
      <c r="D146" s="147">
        <f>IF(N(I145)&gt;0.005,I145,0)</f>
        <v/>
      </c>
      <c r="E146" s="147">
        <f>IF(D146&gt;0.005,D146*Mortgage!$B$7/12,0)</f>
        <v/>
      </c>
      <c r="F146" s="147">
        <f>IF(D146&gt;0.005,MIN(Mortgage!$H$8-E146,D146),0)</f>
        <v/>
      </c>
      <c r="G146" s="147">
        <f>IF(D146-F146&gt;0.005,MIN(D146-F146,Mortgage!$B$18+IF(MONTH(B146)=Mortgage!$B$20,Mortgage!$B$19,0)+SUMIFS(Mortgage!$E$6:$E$15,Mortgage!$D$6:$D$15,"&gt;="&amp;B146,Mortgage!$D$6:$D$15,"&lt;"&amp;EDATE(B146,1))+IF(Mortgage!$B$10="Bi-weekly (accelerated)",Mortgage!$H$8/12,0)),0)</f>
        <v/>
      </c>
      <c r="H146" s="147">
        <f>F146+G146</f>
        <v/>
      </c>
      <c r="I146" s="148">
        <f>D146-H146</f>
        <v/>
      </c>
      <c r="J146" s="147">
        <f>E146+F146+G146</f>
        <v/>
      </c>
      <c r="K146" s="147">
        <f>IF(AND(D146&gt;0.005,Mortgage!$H$7&gt;0.8,D146/Mortgage!$B$5&gt;Mortgage!$B$14),Mortgage!$H$5*Mortgage!$B$13/12,0)</f>
        <v/>
      </c>
      <c r="L146" s="147">
        <f>IF(D146&gt;0.005,Mortgage!$B$11/12*(1+Mortgage!$B$16)^(C146-1),0)</f>
        <v/>
      </c>
      <c r="M146" s="147">
        <f>IF(D146&gt;0.005,Mortgage!$B$12/12*(1+Mortgage!$B$16)^(C146-1),0)</f>
        <v/>
      </c>
      <c r="N146" s="147">
        <f>IF(D146&gt;0.005,Mortgage!$B$15,0)</f>
        <v/>
      </c>
      <c r="O146" s="147">
        <f>J146+K146+L146+M146+N146</f>
        <v/>
      </c>
      <c r="P146" s="147">
        <f>P145+E146</f>
        <v/>
      </c>
      <c r="Q146" s="147">
        <f>IF(D146&gt;0.005,Mortgage!$B$5*(1+Mortgage!$B$17)^(A146/12),"")</f>
        <v/>
      </c>
      <c r="R146" s="147">
        <f>IF(D146&gt;0.005,Q146-I146,"")</f>
        <v/>
      </c>
      <c r="S146" s="147">
        <f>IF(A146&gt;Mortgage!$B$8*12,0,IF(Mortgage!$B$7=0,MAX(0,Mortgage!$H$5-Mortgage!$H$8*A146),MAX(0,Mortgage!$H$5*(1+(Mortgage!$B$7/12))^A146-Mortgage!$H$8*((1+(Mortgage!$B$7/12))^A146-1)/(Mortgage!$B$7/12))))</f>
        <v/>
      </c>
      <c r="T146" s="149">
        <f>IF(D146&gt;0.005,I146/Mortgage!$B$5,"")</f>
        <v/>
      </c>
      <c r="U146">
        <f>IF(A146&gt;Mortgage!$B$8*12,NA(),B146)</f>
        <v/>
      </c>
      <c r="V146">
        <f>IF(D146&gt;0.005,I146,NA())</f>
        <v/>
      </c>
      <c r="W146">
        <f>IF(A146&gt;Mortgage!$B$8*12,NA(),S146)</f>
        <v/>
      </c>
    </row>
    <row r="147">
      <c r="A147" s="129" t="n">
        <v>142</v>
      </c>
      <c r="B147" s="146">
        <f>EDATE(Mortgage!$B$9,A147-1)</f>
        <v/>
      </c>
      <c r="C147" s="129">
        <f>INT((A147-1)/12)+1</f>
        <v/>
      </c>
      <c r="D147" s="147">
        <f>IF(N(I146)&gt;0.005,I146,0)</f>
        <v/>
      </c>
      <c r="E147" s="147">
        <f>IF(D147&gt;0.005,D147*Mortgage!$B$7/12,0)</f>
        <v/>
      </c>
      <c r="F147" s="147">
        <f>IF(D147&gt;0.005,MIN(Mortgage!$H$8-E147,D147),0)</f>
        <v/>
      </c>
      <c r="G147" s="147">
        <f>IF(D147-F147&gt;0.005,MIN(D147-F147,Mortgage!$B$18+IF(MONTH(B147)=Mortgage!$B$20,Mortgage!$B$19,0)+SUMIFS(Mortgage!$E$6:$E$15,Mortgage!$D$6:$D$15,"&gt;="&amp;B147,Mortgage!$D$6:$D$15,"&lt;"&amp;EDATE(B147,1))+IF(Mortgage!$B$10="Bi-weekly (accelerated)",Mortgage!$H$8/12,0)),0)</f>
        <v/>
      </c>
      <c r="H147" s="147">
        <f>F147+G147</f>
        <v/>
      </c>
      <c r="I147" s="148">
        <f>D147-H147</f>
        <v/>
      </c>
      <c r="J147" s="147">
        <f>E147+F147+G147</f>
        <v/>
      </c>
      <c r="K147" s="147">
        <f>IF(AND(D147&gt;0.005,Mortgage!$H$7&gt;0.8,D147/Mortgage!$B$5&gt;Mortgage!$B$14),Mortgage!$H$5*Mortgage!$B$13/12,0)</f>
        <v/>
      </c>
      <c r="L147" s="147">
        <f>IF(D147&gt;0.005,Mortgage!$B$11/12*(1+Mortgage!$B$16)^(C147-1),0)</f>
        <v/>
      </c>
      <c r="M147" s="147">
        <f>IF(D147&gt;0.005,Mortgage!$B$12/12*(1+Mortgage!$B$16)^(C147-1),0)</f>
        <v/>
      </c>
      <c r="N147" s="147">
        <f>IF(D147&gt;0.005,Mortgage!$B$15,0)</f>
        <v/>
      </c>
      <c r="O147" s="147">
        <f>J147+K147+L147+M147+N147</f>
        <v/>
      </c>
      <c r="P147" s="147">
        <f>P146+E147</f>
        <v/>
      </c>
      <c r="Q147" s="147">
        <f>IF(D147&gt;0.005,Mortgage!$B$5*(1+Mortgage!$B$17)^(A147/12),"")</f>
        <v/>
      </c>
      <c r="R147" s="147">
        <f>IF(D147&gt;0.005,Q147-I147,"")</f>
        <v/>
      </c>
      <c r="S147" s="147">
        <f>IF(A147&gt;Mortgage!$B$8*12,0,IF(Mortgage!$B$7=0,MAX(0,Mortgage!$H$5-Mortgage!$H$8*A147),MAX(0,Mortgage!$H$5*(1+(Mortgage!$B$7/12))^A147-Mortgage!$H$8*((1+(Mortgage!$B$7/12))^A147-1)/(Mortgage!$B$7/12))))</f>
        <v/>
      </c>
      <c r="T147" s="149">
        <f>IF(D147&gt;0.005,I147/Mortgage!$B$5,"")</f>
        <v/>
      </c>
      <c r="U147">
        <f>IF(A147&gt;Mortgage!$B$8*12,NA(),B147)</f>
        <v/>
      </c>
      <c r="V147">
        <f>IF(D147&gt;0.005,I147,NA())</f>
        <v/>
      </c>
      <c r="W147">
        <f>IF(A147&gt;Mortgage!$B$8*12,NA(),S147)</f>
        <v/>
      </c>
    </row>
    <row r="148">
      <c r="A148" s="129" t="n">
        <v>143</v>
      </c>
      <c r="B148" s="146">
        <f>EDATE(Mortgage!$B$9,A148-1)</f>
        <v/>
      </c>
      <c r="C148" s="129">
        <f>INT((A148-1)/12)+1</f>
        <v/>
      </c>
      <c r="D148" s="147">
        <f>IF(N(I147)&gt;0.005,I147,0)</f>
        <v/>
      </c>
      <c r="E148" s="147">
        <f>IF(D148&gt;0.005,D148*Mortgage!$B$7/12,0)</f>
        <v/>
      </c>
      <c r="F148" s="147">
        <f>IF(D148&gt;0.005,MIN(Mortgage!$H$8-E148,D148),0)</f>
        <v/>
      </c>
      <c r="G148" s="147">
        <f>IF(D148-F148&gt;0.005,MIN(D148-F148,Mortgage!$B$18+IF(MONTH(B148)=Mortgage!$B$20,Mortgage!$B$19,0)+SUMIFS(Mortgage!$E$6:$E$15,Mortgage!$D$6:$D$15,"&gt;="&amp;B148,Mortgage!$D$6:$D$15,"&lt;"&amp;EDATE(B148,1))+IF(Mortgage!$B$10="Bi-weekly (accelerated)",Mortgage!$H$8/12,0)),0)</f>
        <v/>
      </c>
      <c r="H148" s="147">
        <f>F148+G148</f>
        <v/>
      </c>
      <c r="I148" s="148">
        <f>D148-H148</f>
        <v/>
      </c>
      <c r="J148" s="147">
        <f>E148+F148+G148</f>
        <v/>
      </c>
      <c r="K148" s="147">
        <f>IF(AND(D148&gt;0.005,Mortgage!$H$7&gt;0.8,D148/Mortgage!$B$5&gt;Mortgage!$B$14),Mortgage!$H$5*Mortgage!$B$13/12,0)</f>
        <v/>
      </c>
      <c r="L148" s="147">
        <f>IF(D148&gt;0.005,Mortgage!$B$11/12*(1+Mortgage!$B$16)^(C148-1),0)</f>
        <v/>
      </c>
      <c r="M148" s="147">
        <f>IF(D148&gt;0.005,Mortgage!$B$12/12*(1+Mortgage!$B$16)^(C148-1),0)</f>
        <v/>
      </c>
      <c r="N148" s="147">
        <f>IF(D148&gt;0.005,Mortgage!$B$15,0)</f>
        <v/>
      </c>
      <c r="O148" s="147">
        <f>J148+K148+L148+M148+N148</f>
        <v/>
      </c>
      <c r="P148" s="147">
        <f>P147+E148</f>
        <v/>
      </c>
      <c r="Q148" s="147">
        <f>IF(D148&gt;0.005,Mortgage!$B$5*(1+Mortgage!$B$17)^(A148/12),"")</f>
        <v/>
      </c>
      <c r="R148" s="147">
        <f>IF(D148&gt;0.005,Q148-I148,"")</f>
        <v/>
      </c>
      <c r="S148" s="147">
        <f>IF(A148&gt;Mortgage!$B$8*12,0,IF(Mortgage!$B$7=0,MAX(0,Mortgage!$H$5-Mortgage!$H$8*A148),MAX(0,Mortgage!$H$5*(1+(Mortgage!$B$7/12))^A148-Mortgage!$H$8*((1+(Mortgage!$B$7/12))^A148-1)/(Mortgage!$B$7/12))))</f>
        <v/>
      </c>
      <c r="T148" s="149">
        <f>IF(D148&gt;0.005,I148/Mortgage!$B$5,"")</f>
        <v/>
      </c>
      <c r="U148">
        <f>IF(A148&gt;Mortgage!$B$8*12,NA(),B148)</f>
        <v/>
      </c>
      <c r="V148">
        <f>IF(D148&gt;0.005,I148,NA())</f>
        <v/>
      </c>
      <c r="W148">
        <f>IF(A148&gt;Mortgage!$B$8*12,NA(),S148)</f>
        <v/>
      </c>
    </row>
    <row r="149">
      <c r="A149" s="129" t="n">
        <v>144</v>
      </c>
      <c r="B149" s="146">
        <f>EDATE(Mortgage!$B$9,A149-1)</f>
        <v/>
      </c>
      <c r="C149" s="129">
        <f>INT((A149-1)/12)+1</f>
        <v/>
      </c>
      <c r="D149" s="147">
        <f>IF(N(I148)&gt;0.005,I148,0)</f>
        <v/>
      </c>
      <c r="E149" s="147">
        <f>IF(D149&gt;0.005,D149*Mortgage!$B$7/12,0)</f>
        <v/>
      </c>
      <c r="F149" s="147">
        <f>IF(D149&gt;0.005,MIN(Mortgage!$H$8-E149,D149),0)</f>
        <v/>
      </c>
      <c r="G149" s="147">
        <f>IF(D149-F149&gt;0.005,MIN(D149-F149,Mortgage!$B$18+IF(MONTH(B149)=Mortgage!$B$20,Mortgage!$B$19,0)+SUMIFS(Mortgage!$E$6:$E$15,Mortgage!$D$6:$D$15,"&gt;="&amp;B149,Mortgage!$D$6:$D$15,"&lt;"&amp;EDATE(B149,1))+IF(Mortgage!$B$10="Bi-weekly (accelerated)",Mortgage!$H$8/12,0)),0)</f>
        <v/>
      </c>
      <c r="H149" s="147">
        <f>F149+G149</f>
        <v/>
      </c>
      <c r="I149" s="148">
        <f>D149-H149</f>
        <v/>
      </c>
      <c r="J149" s="147">
        <f>E149+F149+G149</f>
        <v/>
      </c>
      <c r="K149" s="147">
        <f>IF(AND(D149&gt;0.005,Mortgage!$H$7&gt;0.8,D149/Mortgage!$B$5&gt;Mortgage!$B$14),Mortgage!$H$5*Mortgage!$B$13/12,0)</f>
        <v/>
      </c>
      <c r="L149" s="147">
        <f>IF(D149&gt;0.005,Mortgage!$B$11/12*(1+Mortgage!$B$16)^(C149-1),0)</f>
        <v/>
      </c>
      <c r="M149" s="147">
        <f>IF(D149&gt;0.005,Mortgage!$B$12/12*(1+Mortgage!$B$16)^(C149-1),0)</f>
        <v/>
      </c>
      <c r="N149" s="147">
        <f>IF(D149&gt;0.005,Mortgage!$B$15,0)</f>
        <v/>
      </c>
      <c r="O149" s="147">
        <f>J149+K149+L149+M149+N149</f>
        <v/>
      </c>
      <c r="P149" s="147">
        <f>P148+E149</f>
        <v/>
      </c>
      <c r="Q149" s="147">
        <f>IF(D149&gt;0.005,Mortgage!$B$5*(1+Mortgage!$B$17)^(A149/12),"")</f>
        <v/>
      </c>
      <c r="R149" s="147">
        <f>IF(D149&gt;0.005,Q149-I149,"")</f>
        <v/>
      </c>
      <c r="S149" s="147">
        <f>IF(A149&gt;Mortgage!$B$8*12,0,IF(Mortgage!$B$7=0,MAX(0,Mortgage!$H$5-Mortgage!$H$8*A149),MAX(0,Mortgage!$H$5*(1+(Mortgage!$B$7/12))^A149-Mortgage!$H$8*((1+(Mortgage!$B$7/12))^A149-1)/(Mortgage!$B$7/12))))</f>
        <v/>
      </c>
      <c r="T149" s="149">
        <f>IF(D149&gt;0.005,I149/Mortgage!$B$5,"")</f>
        <v/>
      </c>
      <c r="U149">
        <f>IF(A149&gt;Mortgage!$B$8*12,NA(),B149)</f>
        <v/>
      </c>
      <c r="V149">
        <f>IF(D149&gt;0.005,I149,NA())</f>
        <v/>
      </c>
      <c r="W149">
        <f>IF(A149&gt;Mortgage!$B$8*12,NA(),S149)</f>
        <v/>
      </c>
    </row>
    <row r="150">
      <c r="A150" s="129" t="n">
        <v>145</v>
      </c>
      <c r="B150" s="146">
        <f>EDATE(Mortgage!$B$9,A150-1)</f>
        <v/>
      </c>
      <c r="C150" s="129">
        <f>INT((A150-1)/12)+1</f>
        <v/>
      </c>
      <c r="D150" s="147">
        <f>IF(N(I149)&gt;0.005,I149,0)</f>
        <v/>
      </c>
      <c r="E150" s="147">
        <f>IF(D150&gt;0.005,D150*Mortgage!$B$7/12,0)</f>
        <v/>
      </c>
      <c r="F150" s="147">
        <f>IF(D150&gt;0.005,MIN(Mortgage!$H$8-E150,D150),0)</f>
        <v/>
      </c>
      <c r="G150" s="147">
        <f>IF(D150-F150&gt;0.005,MIN(D150-F150,Mortgage!$B$18+IF(MONTH(B150)=Mortgage!$B$20,Mortgage!$B$19,0)+SUMIFS(Mortgage!$E$6:$E$15,Mortgage!$D$6:$D$15,"&gt;="&amp;B150,Mortgage!$D$6:$D$15,"&lt;"&amp;EDATE(B150,1))+IF(Mortgage!$B$10="Bi-weekly (accelerated)",Mortgage!$H$8/12,0)),0)</f>
        <v/>
      </c>
      <c r="H150" s="147">
        <f>F150+G150</f>
        <v/>
      </c>
      <c r="I150" s="148">
        <f>D150-H150</f>
        <v/>
      </c>
      <c r="J150" s="147">
        <f>E150+F150+G150</f>
        <v/>
      </c>
      <c r="K150" s="147">
        <f>IF(AND(D150&gt;0.005,Mortgage!$H$7&gt;0.8,D150/Mortgage!$B$5&gt;Mortgage!$B$14),Mortgage!$H$5*Mortgage!$B$13/12,0)</f>
        <v/>
      </c>
      <c r="L150" s="147">
        <f>IF(D150&gt;0.005,Mortgage!$B$11/12*(1+Mortgage!$B$16)^(C150-1),0)</f>
        <v/>
      </c>
      <c r="M150" s="147">
        <f>IF(D150&gt;0.005,Mortgage!$B$12/12*(1+Mortgage!$B$16)^(C150-1),0)</f>
        <v/>
      </c>
      <c r="N150" s="147">
        <f>IF(D150&gt;0.005,Mortgage!$B$15,0)</f>
        <v/>
      </c>
      <c r="O150" s="147">
        <f>J150+K150+L150+M150+N150</f>
        <v/>
      </c>
      <c r="P150" s="147">
        <f>P149+E150</f>
        <v/>
      </c>
      <c r="Q150" s="147">
        <f>IF(D150&gt;0.005,Mortgage!$B$5*(1+Mortgage!$B$17)^(A150/12),"")</f>
        <v/>
      </c>
      <c r="R150" s="147">
        <f>IF(D150&gt;0.005,Q150-I150,"")</f>
        <v/>
      </c>
      <c r="S150" s="147">
        <f>IF(A150&gt;Mortgage!$B$8*12,0,IF(Mortgage!$B$7=0,MAX(0,Mortgage!$H$5-Mortgage!$H$8*A150),MAX(0,Mortgage!$H$5*(1+(Mortgage!$B$7/12))^A150-Mortgage!$H$8*((1+(Mortgage!$B$7/12))^A150-1)/(Mortgage!$B$7/12))))</f>
        <v/>
      </c>
      <c r="T150" s="149">
        <f>IF(D150&gt;0.005,I150/Mortgage!$B$5,"")</f>
        <v/>
      </c>
      <c r="U150">
        <f>IF(A150&gt;Mortgage!$B$8*12,NA(),B150)</f>
        <v/>
      </c>
      <c r="V150">
        <f>IF(D150&gt;0.005,I150,NA())</f>
        <v/>
      </c>
      <c r="W150">
        <f>IF(A150&gt;Mortgage!$B$8*12,NA(),S150)</f>
        <v/>
      </c>
    </row>
    <row r="151">
      <c r="A151" s="129" t="n">
        <v>146</v>
      </c>
      <c r="B151" s="146">
        <f>EDATE(Mortgage!$B$9,A151-1)</f>
        <v/>
      </c>
      <c r="C151" s="129">
        <f>INT((A151-1)/12)+1</f>
        <v/>
      </c>
      <c r="D151" s="147">
        <f>IF(N(I150)&gt;0.005,I150,0)</f>
        <v/>
      </c>
      <c r="E151" s="147">
        <f>IF(D151&gt;0.005,D151*Mortgage!$B$7/12,0)</f>
        <v/>
      </c>
      <c r="F151" s="147">
        <f>IF(D151&gt;0.005,MIN(Mortgage!$H$8-E151,D151),0)</f>
        <v/>
      </c>
      <c r="G151" s="147">
        <f>IF(D151-F151&gt;0.005,MIN(D151-F151,Mortgage!$B$18+IF(MONTH(B151)=Mortgage!$B$20,Mortgage!$B$19,0)+SUMIFS(Mortgage!$E$6:$E$15,Mortgage!$D$6:$D$15,"&gt;="&amp;B151,Mortgage!$D$6:$D$15,"&lt;"&amp;EDATE(B151,1))+IF(Mortgage!$B$10="Bi-weekly (accelerated)",Mortgage!$H$8/12,0)),0)</f>
        <v/>
      </c>
      <c r="H151" s="147">
        <f>F151+G151</f>
        <v/>
      </c>
      <c r="I151" s="148">
        <f>D151-H151</f>
        <v/>
      </c>
      <c r="J151" s="147">
        <f>E151+F151+G151</f>
        <v/>
      </c>
      <c r="K151" s="147">
        <f>IF(AND(D151&gt;0.005,Mortgage!$H$7&gt;0.8,D151/Mortgage!$B$5&gt;Mortgage!$B$14),Mortgage!$H$5*Mortgage!$B$13/12,0)</f>
        <v/>
      </c>
      <c r="L151" s="147">
        <f>IF(D151&gt;0.005,Mortgage!$B$11/12*(1+Mortgage!$B$16)^(C151-1),0)</f>
        <v/>
      </c>
      <c r="M151" s="147">
        <f>IF(D151&gt;0.005,Mortgage!$B$12/12*(1+Mortgage!$B$16)^(C151-1),0)</f>
        <v/>
      </c>
      <c r="N151" s="147">
        <f>IF(D151&gt;0.005,Mortgage!$B$15,0)</f>
        <v/>
      </c>
      <c r="O151" s="147">
        <f>J151+K151+L151+M151+N151</f>
        <v/>
      </c>
      <c r="P151" s="147">
        <f>P150+E151</f>
        <v/>
      </c>
      <c r="Q151" s="147">
        <f>IF(D151&gt;0.005,Mortgage!$B$5*(1+Mortgage!$B$17)^(A151/12),"")</f>
        <v/>
      </c>
      <c r="R151" s="147">
        <f>IF(D151&gt;0.005,Q151-I151,"")</f>
        <v/>
      </c>
      <c r="S151" s="147">
        <f>IF(A151&gt;Mortgage!$B$8*12,0,IF(Mortgage!$B$7=0,MAX(0,Mortgage!$H$5-Mortgage!$H$8*A151),MAX(0,Mortgage!$H$5*(1+(Mortgage!$B$7/12))^A151-Mortgage!$H$8*((1+(Mortgage!$B$7/12))^A151-1)/(Mortgage!$B$7/12))))</f>
        <v/>
      </c>
      <c r="T151" s="149">
        <f>IF(D151&gt;0.005,I151/Mortgage!$B$5,"")</f>
        <v/>
      </c>
      <c r="U151">
        <f>IF(A151&gt;Mortgage!$B$8*12,NA(),B151)</f>
        <v/>
      </c>
      <c r="V151">
        <f>IF(D151&gt;0.005,I151,NA())</f>
        <v/>
      </c>
      <c r="W151">
        <f>IF(A151&gt;Mortgage!$B$8*12,NA(),S151)</f>
        <v/>
      </c>
    </row>
    <row r="152">
      <c r="A152" s="129" t="n">
        <v>147</v>
      </c>
      <c r="B152" s="146">
        <f>EDATE(Mortgage!$B$9,A152-1)</f>
        <v/>
      </c>
      <c r="C152" s="129">
        <f>INT((A152-1)/12)+1</f>
        <v/>
      </c>
      <c r="D152" s="147">
        <f>IF(N(I151)&gt;0.005,I151,0)</f>
        <v/>
      </c>
      <c r="E152" s="147">
        <f>IF(D152&gt;0.005,D152*Mortgage!$B$7/12,0)</f>
        <v/>
      </c>
      <c r="F152" s="147">
        <f>IF(D152&gt;0.005,MIN(Mortgage!$H$8-E152,D152),0)</f>
        <v/>
      </c>
      <c r="G152" s="147">
        <f>IF(D152-F152&gt;0.005,MIN(D152-F152,Mortgage!$B$18+IF(MONTH(B152)=Mortgage!$B$20,Mortgage!$B$19,0)+SUMIFS(Mortgage!$E$6:$E$15,Mortgage!$D$6:$D$15,"&gt;="&amp;B152,Mortgage!$D$6:$D$15,"&lt;"&amp;EDATE(B152,1))+IF(Mortgage!$B$10="Bi-weekly (accelerated)",Mortgage!$H$8/12,0)),0)</f>
        <v/>
      </c>
      <c r="H152" s="147">
        <f>F152+G152</f>
        <v/>
      </c>
      <c r="I152" s="148">
        <f>D152-H152</f>
        <v/>
      </c>
      <c r="J152" s="147">
        <f>E152+F152+G152</f>
        <v/>
      </c>
      <c r="K152" s="147">
        <f>IF(AND(D152&gt;0.005,Mortgage!$H$7&gt;0.8,D152/Mortgage!$B$5&gt;Mortgage!$B$14),Mortgage!$H$5*Mortgage!$B$13/12,0)</f>
        <v/>
      </c>
      <c r="L152" s="147">
        <f>IF(D152&gt;0.005,Mortgage!$B$11/12*(1+Mortgage!$B$16)^(C152-1),0)</f>
        <v/>
      </c>
      <c r="M152" s="147">
        <f>IF(D152&gt;0.005,Mortgage!$B$12/12*(1+Mortgage!$B$16)^(C152-1),0)</f>
        <v/>
      </c>
      <c r="N152" s="147">
        <f>IF(D152&gt;0.005,Mortgage!$B$15,0)</f>
        <v/>
      </c>
      <c r="O152" s="147">
        <f>J152+K152+L152+M152+N152</f>
        <v/>
      </c>
      <c r="P152" s="147">
        <f>P151+E152</f>
        <v/>
      </c>
      <c r="Q152" s="147">
        <f>IF(D152&gt;0.005,Mortgage!$B$5*(1+Mortgage!$B$17)^(A152/12),"")</f>
        <v/>
      </c>
      <c r="R152" s="147">
        <f>IF(D152&gt;0.005,Q152-I152,"")</f>
        <v/>
      </c>
      <c r="S152" s="147">
        <f>IF(A152&gt;Mortgage!$B$8*12,0,IF(Mortgage!$B$7=0,MAX(0,Mortgage!$H$5-Mortgage!$H$8*A152),MAX(0,Mortgage!$H$5*(1+(Mortgage!$B$7/12))^A152-Mortgage!$H$8*((1+(Mortgage!$B$7/12))^A152-1)/(Mortgage!$B$7/12))))</f>
        <v/>
      </c>
      <c r="T152" s="149">
        <f>IF(D152&gt;0.005,I152/Mortgage!$B$5,"")</f>
        <v/>
      </c>
      <c r="U152">
        <f>IF(A152&gt;Mortgage!$B$8*12,NA(),B152)</f>
        <v/>
      </c>
      <c r="V152">
        <f>IF(D152&gt;0.005,I152,NA())</f>
        <v/>
      </c>
      <c r="W152">
        <f>IF(A152&gt;Mortgage!$B$8*12,NA(),S152)</f>
        <v/>
      </c>
    </row>
    <row r="153">
      <c r="A153" s="129" t="n">
        <v>148</v>
      </c>
      <c r="B153" s="146">
        <f>EDATE(Mortgage!$B$9,A153-1)</f>
        <v/>
      </c>
      <c r="C153" s="129">
        <f>INT((A153-1)/12)+1</f>
        <v/>
      </c>
      <c r="D153" s="147">
        <f>IF(N(I152)&gt;0.005,I152,0)</f>
        <v/>
      </c>
      <c r="E153" s="147">
        <f>IF(D153&gt;0.005,D153*Mortgage!$B$7/12,0)</f>
        <v/>
      </c>
      <c r="F153" s="147">
        <f>IF(D153&gt;0.005,MIN(Mortgage!$H$8-E153,D153),0)</f>
        <v/>
      </c>
      <c r="G153" s="147">
        <f>IF(D153-F153&gt;0.005,MIN(D153-F153,Mortgage!$B$18+IF(MONTH(B153)=Mortgage!$B$20,Mortgage!$B$19,0)+SUMIFS(Mortgage!$E$6:$E$15,Mortgage!$D$6:$D$15,"&gt;="&amp;B153,Mortgage!$D$6:$D$15,"&lt;"&amp;EDATE(B153,1))+IF(Mortgage!$B$10="Bi-weekly (accelerated)",Mortgage!$H$8/12,0)),0)</f>
        <v/>
      </c>
      <c r="H153" s="147">
        <f>F153+G153</f>
        <v/>
      </c>
      <c r="I153" s="148">
        <f>D153-H153</f>
        <v/>
      </c>
      <c r="J153" s="147">
        <f>E153+F153+G153</f>
        <v/>
      </c>
      <c r="K153" s="147">
        <f>IF(AND(D153&gt;0.005,Mortgage!$H$7&gt;0.8,D153/Mortgage!$B$5&gt;Mortgage!$B$14),Mortgage!$H$5*Mortgage!$B$13/12,0)</f>
        <v/>
      </c>
      <c r="L153" s="147">
        <f>IF(D153&gt;0.005,Mortgage!$B$11/12*(1+Mortgage!$B$16)^(C153-1),0)</f>
        <v/>
      </c>
      <c r="M153" s="147">
        <f>IF(D153&gt;0.005,Mortgage!$B$12/12*(1+Mortgage!$B$16)^(C153-1),0)</f>
        <v/>
      </c>
      <c r="N153" s="147">
        <f>IF(D153&gt;0.005,Mortgage!$B$15,0)</f>
        <v/>
      </c>
      <c r="O153" s="147">
        <f>J153+K153+L153+M153+N153</f>
        <v/>
      </c>
      <c r="P153" s="147">
        <f>P152+E153</f>
        <v/>
      </c>
      <c r="Q153" s="147">
        <f>IF(D153&gt;0.005,Mortgage!$B$5*(1+Mortgage!$B$17)^(A153/12),"")</f>
        <v/>
      </c>
      <c r="R153" s="147">
        <f>IF(D153&gt;0.005,Q153-I153,"")</f>
        <v/>
      </c>
      <c r="S153" s="147">
        <f>IF(A153&gt;Mortgage!$B$8*12,0,IF(Mortgage!$B$7=0,MAX(0,Mortgage!$H$5-Mortgage!$H$8*A153),MAX(0,Mortgage!$H$5*(1+(Mortgage!$B$7/12))^A153-Mortgage!$H$8*((1+(Mortgage!$B$7/12))^A153-1)/(Mortgage!$B$7/12))))</f>
        <v/>
      </c>
      <c r="T153" s="149">
        <f>IF(D153&gt;0.005,I153/Mortgage!$B$5,"")</f>
        <v/>
      </c>
      <c r="U153">
        <f>IF(A153&gt;Mortgage!$B$8*12,NA(),B153)</f>
        <v/>
      </c>
      <c r="V153">
        <f>IF(D153&gt;0.005,I153,NA())</f>
        <v/>
      </c>
      <c r="W153">
        <f>IF(A153&gt;Mortgage!$B$8*12,NA(),S153)</f>
        <v/>
      </c>
    </row>
    <row r="154">
      <c r="A154" s="129" t="n">
        <v>149</v>
      </c>
      <c r="B154" s="146">
        <f>EDATE(Mortgage!$B$9,A154-1)</f>
        <v/>
      </c>
      <c r="C154" s="129">
        <f>INT((A154-1)/12)+1</f>
        <v/>
      </c>
      <c r="D154" s="147">
        <f>IF(N(I153)&gt;0.005,I153,0)</f>
        <v/>
      </c>
      <c r="E154" s="147">
        <f>IF(D154&gt;0.005,D154*Mortgage!$B$7/12,0)</f>
        <v/>
      </c>
      <c r="F154" s="147">
        <f>IF(D154&gt;0.005,MIN(Mortgage!$H$8-E154,D154),0)</f>
        <v/>
      </c>
      <c r="G154" s="147">
        <f>IF(D154-F154&gt;0.005,MIN(D154-F154,Mortgage!$B$18+IF(MONTH(B154)=Mortgage!$B$20,Mortgage!$B$19,0)+SUMIFS(Mortgage!$E$6:$E$15,Mortgage!$D$6:$D$15,"&gt;="&amp;B154,Mortgage!$D$6:$D$15,"&lt;"&amp;EDATE(B154,1))+IF(Mortgage!$B$10="Bi-weekly (accelerated)",Mortgage!$H$8/12,0)),0)</f>
        <v/>
      </c>
      <c r="H154" s="147">
        <f>F154+G154</f>
        <v/>
      </c>
      <c r="I154" s="148">
        <f>D154-H154</f>
        <v/>
      </c>
      <c r="J154" s="147">
        <f>E154+F154+G154</f>
        <v/>
      </c>
      <c r="K154" s="147">
        <f>IF(AND(D154&gt;0.005,Mortgage!$H$7&gt;0.8,D154/Mortgage!$B$5&gt;Mortgage!$B$14),Mortgage!$H$5*Mortgage!$B$13/12,0)</f>
        <v/>
      </c>
      <c r="L154" s="147">
        <f>IF(D154&gt;0.005,Mortgage!$B$11/12*(1+Mortgage!$B$16)^(C154-1),0)</f>
        <v/>
      </c>
      <c r="M154" s="147">
        <f>IF(D154&gt;0.005,Mortgage!$B$12/12*(1+Mortgage!$B$16)^(C154-1),0)</f>
        <v/>
      </c>
      <c r="N154" s="147">
        <f>IF(D154&gt;0.005,Mortgage!$B$15,0)</f>
        <v/>
      </c>
      <c r="O154" s="147">
        <f>J154+K154+L154+M154+N154</f>
        <v/>
      </c>
      <c r="P154" s="147">
        <f>P153+E154</f>
        <v/>
      </c>
      <c r="Q154" s="147">
        <f>IF(D154&gt;0.005,Mortgage!$B$5*(1+Mortgage!$B$17)^(A154/12),"")</f>
        <v/>
      </c>
      <c r="R154" s="147">
        <f>IF(D154&gt;0.005,Q154-I154,"")</f>
        <v/>
      </c>
      <c r="S154" s="147">
        <f>IF(A154&gt;Mortgage!$B$8*12,0,IF(Mortgage!$B$7=0,MAX(0,Mortgage!$H$5-Mortgage!$H$8*A154),MAX(0,Mortgage!$H$5*(1+(Mortgage!$B$7/12))^A154-Mortgage!$H$8*((1+(Mortgage!$B$7/12))^A154-1)/(Mortgage!$B$7/12))))</f>
        <v/>
      </c>
      <c r="T154" s="149">
        <f>IF(D154&gt;0.005,I154/Mortgage!$B$5,"")</f>
        <v/>
      </c>
      <c r="U154">
        <f>IF(A154&gt;Mortgage!$B$8*12,NA(),B154)</f>
        <v/>
      </c>
      <c r="V154">
        <f>IF(D154&gt;0.005,I154,NA())</f>
        <v/>
      </c>
      <c r="W154">
        <f>IF(A154&gt;Mortgage!$B$8*12,NA(),S154)</f>
        <v/>
      </c>
    </row>
    <row r="155">
      <c r="A155" s="129" t="n">
        <v>150</v>
      </c>
      <c r="B155" s="146">
        <f>EDATE(Mortgage!$B$9,A155-1)</f>
        <v/>
      </c>
      <c r="C155" s="129">
        <f>INT((A155-1)/12)+1</f>
        <v/>
      </c>
      <c r="D155" s="147">
        <f>IF(N(I154)&gt;0.005,I154,0)</f>
        <v/>
      </c>
      <c r="E155" s="147">
        <f>IF(D155&gt;0.005,D155*Mortgage!$B$7/12,0)</f>
        <v/>
      </c>
      <c r="F155" s="147">
        <f>IF(D155&gt;0.005,MIN(Mortgage!$H$8-E155,D155),0)</f>
        <v/>
      </c>
      <c r="G155" s="147">
        <f>IF(D155-F155&gt;0.005,MIN(D155-F155,Mortgage!$B$18+IF(MONTH(B155)=Mortgage!$B$20,Mortgage!$B$19,0)+SUMIFS(Mortgage!$E$6:$E$15,Mortgage!$D$6:$D$15,"&gt;="&amp;B155,Mortgage!$D$6:$D$15,"&lt;"&amp;EDATE(B155,1))+IF(Mortgage!$B$10="Bi-weekly (accelerated)",Mortgage!$H$8/12,0)),0)</f>
        <v/>
      </c>
      <c r="H155" s="147">
        <f>F155+G155</f>
        <v/>
      </c>
      <c r="I155" s="148">
        <f>D155-H155</f>
        <v/>
      </c>
      <c r="J155" s="147">
        <f>E155+F155+G155</f>
        <v/>
      </c>
      <c r="K155" s="147">
        <f>IF(AND(D155&gt;0.005,Mortgage!$H$7&gt;0.8,D155/Mortgage!$B$5&gt;Mortgage!$B$14),Mortgage!$H$5*Mortgage!$B$13/12,0)</f>
        <v/>
      </c>
      <c r="L155" s="147">
        <f>IF(D155&gt;0.005,Mortgage!$B$11/12*(1+Mortgage!$B$16)^(C155-1),0)</f>
        <v/>
      </c>
      <c r="M155" s="147">
        <f>IF(D155&gt;0.005,Mortgage!$B$12/12*(1+Mortgage!$B$16)^(C155-1),0)</f>
        <v/>
      </c>
      <c r="N155" s="147">
        <f>IF(D155&gt;0.005,Mortgage!$B$15,0)</f>
        <v/>
      </c>
      <c r="O155" s="147">
        <f>J155+K155+L155+M155+N155</f>
        <v/>
      </c>
      <c r="P155" s="147">
        <f>P154+E155</f>
        <v/>
      </c>
      <c r="Q155" s="147">
        <f>IF(D155&gt;0.005,Mortgage!$B$5*(1+Mortgage!$B$17)^(A155/12),"")</f>
        <v/>
      </c>
      <c r="R155" s="147">
        <f>IF(D155&gt;0.005,Q155-I155,"")</f>
        <v/>
      </c>
      <c r="S155" s="147">
        <f>IF(A155&gt;Mortgage!$B$8*12,0,IF(Mortgage!$B$7=0,MAX(0,Mortgage!$H$5-Mortgage!$H$8*A155),MAX(0,Mortgage!$H$5*(1+(Mortgage!$B$7/12))^A155-Mortgage!$H$8*((1+(Mortgage!$B$7/12))^A155-1)/(Mortgage!$B$7/12))))</f>
        <v/>
      </c>
      <c r="T155" s="149">
        <f>IF(D155&gt;0.005,I155/Mortgage!$B$5,"")</f>
        <v/>
      </c>
      <c r="U155">
        <f>IF(A155&gt;Mortgage!$B$8*12,NA(),B155)</f>
        <v/>
      </c>
      <c r="V155">
        <f>IF(D155&gt;0.005,I155,NA())</f>
        <v/>
      </c>
      <c r="W155">
        <f>IF(A155&gt;Mortgage!$B$8*12,NA(),S155)</f>
        <v/>
      </c>
    </row>
    <row r="156">
      <c r="A156" s="129" t="n">
        <v>151</v>
      </c>
      <c r="B156" s="146">
        <f>EDATE(Mortgage!$B$9,A156-1)</f>
        <v/>
      </c>
      <c r="C156" s="129">
        <f>INT((A156-1)/12)+1</f>
        <v/>
      </c>
      <c r="D156" s="147">
        <f>IF(N(I155)&gt;0.005,I155,0)</f>
        <v/>
      </c>
      <c r="E156" s="147">
        <f>IF(D156&gt;0.005,D156*Mortgage!$B$7/12,0)</f>
        <v/>
      </c>
      <c r="F156" s="147">
        <f>IF(D156&gt;0.005,MIN(Mortgage!$H$8-E156,D156),0)</f>
        <v/>
      </c>
      <c r="G156" s="147">
        <f>IF(D156-F156&gt;0.005,MIN(D156-F156,Mortgage!$B$18+IF(MONTH(B156)=Mortgage!$B$20,Mortgage!$B$19,0)+SUMIFS(Mortgage!$E$6:$E$15,Mortgage!$D$6:$D$15,"&gt;="&amp;B156,Mortgage!$D$6:$D$15,"&lt;"&amp;EDATE(B156,1))+IF(Mortgage!$B$10="Bi-weekly (accelerated)",Mortgage!$H$8/12,0)),0)</f>
        <v/>
      </c>
      <c r="H156" s="147">
        <f>F156+G156</f>
        <v/>
      </c>
      <c r="I156" s="148">
        <f>D156-H156</f>
        <v/>
      </c>
      <c r="J156" s="147">
        <f>E156+F156+G156</f>
        <v/>
      </c>
      <c r="K156" s="147">
        <f>IF(AND(D156&gt;0.005,Mortgage!$H$7&gt;0.8,D156/Mortgage!$B$5&gt;Mortgage!$B$14),Mortgage!$H$5*Mortgage!$B$13/12,0)</f>
        <v/>
      </c>
      <c r="L156" s="147">
        <f>IF(D156&gt;0.005,Mortgage!$B$11/12*(1+Mortgage!$B$16)^(C156-1),0)</f>
        <v/>
      </c>
      <c r="M156" s="147">
        <f>IF(D156&gt;0.005,Mortgage!$B$12/12*(1+Mortgage!$B$16)^(C156-1),0)</f>
        <v/>
      </c>
      <c r="N156" s="147">
        <f>IF(D156&gt;0.005,Mortgage!$B$15,0)</f>
        <v/>
      </c>
      <c r="O156" s="147">
        <f>J156+K156+L156+M156+N156</f>
        <v/>
      </c>
      <c r="P156" s="147">
        <f>P155+E156</f>
        <v/>
      </c>
      <c r="Q156" s="147">
        <f>IF(D156&gt;0.005,Mortgage!$B$5*(1+Mortgage!$B$17)^(A156/12),"")</f>
        <v/>
      </c>
      <c r="R156" s="147">
        <f>IF(D156&gt;0.005,Q156-I156,"")</f>
        <v/>
      </c>
      <c r="S156" s="147">
        <f>IF(A156&gt;Mortgage!$B$8*12,0,IF(Mortgage!$B$7=0,MAX(0,Mortgage!$H$5-Mortgage!$H$8*A156),MAX(0,Mortgage!$H$5*(1+(Mortgage!$B$7/12))^A156-Mortgage!$H$8*((1+(Mortgage!$B$7/12))^A156-1)/(Mortgage!$B$7/12))))</f>
        <v/>
      </c>
      <c r="T156" s="149">
        <f>IF(D156&gt;0.005,I156/Mortgage!$B$5,"")</f>
        <v/>
      </c>
      <c r="U156">
        <f>IF(A156&gt;Mortgage!$B$8*12,NA(),B156)</f>
        <v/>
      </c>
      <c r="V156">
        <f>IF(D156&gt;0.005,I156,NA())</f>
        <v/>
      </c>
      <c r="W156">
        <f>IF(A156&gt;Mortgage!$B$8*12,NA(),S156)</f>
        <v/>
      </c>
    </row>
    <row r="157">
      <c r="A157" s="129" t="n">
        <v>152</v>
      </c>
      <c r="B157" s="146">
        <f>EDATE(Mortgage!$B$9,A157-1)</f>
        <v/>
      </c>
      <c r="C157" s="129">
        <f>INT((A157-1)/12)+1</f>
        <v/>
      </c>
      <c r="D157" s="147">
        <f>IF(N(I156)&gt;0.005,I156,0)</f>
        <v/>
      </c>
      <c r="E157" s="147">
        <f>IF(D157&gt;0.005,D157*Mortgage!$B$7/12,0)</f>
        <v/>
      </c>
      <c r="F157" s="147">
        <f>IF(D157&gt;0.005,MIN(Mortgage!$H$8-E157,D157),0)</f>
        <v/>
      </c>
      <c r="G157" s="147">
        <f>IF(D157-F157&gt;0.005,MIN(D157-F157,Mortgage!$B$18+IF(MONTH(B157)=Mortgage!$B$20,Mortgage!$B$19,0)+SUMIFS(Mortgage!$E$6:$E$15,Mortgage!$D$6:$D$15,"&gt;="&amp;B157,Mortgage!$D$6:$D$15,"&lt;"&amp;EDATE(B157,1))+IF(Mortgage!$B$10="Bi-weekly (accelerated)",Mortgage!$H$8/12,0)),0)</f>
        <v/>
      </c>
      <c r="H157" s="147">
        <f>F157+G157</f>
        <v/>
      </c>
      <c r="I157" s="148">
        <f>D157-H157</f>
        <v/>
      </c>
      <c r="J157" s="147">
        <f>E157+F157+G157</f>
        <v/>
      </c>
      <c r="K157" s="147">
        <f>IF(AND(D157&gt;0.005,Mortgage!$H$7&gt;0.8,D157/Mortgage!$B$5&gt;Mortgage!$B$14),Mortgage!$H$5*Mortgage!$B$13/12,0)</f>
        <v/>
      </c>
      <c r="L157" s="147">
        <f>IF(D157&gt;0.005,Mortgage!$B$11/12*(1+Mortgage!$B$16)^(C157-1),0)</f>
        <v/>
      </c>
      <c r="M157" s="147">
        <f>IF(D157&gt;0.005,Mortgage!$B$12/12*(1+Mortgage!$B$16)^(C157-1),0)</f>
        <v/>
      </c>
      <c r="N157" s="147">
        <f>IF(D157&gt;0.005,Mortgage!$B$15,0)</f>
        <v/>
      </c>
      <c r="O157" s="147">
        <f>J157+K157+L157+M157+N157</f>
        <v/>
      </c>
      <c r="P157" s="147">
        <f>P156+E157</f>
        <v/>
      </c>
      <c r="Q157" s="147">
        <f>IF(D157&gt;0.005,Mortgage!$B$5*(1+Mortgage!$B$17)^(A157/12),"")</f>
        <v/>
      </c>
      <c r="R157" s="147">
        <f>IF(D157&gt;0.005,Q157-I157,"")</f>
        <v/>
      </c>
      <c r="S157" s="147">
        <f>IF(A157&gt;Mortgage!$B$8*12,0,IF(Mortgage!$B$7=0,MAX(0,Mortgage!$H$5-Mortgage!$H$8*A157),MAX(0,Mortgage!$H$5*(1+(Mortgage!$B$7/12))^A157-Mortgage!$H$8*((1+(Mortgage!$B$7/12))^A157-1)/(Mortgage!$B$7/12))))</f>
        <v/>
      </c>
      <c r="T157" s="149">
        <f>IF(D157&gt;0.005,I157/Mortgage!$B$5,"")</f>
        <v/>
      </c>
      <c r="U157">
        <f>IF(A157&gt;Mortgage!$B$8*12,NA(),B157)</f>
        <v/>
      </c>
      <c r="V157">
        <f>IF(D157&gt;0.005,I157,NA())</f>
        <v/>
      </c>
      <c r="W157">
        <f>IF(A157&gt;Mortgage!$B$8*12,NA(),S157)</f>
        <v/>
      </c>
    </row>
    <row r="158">
      <c r="A158" s="129" t="n">
        <v>153</v>
      </c>
      <c r="B158" s="146">
        <f>EDATE(Mortgage!$B$9,A158-1)</f>
        <v/>
      </c>
      <c r="C158" s="129">
        <f>INT((A158-1)/12)+1</f>
        <v/>
      </c>
      <c r="D158" s="147">
        <f>IF(N(I157)&gt;0.005,I157,0)</f>
        <v/>
      </c>
      <c r="E158" s="147">
        <f>IF(D158&gt;0.005,D158*Mortgage!$B$7/12,0)</f>
        <v/>
      </c>
      <c r="F158" s="147">
        <f>IF(D158&gt;0.005,MIN(Mortgage!$H$8-E158,D158),0)</f>
        <v/>
      </c>
      <c r="G158" s="147">
        <f>IF(D158-F158&gt;0.005,MIN(D158-F158,Mortgage!$B$18+IF(MONTH(B158)=Mortgage!$B$20,Mortgage!$B$19,0)+SUMIFS(Mortgage!$E$6:$E$15,Mortgage!$D$6:$D$15,"&gt;="&amp;B158,Mortgage!$D$6:$D$15,"&lt;"&amp;EDATE(B158,1))+IF(Mortgage!$B$10="Bi-weekly (accelerated)",Mortgage!$H$8/12,0)),0)</f>
        <v/>
      </c>
      <c r="H158" s="147">
        <f>F158+G158</f>
        <v/>
      </c>
      <c r="I158" s="148">
        <f>D158-H158</f>
        <v/>
      </c>
      <c r="J158" s="147">
        <f>E158+F158+G158</f>
        <v/>
      </c>
      <c r="K158" s="147">
        <f>IF(AND(D158&gt;0.005,Mortgage!$H$7&gt;0.8,D158/Mortgage!$B$5&gt;Mortgage!$B$14),Mortgage!$H$5*Mortgage!$B$13/12,0)</f>
        <v/>
      </c>
      <c r="L158" s="147">
        <f>IF(D158&gt;0.005,Mortgage!$B$11/12*(1+Mortgage!$B$16)^(C158-1),0)</f>
        <v/>
      </c>
      <c r="M158" s="147">
        <f>IF(D158&gt;0.005,Mortgage!$B$12/12*(1+Mortgage!$B$16)^(C158-1),0)</f>
        <v/>
      </c>
      <c r="N158" s="147">
        <f>IF(D158&gt;0.005,Mortgage!$B$15,0)</f>
        <v/>
      </c>
      <c r="O158" s="147">
        <f>J158+K158+L158+M158+N158</f>
        <v/>
      </c>
      <c r="P158" s="147">
        <f>P157+E158</f>
        <v/>
      </c>
      <c r="Q158" s="147">
        <f>IF(D158&gt;0.005,Mortgage!$B$5*(1+Mortgage!$B$17)^(A158/12),"")</f>
        <v/>
      </c>
      <c r="R158" s="147">
        <f>IF(D158&gt;0.005,Q158-I158,"")</f>
        <v/>
      </c>
      <c r="S158" s="147">
        <f>IF(A158&gt;Mortgage!$B$8*12,0,IF(Mortgage!$B$7=0,MAX(0,Mortgage!$H$5-Mortgage!$H$8*A158),MAX(0,Mortgage!$H$5*(1+(Mortgage!$B$7/12))^A158-Mortgage!$H$8*((1+(Mortgage!$B$7/12))^A158-1)/(Mortgage!$B$7/12))))</f>
        <v/>
      </c>
      <c r="T158" s="149">
        <f>IF(D158&gt;0.005,I158/Mortgage!$B$5,"")</f>
        <v/>
      </c>
      <c r="U158">
        <f>IF(A158&gt;Mortgage!$B$8*12,NA(),B158)</f>
        <v/>
      </c>
      <c r="V158">
        <f>IF(D158&gt;0.005,I158,NA())</f>
        <v/>
      </c>
      <c r="W158">
        <f>IF(A158&gt;Mortgage!$B$8*12,NA(),S158)</f>
        <v/>
      </c>
    </row>
    <row r="159">
      <c r="A159" s="129" t="n">
        <v>154</v>
      </c>
      <c r="B159" s="146">
        <f>EDATE(Mortgage!$B$9,A159-1)</f>
        <v/>
      </c>
      <c r="C159" s="129">
        <f>INT((A159-1)/12)+1</f>
        <v/>
      </c>
      <c r="D159" s="147">
        <f>IF(N(I158)&gt;0.005,I158,0)</f>
        <v/>
      </c>
      <c r="E159" s="147">
        <f>IF(D159&gt;0.005,D159*Mortgage!$B$7/12,0)</f>
        <v/>
      </c>
      <c r="F159" s="147">
        <f>IF(D159&gt;0.005,MIN(Mortgage!$H$8-E159,D159),0)</f>
        <v/>
      </c>
      <c r="G159" s="147">
        <f>IF(D159-F159&gt;0.005,MIN(D159-F159,Mortgage!$B$18+IF(MONTH(B159)=Mortgage!$B$20,Mortgage!$B$19,0)+SUMIFS(Mortgage!$E$6:$E$15,Mortgage!$D$6:$D$15,"&gt;="&amp;B159,Mortgage!$D$6:$D$15,"&lt;"&amp;EDATE(B159,1))+IF(Mortgage!$B$10="Bi-weekly (accelerated)",Mortgage!$H$8/12,0)),0)</f>
        <v/>
      </c>
      <c r="H159" s="147">
        <f>F159+G159</f>
        <v/>
      </c>
      <c r="I159" s="148">
        <f>D159-H159</f>
        <v/>
      </c>
      <c r="J159" s="147">
        <f>E159+F159+G159</f>
        <v/>
      </c>
      <c r="K159" s="147">
        <f>IF(AND(D159&gt;0.005,Mortgage!$H$7&gt;0.8,D159/Mortgage!$B$5&gt;Mortgage!$B$14),Mortgage!$H$5*Mortgage!$B$13/12,0)</f>
        <v/>
      </c>
      <c r="L159" s="147">
        <f>IF(D159&gt;0.005,Mortgage!$B$11/12*(1+Mortgage!$B$16)^(C159-1),0)</f>
        <v/>
      </c>
      <c r="M159" s="147">
        <f>IF(D159&gt;0.005,Mortgage!$B$12/12*(1+Mortgage!$B$16)^(C159-1),0)</f>
        <v/>
      </c>
      <c r="N159" s="147">
        <f>IF(D159&gt;0.005,Mortgage!$B$15,0)</f>
        <v/>
      </c>
      <c r="O159" s="147">
        <f>J159+K159+L159+M159+N159</f>
        <v/>
      </c>
      <c r="P159" s="147">
        <f>P158+E159</f>
        <v/>
      </c>
      <c r="Q159" s="147">
        <f>IF(D159&gt;0.005,Mortgage!$B$5*(1+Mortgage!$B$17)^(A159/12),"")</f>
        <v/>
      </c>
      <c r="R159" s="147">
        <f>IF(D159&gt;0.005,Q159-I159,"")</f>
        <v/>
      </c>
      <c r="S159" s="147">
        <f>IF(A159&gt;Mortgage!$B$8*12,0,IF(Mortgage!$B$7=0,MAX(0,Mortgage!$H$5-Mortgage!$H$8*A159),MAX(0,Mortgage!$H$5*(1+(Mortgage!$B$7/12))^A159-Mortgage!$H$8*((1+(Mortgage!$B$7/12))^A159-1)/(Mortgage!$B$7/12))))</f>
        <v/>
      </c>
      <c r="T159" s="149">
        <f>IF(D159&gt;0.005,I159/Mortgage!$B$5,"")</f>
        <v/>
      </c>
      <c r="U159">
        <f>IF(A159&gt;Mortgage!$B$8*12,NA(),B159)</f>
        <v/>
      </c>
      <c r="V159">
        <f>IF(D159&gt;0.005,I159,NA())</f>
        <v/>
      </c>
      <c r="W159">
        <f>IF(A159&gt;Mortgage!$B$8*12,NA(),S159)</f>
        <v/>
      </c>
    </row>
    <row r="160">
      <c r="A160" s="129" t="n">
        <v>155</v>
      </c>
      <c r="B160" s="146">
        <f>EDATE(Mortgage!$B$9,A160-1)</f>
        <v/>
      </c>
      <c r="C160" s="129">
        <f>INT((A160-1)/12)+1</f>
        <v/>
      </c>
      <c r="D160" s="147">
        <f>IF(N(I159)&gt;0.005,I159,0)</f>
        <v/>
      </c>
      <c r="E160" s="147">
        <f>IF(D160&gt;0.005,D160*Mortgage!$B$7/12,0)</f>
        <v/>
      </c>
      <c r="F160" s="147">
        <f>IF(D160&gt;0.005,MIN(Mortgage!$H$8-E160,D160),0)</f>
        <v/>
      </c>
      <c r="G160" s="147">
        <f>IF(D160-F160&gt;0.005,MIN(D160-F160,Mortgage!$B$18+IF(MONTH(B160)=Mortgage!$B$20,Mortgage!$B$19,0)+SUMIFS(Mortgage!$E$6:$E$15,Mortgage!$D$6:$D$15,"&gt;="&amp;B160,Mortgage!$D$6:$D$15,"&lt;"&amp;EDATE(B160,1))+IF(Mortgage!$B$10="Bi-weekly (accelerated)",Mortgage!$H$8/12,0)),0)</f>
        <v/>
      </c>
      <c r="H160" s="147">
        <f>F160+G160</f>
        <v/>
      </c>
      <c r="I160" s="148">
        <f>D160-H160</f>
        <v/>
      </c>
      <c r="J160" s="147">
        <f>E160+F160+G160</f>
        <v/>
      </c>
      <c r="K160" s="147">
        <f>IF(AND(D160&gt;0.005,Mortgage!$H$7&gt;0.8,D160/Mortgage!$B$5&gt;Mortgage!$B$14),Mortgage!$H$5*Mortgage!$B$13/12,0)</f>
        <v/>
      </c>
      <c r="L160" s="147">
        <f>IF(D160&gt;0.005,Mortgage!$B$11/12*(1+Mortgage!$B$16)^(C160-1),0)</f>
        <v/>
      </c>
      <c r="M160" s="147">
        <f>IF(D160&gt;0.005,Mortgage!$B$12/12*(1+Mortgage!$B$16)^(C160-1),0)</f>
        <v/>
      </c>
      <c r="N160" s="147">
        <f>IF(D160&gt;0.005,Mortgage!$B$15,0)</f>
        <v/>
      </c>
      <c r="O160" s="147">
        <f>J160+K160+L160+M160+N160</f>
        <v/>
      </c>
      <c r="P160" s="147">
        <f>P159+E160</f>
        <v/>
      </c>
      <c r="Q160" s="147">
        <f>IF(D160&gt;0.005,Mortgage!$B$5*(1+Mortgage!$B$17)^(A160/12),"")</f>
        <v/>
      </c>
      <c r="R160" s="147">
        <f>IF(D160&gt;0.005,Q160-I160,"")</f>
        <v/>
      </c>
      <c r="S160" s="147">
        <f>IF(A160&gt;Mortgage!$B$8*12,0,IF(Mortgage!$B$7=0,MAX(0,Mortgage!$H$5-Mortgage!$H$8*A160),MAX(0,Mortgage!$H$5*(1+(Mortgage!$B$7/12))^A160-Mortgage!$H$8*((1+(Mortgage!$B$7/12))^A160-1)/(Mortgage!$B$7/12))))</f>
        <v/>
      </c>
      <c r="T160" s="149">
        <f>IF(D160&gt;0.005,I160/Mortgage!$B$5,"")</f>
        <v/>
      </c>
      <c r="U160">
        <f>IF(A160&gt;Mortgage!$B$8*12,NA(),B160)</f>
        <v/>
      </c>
      <c r="V160">
        <f>IF(D160&gt;0.005,I160,NA())</f>
        <v/>
      </c>
      <c r="W160">
        <f>IF(A160&gt;Mortgage!$B$8*12,NA(),S160)</f>
        <v/>
      </c>
    </row>
    <row r="161">
      <c r="A161" s="129" t="n">
        <v>156</v>
      </c>
      <c r="B161" s="146">
        <f>EDATE(Mortgage!$B$9,A161-1)</f>
        <v/>
      </c>
      <c r="C161" s="129">
        <f>INT((A161-1)/12)+1</f>
        <v/>
      </c>
      <c r="D161" s="147">
        <f>IF(N(I160)&gt;0.005,I160,0)</f>
        <v/>
      </c>
      <c r="E161" s="147">
        <f>IF(D161&gt;0.005,D161*Mortgage!$B$7/12,0)</f>
        <v/>
      </c>
      <c r="F161" s="147">
        <f>IF(D161&gt;0.005,MIN(Mortgage!$H$8-E161,D161),0)</f>
        <v/>
      </c>
      <c r="G161" s="147">
        <f>IF(D161-F161&gt;0.005,MIN(D161-F161,Mortgage!$B$18+IF(MONTH(B161)=Mortgage!$B$20,Mortgage!$B$19,0)+SUMIFS(Mortgage!$E$6:$E$15,Mortgage!$D$6:$D$15,"&gt;="&amp;B161,Mortgage!$D$6:$D$15,"&lt;"&amp;EDATE(B161,1))+IF(Mortgage!$B$10="Bi-weekly (accelerated)",Mortgage!$H$8/12,0)),0)</f>
        <v/>
      </c>
      <c r="H161" s="147">
        <f>F161+G161</f>
        <v/>
      </c>
      <c r="I161" s="148">
        <f>D161-H161</f>
        <v/>
      </c>
      <c r="J161" s="147">
        <f>E161+F161+G161</f>
        <v/>
      </c>
      <c r="K161" s="147">
        <f>IF(AND(D161&gt;0.005,Mortgage!$H$7&gt;0.8,D161/Mortgage!$B$5&gt;Mortgage!$B$14),Mortgage!$H$5*Mortgage!$B$13/12,0)</f>
        <v/>
      </c>
      <c r="L161" s="147">
        <f>IF(D161&gt;0.005,Mortgage!$B$11/12*(1+Mortgage!$B$16)^(C161-1),0)</f>
        <v/>
      </c>
      <c r="M161" s="147">
        <f>IF(D161&gt;0.005,Mortgage!$B$12/12*(1+Mortgage!$B$16)^(C161-1),0)</f>
        <v/>
      </c>
      <c r="N161" s="147">
        <f>IF(D161&gt;0.005,Mortgage!$B$15,0)</f>
        <v/>
      </c>
      <c r="O161" s="147">
        <f>J161+K161+L161+M161+N161</f>
        <v/>
      </c>
      <c r="P161" s="147">
        <f>P160+E161</f>
        <v/>
      </c>
      <c r="Q161" s="147">
        <f>IF(D161&gt;0.005,Mortgage!$B$5*(1+Mortgage!$B$17)^(A161/12),"")</f>
        <v/>
      </c>
      <c r="R161" s="147">
        <f>IF(D161&gt;0.005,Q161-I161,"")</f>
        <v/>
      </c>
      <c r="S161" s="147">
        <f>IF(A161&gt;Mortgage!$B$8*12,0,IF(Mortgage!$B$7=0,MAX(0,Mortgage!$H$5-Mortgage!$H$8*A161),MAX(0,Mortgage!$H$5*(1+(Mortgage!$B$7/12))^A161-Mortgage!$H$8*((1+(Mortgage!$B$7/12))^A161-1)/(Mortgage!$B$7/12))))</f>
        <v/>
      </c>
      <c r="T161" s="149">
        <f>IF(D161&gt;0.005,I161/Mortgage!$B$5,"")</f>
        <v/>
      </c>
      <c r="U161">
        <f>IF(A161&gt;Mortgage!$B$8*12,NA(),B161)</f>
        <v/>
      </c>
      <c r="V161">
        <f>IF(D161&gt;0.005,I161,NA())</f>
        <v/>
      </c>
      <c r="W161">
        <f>IF(A161&gt;Mortgage!$B$8*12,NA(),S161)</f>
        <v/>
      </c>
    </row>
    <row r="162">
      <c r="A162" s="129" t="n">
        <v>157</v>
      </c>
      <c r="B162" s="146">
        <f>EDATE(Mortgage!$B$9,A162-1)</f>
        <v/>
      </c>
      <c r="C162" s="129">
        <f>INT((A162-1)/12)+1</f>
        <v/>
      </c>
      <c r="D162" s="147">
        <f>IF(N(I161)&gt;0.005,I161,0)</f>
        <v/>
      </c>
      <c r="E162" s="147">
        <f>IF(D162&gt;0.005,D162*Mortgage!$B$7/12,0)</f>
        <v/>
      </c>
      <c r="F162" s="147">
        <f>IF(D162&gt;0.005,MIN(Mortgage!$H$8-E162,D162),0)</f>
        <v/>
      </c>
      <c r="G162" s="147">
        <f>IF(D162-F162&gt;0.005,MIN(D162-F162,Mortgage!$B$18+IF(MONTH(B162)=Mortgage!$B$20,Mortgage!$B$19,0)+SUMIFS(Mortgage!$E$6:$E$15,Mortgage!$D$6:$D$15,"&gt;="&amp;B162,Mortgage!$D$6:$D$15,"&lt;"&amp;EDATE(B162,1))+IF(Mortgage!$B$10="Bi-weekly (accelerated)",Mortgage!$H$8/12,0)),0)</f>
        <v/>
      </c>
      <c r="H162" s="147">
        <f>F162+G162</f>
        <v/>
      </c>
      <c r="I162" s="148">
        <f>D162-H162</f>
        <v/>
      </c>
      <c r="J162" s="147">
        <f>E162+F162+G162</f>
        <v/>
      </c>
      <c r="K162" s="147">
        <f>IF(AND(D162&gt;0.005,Mortgage!$H$7&gt;0.8,D162/Mortgage!$B$5&gt;Mortgage!$B$14),Mortgage!$H$5*Mortgage!$B$13/12,0)</f>
        <v/>
      </c>
      <c r="L162" s="147">
        <f>IF(D162&gt;0.005,Mortgage!$B$11/12*(1+Mortgage!$B$16)^(C162-1),0)</f>
        <v/>
      </c>
      <c r="M162" s="147">
        <f>IF(D162&gt;0.005,Mortgage!$B$12/12*(1+Mortgage!$B$16)^(C162-1),0)</f>
        <v/>
      </c>
      <c r="N162" s="147">
        <f>IF(D162&gt;0.005,Mortgage!$B$15,0)</f>
        <v/>
      </c>
      <c r="O162" s="147">
        <f>J162+K162+L162+M162+N162</f>
        <v/>
      </c>
      <c r="P162" s="147">
        <f>P161+E162</f>
        <v/>
      </c>
      <c r="Q162" s="147">
        <f>IF(D162&gt;0.005,Mortgage!$B$5*(1+Mortgage!$B$17)^(A162/12),"")</f>
        <v/>
      </c>
      <c r="R162" s="147">
        <f>IF(D162&gt;0.005,Q162-I162,"")</f>
        <v/>
      </c>
      <c r="S162" s="147">
        <f>IF(A162&gt;Mortgage!$B$8*12,0,IF(Mortgage!$B$7=0,MAX(0,Mortgage!$H$5-Mortgage!$H$8*A162),MAX(0,Mortgage!$H$5*(1+(Mortgage!$B$7/12))^A162-Mortgage!$H$8*((1+(Mortgage!$B$7/12))^A162-1)/(Mortgage!$B$7/12))))</f>
        <v/>
      </c>
      <c r="T162" s="149">
        <f>IF(D162&gt;0.005,I162/Mortgage!$B$5,"")</f>
        <v/>
      </c>
      <c r="U162">
        <f>IF(A162&gt;Mortgage!$B$8*12,NA(),B162)</f>
        <v/>
      </c>
      <c r="V162">
        <f>IF(D162&gt;0.005,I162,NA())</f>
        <v/>
      </c>
      <c r="W162">
        <f>IF(A162&gt;Mortgage!$B$8*12,NA(),S162)</f>
        <v/>
      </c>
    </row>
    <row r="163">
      <c r="A163" s="129" t="n">
        <v>158</v>
      </c>
      <c r="B163" s="146">
        <f>EDATE(Mortgage!$B$9,A163-1)</f>
        <v/>
      </c>
      <c r="C163" s="129">
        <f>INT((A163-1)/12)+1</f>
        <v/>
      </c>
      <c r="D163" s="147">
        <f>IF(N(I162)&gt;0.005,I162,0)</f>
        <v/>
      </c>
      <c r="E163" s="147">
        <f>IF(D163&gt;0.005,D163*Mortgage!$B$7/12,0)</f>
        <v/>
      </c>
      <c r="F163" s="147">
        <f>IF(D163&gt;0.005,MIN(Mortgage!$H$8-E163,D163),0)</f>
        <v/>
      </c>
      <c r="G163" s="147">
        <f>IF(D163-F163&gt;0.005,MIN(D163-F163,Mortgage!$B$18+IF(MONTH(B163)=Mortgage!$B$20,Mortgage!$B$19,0)+SUMIFS(Mortgage!$E$6:$E$15,Mortgage!$D$6:$D$15,"&gt;="&amp;B163,Mortgage!$D$6:$D$15,"&lt;"&amp;EDATE(B163,1))+IF(Mortgage!$B$10="Bi-weekly (accelerated)",Mortgage!$H$8/12,0)),0)</f>
        <v/>
      </c>
      <c r="H163" s="147">
        <f>F163+G163</f>
        <v/>
      </c>
      <c r="I163" s="148">
        <f>D163-H163</f>
        <v/>
      </c>
      <c r="J163" s="147">
        <f>E163+F163+G163</f>
        <v/>
      </c>
      <c r="K163" s="147">
        <f>IF(AND(D163&gt;0.005,Mortgage!$H$7&gt;0.8,D163/Mortgage!$B$5&gt;Mortgage!$B$14),Mortgage!$H$5*Mortgage!$B$13/12,0)</f>
        <v/>
      </c>
      <c r="L163" s="147">
        <f>IF(D163&gt;0.005,Mortgage!$B$11/12*(1+Mortgage!$B$16)^(C163-1),0)</f>
        <v/>
      </c>
      <c r="M163" s="147">
        <f>IF(D163&gt;0.005,Mortgage!$B$12/12*(1+Mortgage!$B$16)^(C163-1),0)</f>
        <v/>
      </c>
      <c r="N163" s="147">
        <f>IF(D163&gt;0.005,Mortgage!$B$15,0)</f>
        <v/>
      </c>
      <c r="O163" s="147">
        <f>J163+K163+L163+M163+N163</f>
        <v/>
      </c>
      <c r="P163" s="147">
        <f>P162+E163</f>
        <v/>
      </c>
      <c r="Q163" s="147">
        <f>IF(D163&gt;0.005,Mortgage!$B$5*(1+Mortgage!$B$17)^(A163/12),"")</f>
        <v/>
      </c>
      <c r="R163" s="147">
        <f>IF(D163&gt;0.005,Q163-I163,"")</f>
        <v/>
      </c>
      <c r="S163" s="147">
        <f>IF(A163&gt;Mortgage!$B$8*12,0,IF(Mortgage!$B$7=0,MAX(0,Mortgage!$H$5-Mortgage!$H$8*A163),MAX(0,Mortgage!$H$5*(1+(Mortgage!$B$7/12))^A163-Mortgage!$H$8*((1+(Mortgage!$B$7/12))^A163-1)/(Mortgage!$B$7/12))))</f>
        <v/>
      </c>
      <c r="T163" s="149">
        <f>IF(D163&gt;0.005,I163/Mortgage!$B$5,"")</f>
        <v/>
      </c>
      <c r="U163">
        <f>IF(A163&gt;Mortgage!$B$8*12,NA(),B163)</f>
        <v/>
      </c>
      <c r="V163">
        <f>IF(D163&gt;0.005,I163,NA())</f>
        <v/>
      </c>
      <c r="W163">
        <f>IF(A163&gt;Mortgage!$B$8*12,NA(),S163)</f>
        <v/>
      </c>
    </row>
    <row r="164">
      <c r="A164" s="129" t="n">
        <v>159</v>
      </c>
      <c r="B164" s="146">
        <f>EDATE(Mortgage!$B$9,A164-1)</f>
        <v/>
      </c>
      <c r="C164" s="129">
        <f>INT((A164-1)/12)+1</f>
        <v/>
      </c>
      <c r="D164" s="147">
        <f>IF(N(I163)&gt;0.005,I163,0)</f>
        <v/>
      </c>
      <c r="E164" s="147">
        <f>IF(D164&gt;0.005,D164*Mortgage!$B$7/12,0)</f>
        <v/>
      </c>
      <c r="F164" s="147">
        <f>IF(D164&gt;0.005,MIN(Mortgage!$H$8-E164,D164),0)</f>
        <v/>
      </c>
      <c r="G164" s="147">
        <f>IF(D164-F164&gt;0.005,MIN(D164-F164,Mortgage!$B$18+IF(MONTH(B164)=Mortgage!$B$20,Mortgage!$B$19,0)+SUMIFS(Mortgage!$E$6:$E$15,Mortgage!$D$6:$D$15,"&gt;="&amp;B164,Mortgage!$D$6:$D$15,"&lt;"&amp;EDATE(B164,1))+IF(Mortgage!$B$10="Bi-weekly (accelerated)",Mortgage!$H$8/12,0)),0)</f>
        <v/>
      </c>
      <c r="H164" s="147">
        <f>F164+G164</f>
        <v/>
      </c>
      <c r="I164" s="148">
        <f>D164-H164</f>
        <v/>
      </c>
      <c r="J164" s="147">
        <f>E164+F164+G164</f>
        <v/>
      </c>
      <c r="K164" s="147">
        <f>IF(AND(D164&gt;0.005,Mortgage!$H$7&gt;0.8,D164/Mortgage!$B$5&gt;Mortgage!$B$14),Mortgage!$H$5*Mortgage!$B$13/12,0)</f>
        <v/>
      </c>
      <c r="L164" s="147">
        <f>IF(D164&gt;0.005,Mortgage!$B$11/12*(1+Mortgage!$B$16)^(C164-1),0)</f>
        <v/>
      </c>
      <c r="M164" s="147">
        <f>IF(D164&gt;0.005,Mortgage!$B$12/12*(1+Mortgage!$B$16)^(C164-1),0)</f>
        <v/>
      </c>
      <c r="N164" s="147">
        <f>IF(D164&gt;0.005,Mortgage!$B$15,0)</f>
        <v/>
      </c>
      <c r="O164" s="147">
        <f>J164+K164+L164+M164+N164</f>
        <v/>
      </c>
      <c r="P164" s="147">
        <f>P163+E164</f>
        <v/>
      </c>
      <c r="Q164" s="147">
        <f>IF(D164&gt;0.005,Mortgage!$B$5*(1+Mortgage!$B$17)^(A164/12),"")</f>
        <v/>
      </c>
      <c r="R164" s="147">
        <f>IF(D164&gt;0.005,Q164-I164,"")</f>
        <v/>
      </c>
      <c r="S164" s="147">
        <f>IF(A164&gt;Mortgage!$B$8*12,0,IF(Mortgage!$B$7=0,MAX(0,Mortgage!$H$5-Mortgage!$H$8*A164),MAX(0,Mortgage!$H$5*(1+(Mortgage!$B$7/12))^A164-Mortgage!$H$8*((1+(Mortgage!$B$7/12))^A164-1)/(Mortgage!$B$7/12))))</f>
        <v/>
      </c>
      <c r="T164" s="149">
        <f>IF(D164&gt;0.005,I164/Mortgage!$B$5,"")</f>
        <v/>
      </c>
      <c r="U164">
        <f>IF(A164&gt;Mortgage!$B$8*12,NA(),B164)</f>
        <v/>
      </c>
      <c r="V164">
        <f>IF(D164&gt;0.005,I164,NA())</f>
        <v/>
      </c>
      <c r="W164">
        <f>IF(A164&gt;Mortgage!$B$8*12,NA(),S164)</f>
        <v/>
      </c>
    </row>
    <row r="165">
      <c r="A165" s="129" t="n">
        <v>160</v>
      </c>
      <c r="B165" s="146">
        <f>EDATE(Mortgage!$B$9,A165-1)</f>
        <v/>
      </c>
      <c r="C165" s="129">
        <f>INT((A165-1)/12)+1</f>
        <v/>
      </c>
      <c r="D165" s="147">
        <f>IF(N(I164)&gt;0.005,I164,0)</f>
        <v/>
      </c>
      <c r="E165" s="147">
        <f>IF(D165&gt;0.005,D165*Mortgage!$B$7/12,0)</f>
        <v/>
      </c>
      <c r="F165" s="147">
        <f>IF(D165&gt;0.005,MIN(Mortgage!$H$8-E165,D165),0)</f>
        <v/>
      </c>
      <c r="G165" s="147">
        <f>IF(D165-F165&gt;0.005,MIN(D165-F165,Mortgage!$B$18+IF(MONTH(B165)=Mortgage!$B$20,Mortgage!$B$19,0)+SUMIFS(Mortgage!$E$6:$E$15,Mortgage!$D$6:$D$15,"&gt;="&amp;B165,Mortgage!$D$6:$D$15,"&lt;"&amp;EDATE(B165,1))+IF(Mortgage!$B$10="Bi-weekly (accelerated)",Mortgage!$H$8/12,0)),0)</f>
        <v/>
      </c>
      <c r="H165" s="147">
        <f>F165+G165</f>
        <v/>
      </c>
      <c r="I165" s="148">
        <f>D165-H165</f>
        <v/>
      </c>
      <c r="J165" s="147">
        <f>E165+F165+G165</f>
        <v/>
      </c>
      <c r="K165" s="147">
        <f>IF(AND(D165&gt;0.005,Mortgage!$H$7&gt;0.8,D165/Mortgage!$B$5&gt;Mortgage!$B$14),Mortgage!$H$5*Mortgage!$B$13/12,0)</f>
        <v/>
      </c>
      <c r="L165" s="147">
        <f>IF(D165&gt;0.005,Mortgage!$B$11/12*(1+Mortgage!$B$16)^(C165-1),0)</f>
        <v/>
      </c>
      <c r="M165" s="147">
        <f>IF(D165&gt;0.005,Mortgage!$B$12/12*(1+Mortgage!$B$16)^(C165-1),0)</f>
        <v/>
      </c>
      <c r="N165" s="147">
        <f>IF(D165&gt;0.005,Mortgage!$B$15,0)</f>
        <v/>
      </c>
      <c r="O165" s="147">
        <f>J165+K165+L165+M165+N165</f>
        <v/>
      </c>
      <c r="P165" s="147">
        <f>P164+E165</f>
        <v/>
      </c>
      <c r="Q165" s="147">
        <f>IF(D165&gt;0.005,Mortgage!$B$5*(1+Mortgage!$B$17)^(A165/12),"")</f>
        <v/>
      </c>
      <c r="R165" s="147">
        <f>IF(D165&gt;0.005,Q165-I165,"")</f>
        <v/>
      </c>
      <c r="S165" s="147">
        <f>IF(A165&gt;Mortgage!$B$8*12,0,IF(Mortgage!$B$7=0,MAX(0,Mortgage!$H$5-Mortgage!$H$8*A165),MAX(0,Mortgage!$H$5*(1+(Mortgage!$B$7/12))^A165-Mortgage!$H$8*((1+(Mortgage!$B$7/12))^A165-1)/(Mortgage!$B$7/12))))</f>
        <v/>
      </c>
      <c r="T165" s="149">
        <f>IF(D165&gt;0.005,I165/Mortgage!$B$5,"")</f>
        <v/>
      </c>
      <c r="U165">
        <f>IF(A165&gt;Mortgage!$B$8*12,NA(),B165)</f>
        <v/>
      </c>
      <c r="V165">
        <f>IF(D165&gt;0.005,I165,NA())</f>
        <v/>
      </c>
      <c r="W165">
        <f>IF(A165&gt;Mortgage!$B$8*12,NA(),S165)</f>
        <v/>
      </c>
    </row>
    <row r="166">
      <c r="A166" s="129" t="n">
        <v>161</v>
      </c>
      <c r="B166" s="146">
        <f>EDATE(Mortgage!$B$9,A166-1)</f>
        <v/>
      </c>
      <c r="C166" s="129">
        <f>INT((A166-1)/12)+1</f>
        <v/>
      </c>
      <c r="D166" s="147">
        <f>IF(N(I165)&gt;0.005,I165,0)</f>
        <v/>
      </c>
      <c r="E166" s="147">
        <f>IF(D166&gt;0.005,D166*Mortgage!$B$7/12,0)</f>
        <v/>
      </c>
      <c r="F166" s="147">
        <f>IF(D166&gt;0.005,MIN(Mortgage!$H$8-E166,D166),0)</f>
        <v/>
      </c>
      <c r="G166" s="147">
        <f>IF(D166-F166&gt;0.005,MIN(D166-F166,Mortgage!$B$18+IF(MONTH(B166)=Mortgage!$B$20,Mortgage!$B$19,0)+SUMIFS(Mortgage!$E$6:$E$15,Mortgage!$D$6:$D$15,"&gt;="&amp;B166,Mortgage!$D$6:$D$15,"&lt;"&amp;EDATE(B166,1))+IF(Mortgage!$B$10="Bi-weekly (accelerated)",Mortgage!$H$8/12,0)),0)</f>
        <v/>
      </c>
      <c r="H166" s="147">
        <f>F166+G166</f>
        <v/>
      </c>
      <c r="I166" s="148">
        <f>D166-H166</f>
        <v/>
      </c>
      <c r="J166" s="147">
        <f>E166+F166+G166</f>
        <v/>
      </c>
      <c r="K166" s="147">
        <f>IF(AND(D166&gt;0.005,Mortgage!$H$7&gt;0.8,D166/Mortgage!$B$5&gt;Mortgage!$B$14),Mortgage!$H$5*Mortgage!$B$13/12,0)</f>
        <v/>
      </c>
      <c r="L166" s="147">
        <f>IF(D166&gt;0.005,Mortgage!$B$11/12*(1+Mortgage!$B$16)^(C166-1),0)</f>
        <v/>
      </c>
      <c r="M166" s="147">
        <f>IF(D166&gt;0.005,Mortgage!$B$12/12*(1+Mortgage!$B$16)^(C166-1),0)</f>
        <v/>
      </c>
      <c r="N166" s="147">
        <f>IF(D166&gt;0.005,Mortgage!$B$15,0)</f>
        <v/>
      </c>
      <c r="O166" s="147">
        <f>J166+K166+L166+M166+N166</f>
        <v/>
      </c>
      <c r="P166" s="147">
        <f>P165+E166</f>
        <v/>
      </c>
      <c r="Q166" s="147">
        <f>IF(D166&gt;0.005,Mortgage!$B$5*(1+Mortgage!$B$17)^(A166/12),"")</f>
        <v/>
      </c>
      <c r="R166" s="147">
        <f>IF(D166&gt;0.005,Q166-I166,"")</f>
        <v/>
      </c>
      <c r="S166" s="147">
        <f>IF(A166&gt;Mortgage!$B$8*12,0,IF(Mortgage!$B$7=0,MAX(0,Mortgage!$H$5-Mortgage!$H$8*A166),MAX(0,Mortgage!$H$5*(1+(Mortgage!$B$7/12))^A166-Mortgage!$H$8*((1+(Mortgage!$B$7/12))^A166-1)/(Mortgage!$B$7/12))))</f>
        <v/>
      </c>
      <c r="T166" s="149">
        <f>IF(D166&gt;0.005,I166/Mortgage!$B$5,"")</f>
        <v/>
      </c>
      <c r="U166">
        <f>IF(A166&gt;Mortgage!$B$8*12,NA(),B166)</f>
        <v/>
      </c>
      <c r="V166">
        <f>IF(D166&gt;0.005,I166,NA())</f>
        <v/>
      </c>
      <c r="W166">
        <f>IF(A166&gt;Mortgage!$B$8*12,NA(),S166)</f>
        <v/>
      </c>
    </row>
    <row r="167">
      <c r="A167" s="129" t="n">
        <v>162</v>
      </c>
      <c r="B167" s="146">
        <f>EDATE(Mortgage!$B$9,A167-1)</f>
        <v/>
      </c>
      <c r="C167" s="129">
        <f>INT((A167-1)/12)+1</f>
        <v/>
      </c>
      <c r="D167" s="147">
        <f>IF(N(I166)&gt;0.005,I166,0)</f>
        <v/>
      </c>
      <c r="E167" s="147">
        <f>IF(D167&gt;0.005,D167*Mortgage!$B$7/12,0)</f>
        <v/>
      </c>
      <c r="F167" s="147">
        <f>IF(D167&gt;0.005,MIN(Mortgage!$H$8-E167,D167),0)</f>
        <v/>
      </c>
      <c r="G167" s="147">
        <f>IF(D167-F167&gt;0.005,MIN(D167-F167,Mortgage!$B$18+IF(MONTH(B167)=Mortgage!$B$20,Mortgage!$B$19,0)+SUMIFS(Mortgage!$E$6:$E$15,Mortgage!$D$6:$D$15,"&gt;="&amp;B167,Mortgage!$D$6:$D$15,"&lt;"&amp;EDATE(B167,1))+IF(Mortgage!$B$10="Bi-weekly (accelerated)",Mortgage!$H$8/12,0)),0)</f>
        <v/>
      </c>
      <c r="H167" s="147">
        <f>F167+G167</f>
        <v/>
      </c>
      <c r="I167" s="148">
        <f>D167-H167</f>
        <v/>
      </c>
      <c r="J167" s="147">
        <f>E167+F167+G167</f>
        <v/>
      </c>
      <c r="K167" s="147">
        <f>IF(AND(D167&gt;0.005,Mortgage!$H$7&gt;0.8,D167/Mortgage!$B$5&gt;Mortgage!$B$14),Mortgage!$H$5*Mortgage!$B$13/12,0)</f>
        <v/>
      </c>
      <c r="L167" s="147">
        <f>IF(D167&gt;0.005,Mortgage!$B$11/12*(1+Mortgage!$B$16)^(C167-1),0)</f>
        <v/>
      </c>
      <c r="M167" s="147">
        <f>IF(D167&gt;0.005,Mortgage!$B$12/12*(1+Mortgage!$B$16)^(C167-1),0)</f>
        <v/>
      </c>
      <c r="N167" s="147">
        <f>IF(D167&gt;0.005,Mortgage!$B$15,0)</f>
        <v/>
      </c>
      <c r="O167" s="147">
        <f>J167+K167+L167+M167+N167</f>
        <v/>
      </c>
      <c r="P167" s="147">
        <f>P166+E167</f>
        <v/>
      </c>
      <c r="Q167" s="147">
        <f>IF(D167&gt;0.005,Mortgage!$B$5*(1+Mortgage!$B$17)^(A167/12),"")</f>
        <v/>
      </c>
      <c r="R167" s="147">
        <f>IF(D167&gt;0.005,Q167-I167,"")</f>
        <v/>
      </c>
      <c r="S167" s="147">
        <f>IF(A167&gt;Mortgage!$B$8*12,0,IF(Mortgage!$B$7=0,MAX(0,Mortgage!$H$5-Mortgage!$H$8*A167),MAX(0,Mortgage!$H$5*(1+(Mortgage!$B$7/12))^A167-Mortgage!$H$8*((1+(Mortgage!$B$7/12))^A167-1)/(Mortgage!$B$7/12))))</f>
        <v/>
      </c>
      <c r="T167" s="149">
        <f>IF(D167&gt;0.005,I167/Mortgage!$B$5,"")</f>
        <v/>
      </c>
      <c r="U167">
        <f>IF(A167&gt;Mortgage!$B$8*12,NA(),B167)</f>
        <v/>
      </c>
      <c r="V167">
        <f>IF(D167&gt;0.005,I167,NA())</f>
        <v/>
      </c>
      <c r="W167">
        <f>IF(A167&gt;Mortgage!$B$8*12,NA(),S167)</f>
        <v/>
      </c>
    </row>
    <row r="168">
      <c r="A168" s="129" t="n">
        <v>163</v>
      </c>
      <c r="B168" s="146">
        <f>EDATE(Mortgage!$B$9,A168-1)</f>
        <v/>
      </c>
      <c r="C168" s="129">
        <f>INT((A168-1)/12)+1</f>
        <v/>
      </c>
      <c r="D168" s="147">
        <f>IF(N(I167)&gt;0.005,I167,0)</f>
        <v/>
      </c>
      <c r="E168" s="147">
        <f>IF(D168&gt;0.005,D168*Mortgage!$B$7/12,0)</f>
        <v/>
      </c>
      <c r="F168" s="147">
        <f>IF(D168&gt;0.005,MIN(Mortgage!$H$8-E168,D168),0)</f>
        <v/>
      </c>
      <c r="G168" s="147">
        <f>IF(D168-F168&gt;0.005,MIN(D168-F168,Mortgage!$B$18+IF(MONTH(B168)=Mortgage!$B$20,Mortgage!$B$19,0)+SUMIFS(Mortgage!$E$6:$E$15,Mortgage!$D$6:$D$15,"&gt;="&amp;B168,Mortgage!$D$6:$D$15,"&lt;"&amp;EDATE(B168,1))+IF(Mortgage!$B$10="Bi-weekly (accelerated)",Mortgage!$H$8/12,0)),0)</f>
        <v/>
      </c>
      <c r="H168" s="147">
        <f>F168+G168</f>
        <v/>
      </c>
      <c r="I168" s="148">
        <f>D168-H168</f>
        <v/>
      </c>
      <c r="J168" s="147">
        <f>E168+F168+G168</f>
        <v/>
      </c>
      <c r="K168" s="147">
        <f>IF(AND(D168&gt;0.005,Mortgage!$H$7&gt;0.8,D168/Mortgage!$B$5&gt;Mortgage!$B$14),Mortgage!$H$5*Mortgage!$B$13/12,0)</f>
        <v/>
      </c>
      <c r="L168" s="147">
        <f>IF(D168&gt;0.005,Mortgage!$B$11/12*(1+Mortgage!$B$16)^(C168-1),0)</f>
        <v/>
      </c>
      <c r="M168" s="147">
        <f>IF(D168&gt;0.005,Mortgage!$B$12/12*(1+Mortgage!$B$16)^(C168-1),0)</f>
        <v/>
      </c>
      <c r="N168" s="147">
        <f>IF(D168&gt;0.005,Mortgage!$B$15,0)</f>
        <v/>
      </c>
      <c r="O168" s="147">
        <f>J168+K168+L168+M168+N168</f>
        <v/>
      </c>
      <c r="P168" s="147">
        <f>P167+E168</f>
        <v/>
      </c>
      <c r="Q168" s="147">
        <f>IF(D168&gt;0.005,Mortgage!$B$5*(1+Mortgage!$B$17)^(A168/12),"")</f>
        <v/>
      </c>
      <c r="R168" s="147">
        <f>IF(D168&gt;0.005,Q168-I168,"")</f>
        <v/>
      </c>
      <c r="S168" s="147">
        <f>IF(A168&gt;Mortgage!$B$8*12,0,IF(Mortgage!$B$7=0,MAX(0,Mortgage!$H$5-Mortgage!$H$8*A168),MAX(0,Mortgage!$H$5*(1+(Mortgage!$B$7/12))^A168-Mortgage!$H$8*((1+(Mortgage!$B$7/12))^A168-1)/(Mortgage!$B$7/12))))</f>
        <v/>
      </c>
      <c r="T168" s="149">
        <f>IF(D168&gt;0.005,I168/Mortgage!$B$5,"")</f>
        <v/>
      </c>
      <c r="U168">
        <f>IF(A168&gt;Mortgage!$B$8*12,NA(),B168)</f>
        <v/>
      </c>
      <c r="V168">
        <f>IF(D168&gt;0.005,I168,NA())</f>
        <v/>
      </c>
      <c r="W168">
        <f>IF(A168&gt;Mortgage!$B$8*12,NA(),S168)</f>
        <v/>
      </c>
    </row>
    <row r="169">
      <c r="A169" s="129" t="n">
        <v>164</v>
      </c>
      <c r="B169" s="146">
        <f>EDATE(Mortgage!$B$9,A169-1)</f>
        <v/>
      </c>
      <c r="C169" s="129">
        <f>INT((A169-1)/12)+1</f>
        <v/>
      </c>
      <c r="D169" s="147">
        <f>IF(N(I168)&gt;0.005,I168,0)</f>
        <v/>
      </c>
      <c r="E169" s="147">
        <f>IF(D169&gt;0.005,D169*Mortgage!$B$7/12,0)</f>
        <v/>
      </c>
      <c r="F169" s="147">
        <f>IF(D169&gt;0.005,MIN(Mortgage!$H$8-E169,D169),0)</f>
        <v/>
      </c>
      <c r="G169" s="147">
        <f>IF(D169-F169&gt;0.005,MIN(D169-F169,Mortgage!$B$18+IF(MONTH(B169)=Mortgage!$B$20,Mortgage!$B$19,0)+SUMIFS(Mortgage!$E$6:$E$15,Mortgage!$D$6:$D$15,"&gt;="&amp;B169,Mortgage!$D$6:$D$15,"&lt;"&amp;EDATE(B169,1))+IF(Mortgage!$B$10="Bi-weekly (accelerated)",Mortgage!$H$8/12,0)),0)</f>
        <v/>
      </c>
      <c r="H169" s="147">
        <f>F169+G169</f>
        <v/>
      </c>
      <c r="I169" s="148">
        <f>D169-H169</f>
        <v/>
      </c>
      <c r="J169" s="147">
        <f>E169+F169+G169</f>
        <v/>
      </c>
      <c r="K169" s="147">
        <f>IF(AND(D169&gt;0.005,Mortgage!$H$7&gt;0.8,D169/Mortgage!$B$5&gt;Mortgage!$B$14),Mortgage!$H$5*Mortgage!$B$13/12,0)</f>
        <v/>
      </c>
      <c r="L169" s="147">
        <f>IF(D169&gt;0.005,Mortgage!$B$11/12*(1+Mortgage!$B$16)^(C169-1),0)</f>
        <v/>
      </c>
      <c r="M169" s="147">
        <f>IF(D169&gt;0.005,Mortgage!$B$12/12*(1+Mortgage!$B$16)^(C169-1),0)</f>
        <v/>
      </c>
      <c r="N169" s="147">
        <f>IF(D169&gt;0.005,Mortgage!$B$15,0)</f>
        <v/>
      </c>
      <c r="O169" s="147">
        <f>J169+K169+L169+M169+N169</f>
        <v/>
      </c>
      <c r="P169" s="147">
        <f>P168+E169</f>
        <v/>
      </c>
      <c r="Q169" s="147">
        <f>IF(D169&gt;0.005,Mortgage!$B$5*(1+Mortgage!$B$17)^(A169/12),"")</f>
        <v/>
      </c>
      <c r="R169" s="147">
        <f>IF(D169&gt;0.005,Q169-I169,"")</f>
        <v/>
      </c>
      <c r="S169" s="147">
        <f>IF(A169&gt;Mortgage!$B$8*12,0,IF(Mortgage!$B$7=0,MAX(0,Mortgage!$H$5-Mortgage!$H$8*A169),MAX(0,Mortgage!$H$5*(1+(Mortgage!$B$7/12))^A169-Mortgage!$H$8*((1+(Mortgage!$B$7/12))^A169-1)/(Mortgage!$B$7/12))))</f>
        <v/>
      </c>
      <c r="T169" s="149">
        <f>IF(D169&gt;0.005,I169/Mortgage!$B$5,"")</f>
        <v/>
      </c>
      <c r="U169">
        <f>IF(A169&gt;Mortgage!$B$8*12,NA(),B169)</f>
        <v/>
      </c>
      <c r="V169">
        <f>IF(D169&gt;0.005,I169,NA())</f>
        <v/>
      </c>
      <c r="W169">
        <f>IF(A169&gt;Mortgage!$B$8*12,NA(),S169)</f>
        <v/>
      </c>
    </row>
    <row r="170">
      <c r="A170" s="129" t="n">
        <v>165</v>
      </c>
      <c r="B170" s="146">
        <f>EDATE(Mortgage!$B$9,A170-1)</f>
        <v/>
      </c>
      <c r="C170" s="129">
        <f>INT((A170-1)/12)+1</f>
        <v/>
      </c>
      <c r="D170" s="147">
        <f>IF(N(I169)&gt;0.005,I169,0)</f>
        <v/>
      </c>
      <c r="E170" s="147">
        <f>IF(D170&gt;0.005,D170*Mortgage!$B$7/12,0)</f>
        <v/>
      </c>
      <c r="F170" s="147">
        <f>IF(D170&gt;0.005,MIN(Mortgage!$H$8-E170,D170),0)</f>
        <v/>
      </c>
      <c r="G170" s="147">
        <f>IF(D170-F170&gt;0.005,MIN(D170-F170,Mortgage!$B$18+IF(MONTH(B170)=Mortgage!$B$20,Mortgage!$B$19,0)+SUMIFS(Mortgage!$E$6:$E$15,Mortgage!$D$6:$D$15,"&gt;="&amp;B170,Mortgage!$D$6:$D$15,"&lt;"&amp;EDATE(B170,1))+IF(Mortgage!$B$10="Bi-weekly (accelerated)",Mortgage!$H$8/12,0)),0)</f>
        <v/>
      </c>
      <c r="H170" s="147">
        <f>F170+G170</f>
        <v/>
      </c>
      <c r="I170" s="148">
        <f>D170-H170</f>
        <v/>
      </c>
      <c r="J170" s="147">
        <f>E170+F170+G170</f>
        <v/>
      </c>
      <c r="K170" s="147">
        <f>IF(AND(D170&gt;0.005,Mortgage!$H$7&gt;0.8,D170/Mortgage!$B$5&gt;Mortgage!$B$14),Mortgage!$H$5*Mortgage!$B$13/12,0)</f>
        <v/>
      </c>
      <c r="L170" s="147">
        <f>IF(D170&gt;0.005,Mortgage!$B$11/12*(1+Mortgage!$B$16)^(C170-1),0)</f>
        <v/>
      </c>
      <c r="M170" s="147">
        <f>IF(D170&gt;0.005,Mortgage!$B$12/12*(1+Mortgage!$B$16)^(C170-1),0)</f>
        <v/>
      </c>
      <c r="N170" s="147">
        <f>IF(D170&gt;0.005,Mortgage!$B$15,0)</f>
        <v/>
      </c>
      <c r="O170" s="147">
        <f>J170+K170+L170+M170+N170</f>
        <v/>
      </c>
      <c r="P170" s="147">
        <f>P169+E170</f>
        <v/>
      </c>
      <c r="Q170" s="147">
        <f>IF(D170&gt;0.005,Mortgage!$B$5*(1+Mortgage!$B$17)^(A170/12),"")</f>
        <v/>
      </c>
      <c r="R170" s="147">
        <f>IF(D170&gt;0.005,Q170-I170,"")</f>
        <v/>
      </c>
      <c r="S170" s="147">
        <f>IF(A170&gt;Mortgage!$B$8*12,0,IF(Mortgage!$B$7=0,MAX(0,Mortgage!$H$5-Mortgage!$H$8*A170),MAX(0,Mortgage!$H$5*(1+(Mortgage!$B$7/12))^A170-Mortgage!$H$8*((1+(Mortgage!$B$7/12))^A170-1)/(Mortgage!$B$7/12))))</f>
        <v/>
      </c>
      <c r="T170" s="149">
        <f>IF(D170&gt;0.005,I170/Mortgage!$B$5,"")</f>
        <v/>
      </c>
      <c r="U170">
        <f>IF(A170&gt;Mortgage!$B$8*12,NA(),B170)</f>
        <v/>
      </c>
      <c r="V170">
        <f>IF(D170&gt;0.005,I170,NA())</f>
        <v/>
      </c>
      <c r="W170">
        <f>IF(A170&gt;Mortgage!$B$8*12,NA(),S170)</f>
        <v/>
      </c>
    </row>
    <row r="171">
      <c r="A171" s="129" t="n">
        <v>166</v>
      </c>
      <c r="B171" s="146">
        <f>EDATE(Mortgage!$B$9,A171-1)</f>
        <v/>
      </c>
      <c r="C171" s="129">
        <f>INT((A171-1)/12)+1</f>
        <v/>
      </c>
      <c r="D171" s="147">
        <f>IF(N(I170)&gt;0.005,I170,0)</f>
        <v/>
      </c>
      <c r="E171" s="147">
        <f>IF(D171&gt;0.005,D171*Mortgage!$B$7/12,0)</f>
        <v/>
      </c>
      <c r="F171" s="147">
        <f>IF(D171&gt;0.005,MIN(Mortgage!$H$8-E171,D171),0)</f>
        <v/>
      </c>
      <c r="G171" s="147">
        <f>IF(D171-F171&gt;0.005,MIN(D171-F171,Mortgage!$B$18+IF(MONTH(B171)=Mortgage!$B$20,Mortgage!$B$19,0)+SUMIFS(Mortgage!$E$6:$E$15,Mortgage!$D$6:$D$15,"&gt;="&amp;B171,Mortgage!$D$6:$D$15,"&lt;"&amp;EDATE(B171,1))+IF(Mortgage!$B$10="Bi-weekly (accelerated)",Mortgage!$H$8/12,0)),0)</f>
        <v/>
      </c>
      <c r="H171" s="147">
        <f>F171+G171</f>
        <v/>
      </c>
      <c r="I171" s="148">
        <f>D171-H171</f>
        <v/>
      </c>
      <c r="J171" s="147">
        <f>E171+F171+G171</f>
        <v/>
      </c>
      <c r="K171" s="147">
        <f>IF(AND(D171&gt;0.005,Mortgage!$H$7&gt;0.8,D171/Mortgage!$B$5&gt;Mortgage!$B$14),Mortgage!$H$5*Mortgage!$B$13/12,0)</f>
        <v/>
      </c>
      <c r="L171" s="147">
        <f>IF(D171&gt;0.005,Mortgage!$B$11/12*(1+Mortgage!$B$16)^(C171-1),0)</f>
        <v/>
      </c>
      <c r="M171" s="147">
        <f>IF(D171&gt;0.005,Mortgage!$B$12/12*(1+Mortgage!$B$16)^(C171-1),0)</f>
        <v/>
      </c>
      <c r="N171" s="147">
        <f>IF(D171&gt;0.005,Mortgage!$B$15,0)</f>
        <v/>
      </c>
      <c r="O171" s="147">
        <f>J171+K171+L171+M171+N171</f>
        <v/>
      </c>
      <c r="P171" s="147">
        <f>P170+E171</f>
        <v/>
      </c>
      <c r="Q171" s="147">
        <f>IF(D171&gt;0.005,Mortgage!$B$5*(1+Mortgage!$B$17)^(A171/12),"")</f>
        <v/>
      </c>
      <c r="R171" s="147">
        <f>IF(D171&gt;0.005,Q171-I171,"")</f>
        <v/>
      </c>
      <c r="S171" s="147">
        <f>IF(A171&gt;Mortgage!$B$8*12,0,IF(Mortgage!$B$7=0,MAX(0,Mortgage!$H$5-Mortgage!$H$8*A171),MAX(0,Mortgage!$H$5*(1+(Mortgage!$B$7/12))^A171-Mortgage!$H$8*((1+(Mortgage!$B$7/12))^A171-1)/(Mortgage!$B$7/12))))</f>
        <v/>
      </c>
      <c r="T171" s="149">
        <f>IF(D171&gt;0.005,I171/Mortgage!$B$5,"")</f>
        <v/>
      </c>
      <c r="U171">
        <f>IF(A171&gt;Mortgage!$B$8*12,NA(),B171)</f>
        <v/>
      </c>
      <c r="V171">
        <f>IF(D171&gt;0.005,I171,NA())</f>
        <v/>
      </c>
      <c r="W171">
        <f>IF(A171&gt;Mortgage!$B$8*12,NA(),S171)</f>
        <v/>
      </c>
    </row>
    <row r="172">
      <c r="A172" s="129" t="n">
        <v>167</v>
      </c>
      <c r="B172" s="146">
        <f>EDATE(Mortgage!$B$9,A172-1)</f>
        <v/>
      </c>
      <c r="C172" s="129">
        <f>INT((A172-1)/12)+1</f>
        <v/>
      </c>
      <c r="D172" s="147">
        <f>IF(N(I171)&gt;0.005,I171,0)</f>
        <v/>
      </c>
      <c r="E172" s="147">
        <f>IF(D172&gt;0.005,D172*Mortgage!$B$7/12,0)</f>
        <v/>
      </c>
      <c r="F172" s="147">
        <f>IF(D172&gt;0.005,MIN(Mortgage!$H$8-E172,D172),0)</f>
        <v/>
      </c>
      <c r="G172" s="147">
        <f>IF(D172-F172&gt;0.005,MIN(D172-F172,Mortgage!$B$18+IF(MONTH(B172)=Mortgage!$B$20,Mortgage!$B$19,0)+SUMIFS(Mortgage!$E$6:$E$15,Mortgage!$D$6:$D$15,"&gt;="&amp;B172,Mortgage!$D$6:$D$15,"&lt;"&amp;EDATE(B172,1))+IF(Mortgage!$B$10="Bi-weekly (accelerated)",Mortgage!$H$8/12,0)),0)</f>
        <v/>
      </c>
      <c r="H172" s="147">
        <f>F172+G172</f>
        <v/>
      </c>
      <c r="I172" s="148">
        <f>D172-H172</f>
        <v/>
      </c>
      <c r="J172" s="147">
        <f>E172+F172+G172</f>
        <v/>
      </c>
      <c r="K172" s="147">
        <f>IF(AND(D172&gt;0.005,Mortgage!$H$7&gt;0.8,D172/Mortgage!$B$5&gt;Mortgage!$B$14),Mortgage!$H$5*Mortgage!$B$13/12,0)</f>
        <v/>
      </c>
      <c r="L172" s="147">
        <f>IF(D172&gt;0.005,Mortgage!$B$11/12*(1+Mortgage!$B$16)^(C172-1),0)</f>
        <v/>
      </c>
      <c r="M172" s="147">
        <f>IF(D172&gt;0.005,Mortgage!$B$12/12*(1+Mortgage!$B$16)^(C172-1),0)</f>
        <v/>
      </c>
      <c r="N172" s="147">
        <f>IF(D172&gt;0.005,Mortgage!$B$15,0)</f>
        <v/>
      </c>
      <c r="O172" s="147">
        <f>J172+K172+L172+M172+N172</f>
        <v/>
      </c>
      <c r="P172" s="147">
        <f>P171+E172</f>
        <v/>
      </c>
      <c r="Q172" s="147">
        <f>IF(D172&gt;0.005,Mortgage!$B$5*(1+Mortgage!$B$17)^(A172/12),"")</f>
        <v/>
      </c>
      <c r="R172" s="147">
        <f>IF(D172&gt;0.005,Q172-I172,"")</f>
        <v/>
      </c>
      <c r="S172" s="147">
        <f>IF(A172&gt;Mortgage!$B$8*12,0,IF(Mortgage!$B$7=0,MAX(0,Mortgage!$H$5-Mortgage!$H$8*A172),MAX(0,Mortgage!$H$5*(1+(Mortgage!$B$7/12))^A172-Mortgage!$H$8*((1+(Mortgage!$B$7/12))^A172-1)/(Mortgage!$B$7/12))))</f>
        <v/>
      </c>
      <c r="T172" s="149">
        <f>IF(D172&gt;0.005,I172/Mortgage!$B$5,"")</f>
        <v/>
      </c>
      <c r="U172">
        <f>IF(A172&gt;Mortgage!$B$8*12,NA(),B172)</f>
        <v/>
      </c>
      <c r="V172">
        <f>IF(D172&gt;0.005,I172,NA())</f>
        <v/>
      </c>
      <c r="W172">
        <f>IF(A172&gt;Mortgage!$B$8*12,NA(),S172)</f>
        <v/>
      </c>
    </row>
    <row r="173">
      <c r="A173" s="129" t="n">
        <v>168</v>
      </c>
      <c r="B173" s="146">
        <f>EDATE(Mortgage!$B$9,A173-1)</f>
        <v/>
      </c>
      <c r="C173" s="129">
        <f>INT((A173-1)/12)+1</f>
        <v/>
      </c>
      <c r="D173" s="147">
        <f>IF(N(I172)&gt;0.005,I172,0)</f>
        <v/>
      </c>
      <c r="E173" s="147">
        <f>IF(D173&gt;0.005,D173*Mortgage!$B$7/12,0)</f>
        <v/>
      </c>
      <c r="F173" s="147">
        <f>IF(D173&gt;0.005,MIN(Mortgage!$H$8-E173,D173),0)</f>
        <v/>
      </c>
      <c r="G173" s="147">
        <f>IF(D173-F173&gt;0.005,MIN(D173-F173,Mortgage!$B$18+IF(MONTH(B173)=Mortgage!$B$20,Mortgage!$B$19,0)+SUMIFS(Mortgage!$E$6:$E$15,Mortgage!$D$6:$D$15,"&gt;="&amp;B173,Mortgage!$D$6:$D$15,"&lt;"&amp;EDATE(B173,1))+IF(Mortgage!$B$10="Bi-weekly (accelerated)",Mortgage!$H$8/12,0)),0)</f>
        <v/>
      </c>
      <c r="H173" s="147">
        <f>F173+G173</f>
        <v/>
      </c>
      <c r="I173" s="148">
        <f>D173-H173</f>
        <v/>
      </c>
      <c r="J173" s="147">
        <f>E173+F173+G173</f>
        <v/>
      </c>
      <c r="K173" s="147">
        <f>IF(AND(D173&gt;0.005,Mortgage!$H$7&gt;0.8,D173/Mortgage!$B$5&gt;Mortgage!$B$14),Mortgage!$H$5*Mortgage!$B$13/12,0)</f>
        <v/>
      </c>
      <c r="L173" s="147">
        <f>IF(D173&gt;0.005,Mortgage!$B$11/12*(1+Mortgage!$B$16)^(C173-1),0)</f>
        <v/>
      </c>
      <c r="M173" s="147">
        <f>IF(D173&gt;0.005,Mortgage!$B$12/12*(1+Mortgage!$B$16)^(C173-1),0)</f>
        <v/>
      </c>
      <c r="N173" s="147">
        <f>IF(D173&gt;0.005,Mortgage!$B$15,0)</f>
        <v/>
      </c>
      <c r="O173" s="147">
        <f>J173+K173+L173+M173+N173</f>
        <v/>
      </c>
      <c r="P173" s="147">
        <f>P172+E173</f>
        <v/>
      </c>
      <c r="Q173" s="147">
        <f>IF(D173&gt;0.005,Mortgage!$B$5*(1+Mortgage!$B$17)^(A173/12),"")</f>
        <v/>
      </c>
      <c r="R173" s="147">
        <f>IF(D173&gt;0.005,Q173-I173,"")</f>
        <v/>
      </c>
      <c r="S173" s="147">
        <f>IF(A173&gt;Mortgage!$B$8*12,0,IF(Mortgage!$B$7=0,MAX(0,Mortgage!$H$5-Mortgage!$H$8*A173),MAX(0,Mortgage!$H$5*(1+(Mortgage!$B$7/12))^A173-Mortgage!$H$8*((1+(Mortgage!$B$7/12))^A173-1)/(Mortgage!$B$7/12))))</f>
        <v/>
      </c>
      <c r="T173" s="149">
        <f>IF(D173&gt;0.005,I173/Mortgage!$B$5,"")</f>
        <v/>
      </c>
      <c r="U173">
        <f>IF(A173&gt;Mortgage!$B$8*12,NA(),B173)</f>
        <v/>
      </c>
      <c r="V173">
        <f>IF(D173&gt;0.005,I173,NA())</f>
        <v/>
      </c>
      <c r="W173">
        <f>IF(A173&gt;Mortgage!$B$8*12,NA(),S173)</f>
        <v/>
      </c>
    </row>
    <row r="174">
      <c r="A174" s="129" t="n">
        <v>169</v>
      </c>
      <c r="B174" s="146">
        <f>EDATE(Mortgage!$B$9,A174-1)</f>
        <v/>
      </c>
      <c r="C174" s="129">
        <f>INT((A174-1)/12)+1</f>
        <v/>
      </c>
      <c r="D174" s="147">
        <f>IF(N(I173)&gt;0.005,I173,0)</f>
        <v/>
      </c>
      <c r="E174" s="147">
        <f>IF(D174&gt;0.005,D174*Mortgage!$B$7/12,0)</f>
        <v/>
      </c>
      <c r="F174" s="147">
        <f>IF(D174&gt;0.005,MIN(Mortgage!$H$8-E174,D174),0)</f>
        <v/>
      </c>
      <c r="G174" s="147">
        <f>IF(D174-F174&gt;0.005,MIN(D174-F174,Mortgage!$B$18+IF(MONTH(B174)=Mortgage!$B$20,Mortgage!$B$19,0)+SUMIFS(Mortgage!$E$6:$E$15,Mortgage!$D$6:$D$15,"&gt;="&amp;B174,Mortgage!$D$6:$D$15,"&lt;"&amp;EDATE(B174,1))+IF(Mortgage!$B$10="Bi-weekly (accelerated)",Mortgage!$H$8/12,0)),0)</f>
        <v/>
      </c>
      <c r="H174" s="147">
        <f>F174+G174</f>
        <v/>
      </c>
      <c r="I174" s="148">
        <f>D174-H174</f>
        <v/>
      </c>
      <c r="J174" s="147">
        <f>E174+F174+G174</f>
        <v/>
      </c>
      <c r="K174" s="147">
        <f>IF(AND(D174&gt;0.005,Mortgage!$H$7&gt;0.8,D174/Mortgage!$B$5&gt;Mortgage!$B$14),Mortgage!$H$5*Mortgage!$B$13/12,0)</f>
        <v/>
      </c>
      <c r="L174" s="147">
        <f>IF(D174&gt;0.005,Mortgage!$B$11/12*(1+Mortgage!$B$16)^(C174-1),0)</f>
        <v/>
      </c>
      <c r="M174" s="147">
        <f>IF(D174&gt;0.005,Mortgage!$B$12/12*(1+Mortgage!$B$16)^(C174-1),0)</f>
        <v/>
      </c>
      <c r="N174" s="147">
        <f>IF(D174&gt;0.005,Mortgage!$B$15,0)</f>
        <v/>
      </c>
      <c r="O174" s="147">
        <f>J174+K174+L174+M174+N174</f>
        <v/>
      </c>
      <c r="P174" s="147">
        <f>P173+E174</f>
        <v/>
      </c>
      <c r="Q174" s="147">
        <f>IF(D174&gt;0.005,Mortgage!$B$5*(1+Mortgage!$B$17)^(A174/12),"")</f>
        <v/>
      </c>
      <c r="R174" s="147">
        <f>IF(D174&gt;0.005,Q174-I174,"")</f>
        <v/>
      </c>
      <c r="S174" s="147">
        <f>IF(A174&gt;Mortgage!$B$8*12,0,IF(Mortgage!$B$7=0,MAX(0,Mortgage!$H$5-Mortgage!$H$8*A174),MAX(0,Mortgage!$H$5*(1+(Mortgage!$B$7/12))^A174-Mortgage!$H$8*((1+(Mortgage!$B$7/12))^A174-1)/(Mortgage!$B$7/12))))</f>
        <v/>
      </c>
      <c r="T174" s="149">
        <f>IF(D174&gt;0.005,I174/Mortgage!$B$5,"")</f>
        <v/>
      </c>
      <c r="U174">
        <f>IF(A174&gt;Mortgage!$B$8*12,NA(),B174)</f>
        <v/>
      </c>
      <c r="V174">
        <f>IF(D174&gt;0.005,I174,NA())</f>
        <v/>
      </c>
      <c r="W174">
        <f>IF(A174&gt;Mortgage!$B$8*12,NA(),S174)</f>
        <v/>
      </c>
    </row>
    <row r="175">
      <c r="A175" s="129" t="n">
        <v>170</v>
      </c>
      <c r="B175" s="146">
        <f>EDATE(Mortgage!$B$9,A175-1)</f>
        <v/>
      </c>
      <c r="C175" s="129">
        <f>INT((A175-1)/12)+1</f>
        <v/>
      </c>
      <c r="D175" s="147">
        <f>IF(N(I174)&gt;0.005,I174,0)</f>
        <v/>
      </c>
      <c r="E175" s="147">
        <f>IF(D175&gt;0.005,D175*Mortgage!$B$7/12,0)</f>
        <v/>
      </c>
      <c r="F175" s="147">
        <f>IF(D175&gt;0.005,MIN(Mortgage!$H$8-E175,D175),0)</f>
        <v/>
      </c>
      <c r="G175" s="147">
        <f>IF(D175-F175&gt;0.005,MIN(D175-F175,Mortgage!$B$18+IF(MONTH(B175)=Mortgage!$B$20,Mortgage!$B$19,0)+SUMIFS(Mortgage!$E$6:$E$15,Mortgage!$D$6:$D$15,"&gt;="&amp;B175,Mortgage!$D$6:$D$15,"&lt;"&amp;EDATE(B175,1))+IF(Mortgage!$B$10="Bi-weekly (accelerated)",Mortgage!$H$8/12,0)),0)</f>
        <v/>
      </c>
      <c r="H175" s="147">
        <f>F175+G175</f>
        <v/>
      </c>
      <c r="I175" s="148">
        <f>D175-H175</f>
        <v/>
      </c>
      <c r="J175" s="147">
        <f>E175+F175+G175</f>
        <v/>
      </c>
      <c r="K175" s="147">
        <f>IF(AND(D175&gt;0.005,Mortgage!$H$7&gt;0.8,D175/Mortgage!$B$5&gt;Mortgage!$B$14),Mortgage!$H$5*Mortgage!$B$13/12,0)</f>
        <v/>
      </c>
      <c r="L175" s="147">
        <f>IF(D175&gt;0.005,Mortgage!$B$11/12*(1+Mortgage!$B$16)^(C175-1),0)</f>
        <v/>
      </c>
      <c r="M175" s="147">
        <f>IF(D175&gt;0.005,Mortgage!$B$12/12*(1+Mortgage!$B$16)^(C175-1),0)</f>
        <v/>
      </c>
      <c r="N175" s="147">
        <f>IF(D175&gt;0.005,Mortgage!$B$15,0)</f>
        <v/>
      </c>
      <c r="O175" s="147">
        <f>J175+K175+L175+M175+N175</f>
        <v/>
      </c>
      <c r="P175" s="147">
        <f>P174+E175</f>
        <v/>
      </c>
      <c r="Q175" s="147">
        <f>IF(D175&gt;0.005,Mortgage!$B$5*(1+Mortgage!$B$17)^(A175/12),"")</f>
        <v/>
      </c>
      <c r="R175" s="147">
        <f>IF(D175&gt;0.005,Q175-I175,"")</f>
        <v/>
      </c>
      <c r="S175" s="147">
        <f>IF(A175&gt;Mortgage!$B$8*12,0,IF(Mortgage!$B$7=0,MAX(0,Mortgage!$H$5-Mortgage!$H$8*A175),MAX(0,Mortgage!$H$5*(1+(Mortgage!$B$7/12))^A175-Mortgage!$H$8*((1+(Mortgage!$B$7/12))^A175-1)/(Mortgage!$B$7/12))))</f>
        <v/>
      </c>
      <c r="T175" s="149">
        <f>IF(D175&gt;0.005,I175/Mortgage!$B$5,"")</f>
        <v/>
      </c>
      <c r="U175">
        <f>IF(A175&gt;Mortgage!$B$8*12,NA(),B175)</f>
        <v/>
      </c>
      <c r="V175">
        <f>IF(D175&gt;0.005,I175,NA())</f>
        <v/>
      </c>
      <c r="W175">
        <f>IF(A175&gt;Mortgage!$B$8*12,NA(),S175)</f>
        <v/>
      </c>
    </row>
    <row r="176">
      <c r="A176" s="129" t="n">
        <v>171</v>
      </c>
      <c r="B176" s="146">
        <f>EDATE(Mortgage!$B$9,A176-1)</f>
        <v/>
      </c>
      <c r="C176" s="129">
        <f>INT((A176-1)/12)+1</f>
        <v/>
      </c>
      <c r="D176" s="147">
        <f>IF(N(I175)&gt;0.005,I175,0)</f>
        <v/>
      </c>
      <c r="E176" s="147">
        <f>IF(D176&gt;0.005,D176*Mortgage!$B$7/12,0)</f>
        <v/>
      </c>
      <c r="F176" s="147">
        <f>IF(D176&gt;0.005,MIN(Mortgage!$H$8-E176,D176),0)</f>
        <v/>
      </c>
      <c r="G176" s="147">
        <f>IF(D176-F176&gt;0.005,MIN(D176-F176,Mortgage!$B$18+IF(MONTH(B176)=Mortgage!$B$20,Mortgage!$B$19,0)+SUMIFS(Mortgage!$E$6:$E$15,Mortgage!$D$6:$D$15,"&gt;="&amp;B176,Mortgage!$D$6:$D$15,"&lt;"&amp;EDATE(B176,1))+IF(Mortgage!$B$10="Bi-weekly (accelerated)",Mortgage!$H$8/12,0)),0)</f>
        <v/>
      </c>
      <c r="H176" s="147">
        <f>F176+G176</f>
        <v/>
      </c>
      <c r="I176" s="148">
        <f>D176-H176</f>
        <v/>
      </c>
      <c r="J176" s="147">
        <f>E176+F176+G176</f>
        <v/>
      </c>
      <c r="K176" s="147">
        <f>IF(AND(D176&gt;0.005,Mortgage!$H$7&gt;0.8,D176/Mortgage!$B$5&gt;Mortgage!$B$14),Mortgage!$H$5*Mortgage!$B$13/12,0)</f>
        <v/>
      </c>
      <c r="L176" s="147">
        <f>IF(D176&gt;0.005,Mortgage!$B$11/12*(1+Mortgage!$B$16)^(C176-1),0)</f>
        <v/>
      </c>
      <c r="M176" s="147">
        <f>IF(D176&gt;0.005,Mortgage!$B$12/12*(1+Mortgage!$B$16)^(C176-1),0)</f>
        <v/>
      </c>
      <c r="N176" s="147">
        <f>IF(D176&gt;0.005,Mortgage!$B$15,0)</f>
        <v/>
      </c>
      <c r="O176" s="147">
        <f>J176+K176+L176+M176+N176</f>
        <v/>
      </c>
      <c r="P176" s="147">
        <f>P175+E176</f>
        <v/>
      </c>
      <c r="Q176" s="147">
        <f>IF(D176&gt;0.005,Mortgage!$B$5*(1+Mortgage!$B$17)^(A176/12),"")</f>
        <v/>
      </c>
      <c r="R176" s="147">
        <f>IF(D176&gt;0.005,Q176-I176,"")</f>
        <v/>
      </c>
      <c r="S176" s="147">
        <f>IF(A176&gt;Mortgage!$B$8*12,0,IF(Mortgage!$B$7=0,MAX(0,Mortgage!$H$5-Mortgage!$H$8*A176),MAX(0,Mortgage!$H$5*(1+(Mortgage!$B$7/12))^A176-Mortgage!$H$8*((1+(Mortgage!$B$7/12))^A176-1)/(Mortgage!$B$7/12))))</f>
        <v/>
      </c>
      <c r="T176" s="149">
        <f>IF(D176&gt;0.005,I176/Mortgage!$B$5,"")</f>
        <v/>
      </c>
      <c r="U176">
        <f>IF(A176&gt;Mortgage!$B$8*12,NA(),B176)</f>
        <v/>
      </c>
      <c r="V176">
        <f>IF(D176&gt;0.005,I176,NA())</f>
        <v/>
      </c>
      <c r="W176">
        <f>IF(A176&gt;Mortgage!$B$8*12,NA(),S176)</f>
        <v/>
      </c>
    </row>
    <row r="177">
      <c r="A177" s="129" t="n">
        <v>172</v>
      </c>
      <c r="B177" s="146">
        <f>EDATE(Mortgage!$B$9,A177-1)</f>
        <v/>
      </c>
      <c r="C177" s="129">
        <f>INT((A177-1)/12)+1</f>
        <v/>
      </c>
      <c r="D177" s="147">
        <f>IF(N(I176)&gt;0.005,I176,0)</f>
        <v/>
      </c>
      <c r="E177" s="147">
        <f>IF(D177&gt;0.005,D177*Mortgage!$B$7/12,0)</f>
        <v/>
      </c>
      <c r="F177" s="147">
        <f>IF(D177&gt;0.005,MIN(Mortgage!$H$8-E177,D177),0)</f>
        <v/>
      </c>
      <c r="G177" s="147">
        <f>IF(D177-F177&gt;0.005,MIN(D177-F177,Mortgage!$B$18+IF(MONTH(B177)=Mortgage!$B$20,Mortgage!$B$19,0)+SUMIFS(Mortgage!$E$6:$E$15,Mortgage!$D$6:$D$15,"&gt;="&amp;B177,Mortgage!$D$6:$D$15,"&lt;"&amp;EDATE(B177,1))+IF(Mortgage!$B$10="Bi-weekly (accelerated)",Mortgage!$H$8/12,0)),0)</f>
        <v/>
      </c>
      <c r="H177" s="147">
        <f>F177+G177</f>
        <v/>
      </c>
      <c r="I177" s="148">
        <f>D177-H177</f>
        <v/>
      </c>
      <c r="J177" s="147">
        <f>E177+F177+G177</f>
        <v/>
      </c>
      <c r="K177" s="147">
        <f>IF(AND(D177&gt;0.005,Mortgage!$H$7&gt;0.8,D177/Mortgage!$B$5&gt;Mortgage!$B$14),Mortgage!$H$5*Mortgage!$B$13/12,0)</f>
        <v/>
      </c>
      <c r="L177" s="147">
        <f>IF(D177&gt;0.005,Mortgage!$B$11/12*(1+Mortgage!$B$16)^(C177-1),0)</f>
        <v/>
      </c>
      <c r="M177" s="147">
        <f>IF(D177&gt;0.005,Mortgage!$B$12/12*(1+Mortgage!$B$16)^(C177-1),0)</f>
        <v/>
      </c>
      <c r="N177" s="147">
        <f>IF(D177&gt;0.005,Mortgage!$B$15,0)</f>
        <v/>
      </c>
      <c r="O177" s="147">
        <f>J177+K177+L177+M177+N177</f>
        <v/>
      </c>
      <c r="P177" s="147">
        <f>P176+E177</f>
        <v/>
      </c>
      <c r="Q177" s="147">
        <f>IF(D177&gt;0.005,Mortgage!$B$5*(1+Mortgage!$B$17)^(A177/12),"")</f>
        <v/>
      </c>
      <c r="R177" s="147">
        <f>IF(D177&gt;0.005,Q177-I177,"")</f>
        <v/>
      </c>
      <c r="S177" s="147">
        <f>IF(A177&gt;Mortgage!$B$8*12,0,IF(Mortgage!$B$7=0,MAX(0,Mortgage!$H$5-Mortgage!$H$8*A177),MAX(0,Mortgage!$H$5*(1+(Mortgage!$B$7/12))^A177-Mortgage!$H$8*((1+(Mortgage!$B$7/12))^A177-1)/(Mortgage!$B$7/12))))</f>
        <v/>
      </c>
      <c r="T177" s="149">
        <f>IF(D177&gt;0.005,I177/Mortgage!$B$5,"")</f>
        <v/>
      </c>
      <c r="U177">
        <f>IF(A177&gt;Mortgage!$B$8*12,NA(),B177)</f>
        <v/>
      </c>
      <c r="V177">
        <f>IF(D177&gt;0.005,I177,NA())</f>
        <v/>
      </c>
      <c r="W177">
        <f>IF(A177&gt;Mortgage!$B$8*12,NA(),S177)</f>
        <v/>
      </c>
    </row>
    <row r="178">
      <c r="A178" s="129" t="n">
        <v>173</v>
      </c>
      <c r="B178" s="146">
        <f>EDATE(Mortgage!$B$9,A178-1)</f>
        <v/>
      </c>
      <c r="C178" s="129">
        <f>INT((A178-1)/12)+1</f>
        <v/>
      </c>
      <c r="D178" s="147">
        <f>IF(N(I177)&gt;0.005,I177,0)</f>
        <v/>
      </c>
      <c r="E178" s="147">
        <f>IF(D178&gt;0.005,D178*Mortgage!$B$7/12,0)</f>
        <v/>
      </c>
      <c r="F178" s="147">
        <f>IF(D178&gt;0.005,MIN(Mortgage!$H$8-E178,D178),0)</f>
        <v/>
      </c>
      <c r="G178" s="147">
        <f>IF(D178-F178&gt;0.005,MIN(D178-F178,Mortgage!$B$18+IF(MONTH(B178)=Mortgage!$B$20,Mortgage!$B$19,0)+SUMIFS(Mortgage!$E$6:$E$15,Mortgage!$D$6:$D$15,"&gt;="&amp;B178,Mortgage!$D$6:$D$15,"&lt;"&amp;EDATE(B178,1))+IF(Mortgage!$B$10="Bi-weekly (accelerated)",Mortgage!$H$8/12,0)),0)</f>
        <v/>
      </c>
      <c r="H178" s="147">
        <f>F178+G178</f>
        <v/>
      </c>
      <c r="I178" s="148">
        <f>D178-H178</f>
        <v/>
      </c>
      <c r="J178" s="147">
        <f>E178+F178+G178</f>
        <v/>
      </c>
      <c r="K178" s="147">
        <f>IF(AND(D178&gt;0.005,Mortgage!$H$7&gt;0.8,D178/Mortgage!$B$5&gt;Mortgage!$B$14),Mortgage!$H$5*Mortgage!$B$13/12,0)</f>
        <v/>
      </c>
      <c r="L178" s="147">
        <f>IF(D178&gt;0.005,Mortgage!$B$11/12*(1+Mortgage!$B$16)^(C178-1),0)</f>
        <v/>
      </c>
      <c r="M178" s="147">
        <f>IF(D178&gt;0.005,Mortgage!$B$12/12*(1+Mortgage!$B$16)^(C178-1),0)</f>
        <v/>
      </c>
      <c r="N178" s="147">
        <f>IF(D178&gt;0.005,Mortgage!$B$15,0)</f>
        <v/>
      </c>
      <c r="O178" s="147">
        <f>J178+K178+L178+M178+N178</f>
        <v/>
      </c>
      <c r="P178" s="147">
        <f>P177+E178</f>
        <v/>
      </c>
      <c r="Q178" s="147">
        <f>IF(D178&gt;0.005,Mortgage!$B$5*(1+Mortgage!$B$17)^(A178/12),"")</f>
        <v/>
      </c>
      <c r="R178" s="147">
        <f>IF(D178&gt;0.005,Q178-I178,"")</f>
        <v/>
      </c>
      <c r="S178" s="147">
        <f>IF(A178&gt;Mortgage!$B$8*12,0,IF(Mortgage!$B$7=0,MAX(0,Mortgage!$H$5-Mortgage!$H$8*A178),MAX(0,Mortgage!$H$5*(1+(Mortgage!$B$7/12))^A178-Mortgage!$H$8*((1+(Mortgage!$B$7/12))^A178-1)/(Mortgage!$B$7/12))))</f>
        <v/>
      </c>
      <c r="T178" s="149">
        <f>IF(D178&gt;0.005,I178/Mortgage!$B$5,"")</f>
        <v/>
      </c>
      <c r="U178">
        <f>IF(A178&gt;Mortgage!$B$8*12,NA(),B178)</f>
        <v/>
      </c>
      <c r="V178">
        <f>IF(D178&gt;0.005,I178,NA())</f>
        <v/>
      </c>
      <c r="W178">
        <f>IF(A178&gt;Mortgage!$B$8*12,NA(),S178)</f>
        <v/>
      </c>
    </row>
    <row r="179">
      <c r="A179" s="129" t="n">
        <v>174</v>
      </c>
      <c r="B179" s="146">
        <f>EDATE(Mortgage!$B$9,A179-1)</f>
        <v/>
      </c>
      <c r="C179" s="129">
        <f>INT((A179-1)/12)+1</f>
        <v/>
      </c>
      <c r="D179" s="147">
        <f>IF(N(I178)&gt;0.005,I178,0)</f>
        <v/>
      </c>
      <c r="E179" s="147">
        <f>IF(D179&gt;0.005,D179*Mortgage!$B$7/12,0)</f>
        <v/>
      </c>
      <c r="F179" s="147">
        <f>IF(D179&gt;0.005,MIN(Mortgage!$H$8-E179,D179),0)</f>
        <v/>
      </c>
      <c r="G179" s="147">
        <f>IF(D179-F179&gt;0.005,MIN(D179-F179,Mortgage!$B$18+IF(MONTH(B179)=Mortgage!$B$20,Mortgage!$B$19,0)+SUMIFS(Mortgage!$E$6:$E$15,Mortgage!$D$6:$D$15,"&gt;="&amp;B179,Mortgage!$D$6:$D$15,"&lt;"&amp;EDATE(B179,1))+IF(Mortgage!$B$10="Bi-weekly (accelerated)",Mortgage!$H$8/12,0)),0)</f>
        <v/>
      </c>
      <c r="H179" s="147">
        <f>F179+G179</f>
        <v/>
      </c>
      <c r="I179" s="148">
        <f>D179-H179</f>
        <v/>
      </c>
      <c r="J179" s="147">
        <f>E179+F179+G179</f>
        <v/>
      </c>
      <c r="K179" s="147">
        <f>IF(AND(D179&gt;0.005,Mortgage!$H$7&gt;0.8,D179/Mortgage!$B$5&gt;Mortgage!$B$14),Mortgage!$H$5*Mortgage!$B$13/12,0)</f>
        <v/>
      </c>
      <c r="L179" s="147">
        <f>IF(D179&gt;0.005,Mortgage!$B$11/12*(1+Mortgage!$B$16)^(C179-1),0)</f>
        <v/>
      </c>
      <c r="M179" s="147">
        <f>IF(D179&gt;0.005,Mortgage!$B$12/12*(1+Mortgage!$B$16)^(C179-1),0)</f>
        <v/>
      </c>
      <c r="N179" s="147">
        <f>IF(D179&gt;0.005,Mortgage!$B$15,0)</f>
        <v/>
      </c>
      <c r="O179" s="147">
        <f>J179+K179+L179+M179+N179</f>
        <v/>
      </c>
      <c r="P179" s="147">
        <f>P178+E179</f>
        <v/>
      </c>
      <c r="Q179" s="147">
        <f>IF(D179&gt;0.005,Mortgage!$B$5*(1+Mortgage!$B$17)^(A179/12),"")</f>
        <v/>
      </c>
      <c r="R179" s="147">
        <f>IF(D179&gt;0.005,Q179-I179,"")</f>
        <v/>
      </c>
      <c r="S179" s="147">
        <f>IF(A179&gt;Mortgage!$B$8*12,0,IF(Mortgage!$B$7=0,MAX(0,Mortgage!$H$5-Mortgage!$H$8*A179),MAX(0,Mortgage!$H$5*(1+(Mortgage!$B$7/12))^A179-Mortgage!$H$8*((1+(Mortgage!$B$7/12))^A179-1)/(Mortgage!$B$7/12))))</f>
        <v/>
      </c>
      <c r="T179" s="149">
        <f>IF(D179&gt;0.005,I179/Mortgage!$B$5,"")</f>
        <v/>
      </c>
      <c r="U179">
        <f>IF(A179&gt;Mortgage!$B$8*12,NA(),B179)</f>
        <v/>
      </c>
      <c r="V179">
        <f>IF(D179&gt;0.005,I179,NA())</f>
        <v/>
      </c>
      <c r="W179">
        <f>IF(A179&gt;Mortgage!$B$8*12,NA(),S179)</f>
        <v/>
      </c>
    </row>
    <row r="180">
      <c r="A180" s="129" t="n">
        <v>175</v>
      </c>
      <c r="B180" s="146">
        <f>EDATE(Mortgage!$B$9,A180-1)</f>
        <v/>
      </c>
      <c r="C180" s="129">
        <f>INT((A180-1)/12)+1</f>
        <v/>
      </c>
      <c r="D180" s="147">
        <f>IF(N(I179)&gt;0.005,I179,0)</f>
        <v/>
      </c>
      <c r="E180" s="147">
        <f>IF(D180&gt;0.005,D180*Mortgage!$B$7/12,0)</f>
        <v/>
      </c>
      <c r="F180" s="147">
        <f>IF(D180&gt;0.005,MIN(Mortgage!$H$8-E180,D180),0)</f>
        <v/>
      </c>
      <c r="G180" s="147">
        <f>IF(D180-F180&gt;0.005,MIN(D180-F180,Mortgage!$B$18+IF(MONTH(B180)=Mortgage!$B$20,Mortgage!$B$19,0)+SUMIFS(Mortgage!$E$6:$E$15,Mortgage!$D$6:$D$15,"&gt;="&amp;B180,Mortgage!$D$6:$D$15,"&lt;"&amp;EDATE(B180,1))+IF(Mortgage!$B$10="Bi-weekly (accelerated)",Mortgage!$H$8/12,0)),0)</f>
        <v/>
      </c>
      <c r="H180" s="147">
        <f>F180+G180</f>
        <v/>
      </c>
      <c r="I180" s="148">
        <f>D180-H180</f>
        <v/>
      </c>
      <c r="J180" s="147">
        <f>E180+F180+G180</f>
        <v/>
      </c>
      <c r="K180" s="147">
        <f>IF(AND(D180&gt;0.005,Mortgage!$H$7&gt;0.8,D180/Mortgage!$B$5&gt;Mortgage!$B$14),Mortgage!$H$5*Mortgage!$B$13/12,0)</f>
        <v/>
      </c>
      <c r="L180" s="147">
        <f>IF(D180&gt;0.005,Mortgage!$B$11/12*(1+Mortgage!$B$16)^(C180-1),0)</f>
        <v/>
      </c>
      <c r="M180" s="147">
        <f>IF(D180&gt;0.005,Mortgage!$B$12/12*(1+Mortgage!$B$16)^(C180-1),0)</f>
        <v/>
      </c>
      <c r="N180" s="147">
        <f>IF(D180&gt;0.005,Mortgage!$B$15,0)</f>
        <v/>
      </c>
      <c r="O180" s="147">
        <f>J180+K180+L180+M180+N180</f>
        <v/>
      </c>
      <c r="P180" s="147">
        <f>P179+E180</f>
        <v/>
      </c>
      <c r="Q180" s="147">
        <f>IF(D180&gt;0.005,Mortgage!$B$5*(1+Mortgage!$B$17)^(A180/12),"")</f>
        <v/>
      </c>
      <c r="R180" s="147">
        <f>IF(D180&gt;0.005,Q180-I180,"")</f>
        <v/>
      </c>
      <c r="S180" s="147">
        <f>IF(A180&gt;Mortgage!$B$8*12,0,IF(Mortgage!$B$7=0,MAX(0,Mortgage!$H$5-Mortgage!$H$8*A180),MAX(0,Mortgage!$H$5*(1+(Mortgage!$B$7/12))^A180-Mortgage!$H$8*((1+(Mortgage!$B$7/12))^A180-1)/(Mortgage!$B$7/12))))</f>
        <v/>
      </c>
      <c r="T180" s="149">
        <f>IF(D180&gt;0.005,I180/Mortgage!$B$5,"")</f>
        <v/>
      </c>
      <c r="U180">
        <f>IF(A180&gt;Mortgage!$B$8*12,NA(),B180)</f>
        <v/>
      </c>
      <c r="V180">
        <f>IF(D180&gt;0.005,I180,NA())</f>
        <v/>
      </c>
      <c r="W180">
        <f>IF(A180&gt;Mortgage!$B$8*12,NA(),S180)</f>
        <v/>
      </c>
    </row>
    <row r="181">
      <c r="A181" s="129" t="n">
        <v>176</v>
      </c>
      <c r="B181" s="146">
        <f>EDATE(Mortgage!$B$9,A181-1)</f>
        <v/>
      </c>
      <c r="C181" s="129">
        <f>INT((A181-1)/12)+1</f>
        <v/>
      </c>
      <c r="D181" s="147">
        <f>IF(N(I180)&gt;0.005,I180,0)</f>
        <v/>
      </c>
      <c r="E181" s="147">
        <f>IF(D181&gt;0.005,D181*Mortgage!$B$7/12,0)</f>
        <v/>
      </c>
      <c r="F181" s="147">
        <f>IF(D181&gt;0.005,MIN(Mortgage!$H$8-E181,D181),0)</f>
        <v/>
      </c>
      <c r="G181" s="147">
        <f>IF(D181-F181&gt;0.005,MIN(D181-F181,Mortgage!$B$18+IF(MONTH(B181)=Mortgage!$B$20,Mortgage!$B$19,0)+SUMIFS(Mortgage!$E$6:$E$15,Mortgage!$D$6:$D$15,"&gt;="&amp;B181,Mortgage!$D$6:$D$15,"&lt;"&amp;EDATE(B181,1))+IF(Mortgage!$B$10="Bi-weekly (accelerated)",Mortgage!$H$8/12,0)),0)</f>
        <v/>
      </c>
      <c r="H181" s="147">
        <f>F181+G181</f>
        <v/>
      </c>
      <c r="I181" s="148">
        <f>D181-H181</f>
        <v/>
      </c>
      <c r="J181" s="147">
        <f>E181+F181+G181</f>
        <v/>
      </c>
      <c r="K181" s="147">
        <f>IF(AND(D181&gt;0.005,Mortgage!$H$7&gt;0.8,D181/Mortgage!$B$5&gt;Mortgage!$B$14),Mortgage!$H$5*Mortgage!$B$13/12,0)</f>
        <v/>
      </c>
      <c r="L181" s="147">
        <f>IF(D181&gt;0.005,Mortgage!$B$11/12*(1+Mortgage!$B$16)^(C181-1),0)</f>
        <v/>
      </c>
      <c r="M181" s="147">
        <f>IF(D181&gt;0.005,Mortgage!$B$12/12*(1+Mortgage!$B$16)^(C181-1),0)</f>
        <v/>
      </c>
      <c r="N181" s="147">
        <f>IF(D181&gt;0.005,Mortgage!$B$15,0)</f>
        <v/>
      </c>
      <c r="O181" s="147">
        <f>J181+K181+L181+M181+N181</f>
        <v/>
      </c>
      <c r="P181" s="147">
        <f>P180+E181</f>
        <v/>
      </c>
      <c r="Q181" s="147">
        <f>IF(D181&gt;0.005,Mortgage!$B$5*(1+Mortgage!$B$17)^(A181/12),"")</f>
        <v/>
      </c>
      <c r="R181" s="147">
        <f>IF(D181&gt;0.005,Q181-I181,"")</f>
        <v/>
      </c>
      <c r="S181" s="147">
        <f>IF(A181&gt;Mortgage!$B$8*12,0,IF(Mortgage!$B$7=0,MAX(0,Mortgage!$H$5-Mortgage!$H$8*A181),MAX(0,Mortgage!$H$5*(1+(Mortgage!$B$7/12))^A181-Mortgage!$H$8*((1+(Mortgage!$B$7/12))^A181-1)/(Mortgage!$B$7/12))))</f>
        <v/>
      </c>
      <c r="T181" s="149">
        <f>IF(D181&gt;0.005,I181/Mortgage!$B$5,"")</f>
        <v/>
      </c>
      <c r="U181">
        <f>IF(A181&gt;Mortgage!$B$8*12,NA(),B181)</f>
        <v/>
      </c>
      <c r="V181">
        <f>IF(D181&gt;0.005,I181,NA())</f>
        <v/>
      </c>
      <c r="W181">
        <f>IF(A181&gt;Mortgage!$B$8*12,NA(),S181)</f>
        <v/>
      </c>
    </row>
    <row r="182">
      <c r="A182" s="129" t="n">
        <v>177</v>
      </c>
      <c r="B182" s="146">
        <f>EDATE(Mortgage!$B$9,A182-1)</f>
        <v/>
      </c>
      <c r="C182" s="129">
        <f>INT((A182-1)/12)+1</f>
        <v/>
      </c>
      <c r="D182" s="147">
        <f>IF(N(I181)&gt;0.005,I181,0)</f>
        <v/>
      </c>
      <c r="E182" s="147">
        <f>IF(D182&gt;0.005,D182*Mortgage!$B$7/12,0)</f>
        <v/>
      </c>
      <c r="F182" s="147">
        <f>IF(D182&gt;0.005,MIN(Mortgage!$H$8-E182,D182),0)</f>
        <v/>
      </c>
      <c r="G182" s="147">
        <f>IF(D182-F182&gt;0.005,MIN(D182-F182,Mortgage!$B$18+IF(MONTH(B182)=Mortgage!$B$20,Mortgage!$B$19,0)+SUMIFS(Mortgage!$E$6:$E$15,Mortgage!$D$6:$D$15,"&gt;="&amp;B182,Mortgage!$D$6:$D$15,"&lt;"&amp;EDATE(B182,1))+IF(Mortgage!$B$10="Bi-weekly (accelerated)",Mortgage!$H$8/12,0)),0)</f>
        <v/>
      </c>
      <c r="H182" s="147">
        <f>F182+G182</f>
        <v/>
      </c>
      <c r="I182" s="148">
        <f>D182-H182</f>
        <v/>
      </c>
      <c r="J182" s="147">
        <f>E182+F182+G182</f>
        <v/>
      </c>
      <c r="K182" s="147">
        <f>IF(AND(D182&gt;0.005,Mortgage!$H$7&gt;0.8,D182/Mortgage!$B$5&gt;Mortgage!$B$14),Mortgage!$H$5*Mortgage!$B$13/12,0)</f>
        <v/>
      </c>
      <c r="L182" s="147">
        <f>IF(D182&gt;0.005,Mortgage!$B$11/12*(1+Mortgage!$B$16)^(C182-1),0)</f>
        <v/>
      </c>
      <c r="M182" s="147">
        <f>IF(D182&gt;0.005,Mortgage!$B$12/12*(1+Mortgage!$B$16)^(C182-1),0)</f>
        <v/>
      </c>
      <c r="N182" s="147">
        <f>IF(D182&gt;0.005,Mortgage!$B$15,0)</f>
        <v/>
      </c>
      <c r="O182" s="147">
        <f>J182+K182+L182+M182+N182</f>
        <v/>
      </c>
      <c r="P182" s="147">
        <f>P181+E182</f>
        <v/>
      </c>
      <c r="Q182" s="147">
        <f>IF(D182&gt;0.005,Mortgage!$B$5*(1+Mortgage!$B$17)^(A182/12),"")</f>
        <v/>
      </c>
      <c r="R182" s="147">
        <f>IF(D182&gt;0.005,Q182-I182,"")</f>
        <v/>
      </c>
      <c r="S182" s="147">
        <f>IF(A182&gt;Mortgage!$B$8*12,0,IF(Mortgage!$B$7=0,MAX(0,Mortgage!$H$5-Mortgage!$H$8*A182),MAX(0,Mortgage!$H$5*(1+(Mortgage!$B$7/12))^A182-Mortgage!$H$8*((1+(Mortgage!$B$7/12))^A182-1)/(Mortgage!$B$7/12))))</f>
        <v/>
      </c>
      <c r="T182" s="149">
        <f>IF(D182&gt;0.005,I182/Mortgage!$B$5,"")</f>
        <v/>
      </c>
      <c r="U182">
        <f>IF(A182&gt;Mortgage!$B$8*12,NA(),B182)</f>
        <v/>
      </c>
      <c r="V182">
        <f>IF(D182&gt;0.005,I182,NA())</f>
        <v/>
      </c>
      <c r="W182">
        <f>IF(A182&gt;Mortgage!$B$8*12,NA(),S182)</f>
        <v/>
      </c>
    </row>
    <row r="183">
      <c r="A183" s="129" t="n">
        <v>178</v>
      </c>
      <c r="B183" s="146">
        <f>EDATE(Mortgage!$B$9,A183-1)</f>
        <v/>
      </c>
      <c r="C183" s="129">
        <f>INT((A183-1)/12)+1</f>
        <v/>
      </c>
      <c r="D183" s="147">
        <f>IF(N(I182)&gt;0.005,I182,0)</f>
        <v/>
      </c>
      <c r="E183" s="147">
        <f>IF(D183&gt;0.005,D183*Mortgage!$B$7/12,0)</f>
        <v/>
      </c>
      <c r="F183" s="147">
        <f>IF(D183&gt;0.005,MIN(Mortgage!$H$8-E183,D183),0)</f>
        <v/>
      </c>
      <c r="G183" s="147">
        <f>IF(D183-F183&gt;0.005,MIN(D183-F183,Mortgage!$B$18+IF(MONTH(B183)=Mortgage!$B$20,Mortgage!$B$19,0)+SUMIFS(Mortgage!$E$6:$E$15,Mortgage!$D$6:$D$15,"&gt;="&amp;B183,Mortgage!$D$6:$D$15,"&lt;"&amp;EDATE(B183,1))+IF(Mortgage!$B$10="Bi-weekly (accelerated)",Mortgage!$H$8/12,0)),0)</f>
        <v/>
      </c>
      <c r="H183" s="147">
        <f>F183+G183</f>
        <v/>
      </c>
      <c r="I183" s="148">
        <f>D183-H183</f>
        <v/>
      </c>
      <c r="J183" s="147">
        <f>E183+F183+G183</f>
        <v/>
      </c>
      <c r="K183" s="147">
        <f>IF(AND(D183&gt;0.005,Mortgage!$H$7&gt;0.8,D183/Mortgage!$B$5&gt;Mortgage!$B$14),Mortgage!$H$5*Mortgage!$B$13/12,0)</f>
        <v/>
      </c>
      <c r="L183" s="147">
        <f>IF(D183&gt;0.005,Mortgage!$B$11/12*(1+Mortgage!$B$16)^(C183-1),0)</f>
        <v/>
      </c>
      <c r="M183" s="147">
        <f>IF(D183&gt;0.005,Mortgage!$B$12/12*(1+Mortgage!$B$16)^(C183-1),0)</f>
        <v/>
      </c>
      <c r="N183" s="147">
        <f>IF(D183&gt;0.005,Mortgage!$B$15,0)</f>
        <v/>
      </c>
      <c r="O183" s="147">
        <f>J183+K183+L183+M183+N183</f>
        <v/>
      </c>
      <c r="P183" s="147">
        <f>P182+E183</f>
        <v/>
      </c>
      <c r="Q183" s="147">
        <f>IF(D183&gt;0.005,Mortgage!$B$5*(1+Mortgage!$B$17)^(A183/12),"")</f>
        <v/>
      </c>
      <c r="R183" s="147">
        <f>IF(D183&gt;0.005,Q183-I183,"")</f>
        <v/>
      </c>
      <c r="S183" s="147">
        <f>IF(A183&gt;Mortgage!$B$8*12,0,IF(Mortgage!$B$7=0,MAX(0,Mortgage!$H$5-Mortgage!$H$8*A183),MAX(0,Mortgage!$H$5*(1+(Mortgage!$B$7/12))^A183-Mortgage!$H$8*((1+(Mortgage!$B$7/12))^A183-1)/(Mortgage!$B$7/12))))</f>
        <v/>
      </c>
      <c r="T183" s="149">
        <f>IF(D183&gt;0.005,I183/Mortgage!$B$5,"")</f>
        <v/>
      </c>
      <c r="U183">
        <f>IF(A183&gt;Mortgage!$B$8*12,NA(),B183)</f>
        <v/>
      </c>
      <c r="V183">
        <f>IF(D183&gt;0.005,I183,NA())</f>
        <v/>
      </c>
      <c r="W183">
        <f>IF(A183&gt;Mortgage!$B$8*12,NA(),S183)</f>
        <v/>
      </c>
    </row>
    <row r="184">
      <c r="A184" s="129" t="n">
        <v>179</v>
      </c>
      <c r="B184" s="146">
        <f>EDATE(Mortgage!$B$9,A184-1)</f>
        <v/>
      </c>
      <c r="C184" s="129">
        <f>INT((A184-1)/12)+1</f>
        <v/>
      </c>
      <c r="D184" s="147">
        <f>IF(N(I183)&gt;0.005,I183,0)</f>
        <v/>
      </c>
      <c r="E184" s="147">
        <f>IF(D184&gt;0.005,D184*Mortgage!$B$7/12,0)</f>
        <v/>
      </c>
      <c r="F184" s="147">
        <f>IF(D184&gt;0.005,MIN(Mortgage!$H$8-E184,D184),0)</f>
        <v/>
      </c>
      <c r="G184" s="147">
        <f>IF(D184-F184&gt;0.005,MIN(D184-F184,Mortgage!$B$18+IF(MONTH(B184)=Mortgage!$B$20,Mortgage!$B$19,0)+SUMIFS(Mortgage!$E$6:$E$15,Mortgage!$D$6:$D$15,"&gt;="&amp;B184,Mortgage!$D$6:$D$15,"&lt;"&amp;EDATE(B184,1))+IF(Mortgage!$B$10="Bi-weekly (accelerated)",Mortgage!$H$8/12,0)),0)</f>
        <v/>
      </c>
      <c r="H184" s="147">
        <f>F184+G184</f>
        <v/>
      </c>
      <c r="I184" s="148">
        <f>D184-H184</f>
        <v/>
      </c>
      <c r="J184" s="147">
        <f>E184+F184+G184</f>
        <v/>
      </c>
      <c r="K184" s="147">
        <f>IF(AND(D184&gt;0.005,Mortgage!$H$7&gt;0.8,D184/Mortgage!$B$5&gt;Mortgage!$B$14),Mortgage!$H$5*Mortgage!$B$13/12,0)</f>
        <v/>
      </c>
      <c r="L184" s="147">
        <f>IF(D184&gt;0.005,Mortgage!$B$11/12*(1+Mortgage!$B$16)^(C184-1),0)</f>
        <v/>
      </c>
      <c r="M184" s="147">
        <f>IF(D184&gt;0.005,Mortgage!$B$12/12*(1+Mortgage!$B$16)^(C184-1),0)</f>
        <v/>
      </c>
      <c r="N184" s="147">
        <f>IF(D184&gt;0.005,Mortgage!$B$15,0)</f>
        <v/>
      </c>
      <c r="O184" s="147">
        <f>J184+K184+L184+M184+N184</f>
        <v/>
      </c>
      <c r="P184" s="147">
        <f>P183+E184</f>
        <v/>
      </c>
      <c r="Q184" s="147">
        <f>IF(D184&gt;0.005,Mortgage!$B$5*(1+Mortgage!$B$17)^(A184/12),"")</f>
        <v/>
      </c>
      <c r="R184" s="147">
        <f>IF(D184&gt;0.005,Q184-I184,"")</f>
        <v/>
      </c>
      <c r="S184" s="147">
        <f>IF(A184&gt;Mortgage!$B$8*12,0,IF(Mortgage!$B$7=0,MAX(0,Mortgage!$H$5-Mortgage!$H$8*A184),MAX(0,Mortgage!$H$5*(1+(Mortgage!$B$7/12))^A184-Mortgage!$H$8*((1+(Mortgage!$B$7/12))^A184-1)/(Mortgage!$B$7/12))))</f>
        <v/>
      </c>
      <c r="T184" s="149">
        <f>IF(D184&gt;0.005,I184/Mortgage!$B$5,"")</f>
        <v/>
      </c>
      <c r="U184">
        <f>IF(A184&gt;Mortgage!$B$8*12,NA(),B184)</f>
        <v/>
      </c>
      <c r="V184">
        <f>IF(D184&gt;0.005,I184,NA())</f>
        <v/>
      </c>
      <c r="W184">
        <f>IF(A184&gt;Mortgage!$B$8*12,NA(),S184)</f>
        <v/>
      </c>
    </row>
    <row r="185">
      <c r="A185" s="129" t="n">
        <v>180</v>
      </c>
      <c r="B185" s="146">
        <f>EDATE(Mortgage!$B$9,A185-1)</f>
        <v/>
      </c>
      <c r="C185" s="129">
        <f>INT((A185-1)/12)+1</f>
        <v/>
      </c>
      <c r="D185" s="147">
        <f>IF(N(I184)&gt;0.005,I184,0)</f>
        <v/>
      </c>
      <c r="E185" s="147">
        <f>IF(D185&gt;0.005,D185*Mortgage!$B$7/12,0)</f>
        <v/>
      </c>
      <c r="F185" s="147">
        <f>IF(D185&gt;0.005,MIN(Mortgage!$H$8-E185,D185),0)</f>
        <v/>
      </c>
      <c r="G185" s="147">
        <f>IF(D185-F185&gt;0.005,MIN(D185-F185,Mortgage!$B$18+IF(MONTH(B185)=Mortgage!$B$20,Mortgage!$B$19,0)+SUMIFS(Mortgage!$E$6:$E$15,Mortgage!$D$6:$D$15,"&gt;="&amp;B185,Mortgage!$D$6:$D$15,"&lt;"&amp;EDATE(B185,1))+IF(Mortgage!$B$10="Bi-weekly (accelerated)",Mortgage!$H$8/12,0)),0)</f>
        <v/>
      </c>
      <c r="H185" s="147">
        <f>F185+G185</f>
        <v/>
      </c>
      <c r="I185" s="148">
        <f>D185-H185</f>
        <v/>
      </c>
      <c r="J185" s="147">
        <f>E185+F185+G185</f>
        <v/>
      </c>
      <c r="K185" s="147">
        <f>IF(AND(D185&gt;0.005,Mortgage!$H$7&gt;0.8,D185/Mortgage!$B$5&gt;Mortgage!$B$14),Mortgage!$H$5*Mortgage!$B$13/12,0)</f>
        <v/>
      </c>
      <c r="L185" s="147">
        <f>IF(D185&gt;0.005,Mortgage!$B$11/12*(1+Mortgage!$B$16)^(C185-1),0)</f>
        <v/>
      </c>
      <c r="M185" s="147">
        <f>IF(D185&gt;0.005,Mortgage!$B$12/12*(1+Mortgage!$B$16)^(C185-1),0)</f>
        <v/>
      </c>
      <c r="N185" s="147">
        <f>IF(D185&gt;0.005,Mortgage!$B$15,0)</f>
        <v/>
      </c>
      <c r="O185" s="147">
        <f>J185+K185+L185+M185+N185</f>
        <v/>
      </c>
      <c r="P185" s="147">
        <f>P184+E185</f>
        <v/>
      </c>
      <c r="Q185" s="147">
        <f>IF(D185&gt;0.005,Mortgage!$B$5*(1+Mortgage!$B$17)^(A185/12),"")</f>
        <v/>
      </c>
      <c r="R185" s="147">
        <f>IF(D185&gt;0.005,Q185-I185,"")</f>
        <v/>
      </c>
      <c r="S185" s="147">
        <f>IF(A185&gt;Mortgage!$B$8*12,0,IF(Mortgage!$B$7=0,MAX(0,Mortgage!$H$5-Mortgage!$H$8*A185),MAX(0,Mortgage!$H$5*(1+(Mortgage!$B$7/12))^A185-Mortgage!$H$8*((1+(Mortgage!$B$7/12))^A185-1)/(Mortgage!$B$7/12))))</f>
        <v/>
      </c>
      <c r="T185" s="149">
        <f>IF(D185&gt;0.005,I185/Mortgage!$B$5,"")</f>
        <v/>
      </c>
      <c r="U185">
        <f>IF(A185&gt;Mortgage!$B$8*12,NA(),B185)</f>
        <v/>
      </c>
      <c r="V185">
        <f>IF(D185&gt;0.005,I185,NA())</f>
        <v/>
      </c>
      <c r="W185">
        <f>IF(A185&gt;Mortgage!$B$8*12,NA(),S185)</f>
        <v/>
      </c>
    </row>
    <row r="186">
      <c r="A186" s="129" t="n">
        <v>181</v>
      </c>
      <c r="B186" s="146">
        <f>EDATE(Mortgage!$B$9,A186-1)</f>
        <v/>
      </c>
      <c r="C186" s="129">
        <f>INT((A186-1)/12)+1</f>
        <v/>
      </c>
      <c r="D186" s="147">
        <f>IF(N(I185)&gt;0.005,I185,0)</f>
        <v/>
      </c>
      <c r="E186" s="147">
        <f>IF(D186&gt;0.005,D186*Mortgage!$B$7/12,0)</f>
        <v/>
      </c>
      <c r="F186" s="147">
        <f>IF(D186&gt;0.005,MIN(Mortgage!$H$8-E186,D186),0)</f>
        <v/>
      </c>
      <c r="G186" s="147">
        <f>IF(D186-F186&gt;0.005,MIN(D186-F186,Mortgage!$B$18+IF(MONTH(B186)=Mortgage!$B$20,Mortgage!$B$19,0)+SUMIFS(Mortgage!$E$6:$E$15,Mortgage!$D$6:$D$15,"&gt;="&amp;B186,Mortgage!$D$6:$D$15,"&lt;"&amp;EDATE(B186,1))+IF(Mortgage!$B$10="Bi-weekly (accelerated)",Mortgage!$H$8/12,0)),0)</f>
        <v/>
      </c>
      <c r="H186" s="147">
        <f>F186+G186</f>
        <v/>
      </c>
      <c r="I186" s="148">
        <f>D186-H186</f>
        <v/>
      </c>
      <c r="J186" s="147">
        <f>E186+F186+G186</f>
        <v/>
      </c>
      <c r="K186" s="147">
        <f>IF(AND(D186&gt;0.005,Mortgage!$H$7&gt;0.8,D186/Mortgage!$B$5&gt;Mortgage!$B$14),Mortgage!$H$5*Mortgage!$B$13/12,0)</f>
        <v/>
      </c>
      <c r="L186" s="147">
        <f>IF(D186&gt;0.005,Mortgage!$B$11/12*(1+Mortgage!$B$16)^(C186-1),0)</f>
        <v/>
      </c>
      <c r="M186" s="147">
        <f>IF(D186&gt;0.005,Mortgage!$B$12/12*(1+Mortgage!$B$16)^(C186-1),0)</f>
        <v/>
      </c>
      <c r="N186" s="147">
        <f>IF(D186&gt;0.005,Mortgage!$B$15,0)</f>
        <v/>
      </c>
      <c r="O186" s="147">
        <f>J186+K186+L186+M186+N186</f>
        <v/>
      </c>
      <c r="P186" s="147">
        <f>P185+E186</f>
        <v/>
      </c>
      <c r="Q186" s="147">
        <f>IF(D186&gt;0.005,Mortgage!$B$5*(1+Mortgage!$B$17)^(A186/12),"")</f>
        <v/>
      </c>
      <c r="R186" s="147">
        <f>IF(D186&gt;0.005,Q186-I186,"")</f>
        <v/>
      </c>
      <c r="S186" s="147">
        <f>IF(A186&gt;Mortgage!$B$8*12,0,IF(Mortgage!$B$7=0,MAX(0,Mortgage!$H$5-Mortgage!$H$8*A186),MAX(0,Mortgage!$H$5*(1+(Mortgage!$B$7/12))^A186-Mortgage!$H$8*((1+(Mortgage!$B$7/12))^A186-1)/(Mortgage!$B$7/12))))</f>
        <v/>
      </c>
      <c r="T186" s="149">
        <f>IF(D186&gt;0.005,I186/Mortgage!$B$5,"")</f>
        <v/>
      </c>
      <c r="U186">
        <f>IF(A186&gt;Mortgage!$B$8*12,NA(),B186)</f>
        <v/>
      </c>
      <c r="V186">
        <f>IF(D186&gt;0.005,I186,NA())</f>
        <v/>
      </c>
      <c r="W186">
        <f>IF(A186&gt;Mortgage!$B$8*12,NA(),S186)</f>
        <v/>
      </c>
    </row>
    <row r="187">
      <c r="A187" s="129" t="n">
        <v>182</v>
      </c>
      <c r="B187" s="146">
        <f>EDATE(Mortgage!$B$9,A187-1)</f>
        <v/>
      </c>
      <c r="C187" s="129">
        <f>INT((A187-1)/12)+1</f>
        <v/>
      </c>
      <c r="D187" s="147">
        <f>IF(N(I186)&gt;0.005,I186,0)</f>
        <v/>
      </c>
      <c r="E187" s="147">
        <f>IF(D187&gt;0.005,D187*Mortgage!$B$7/12,0)</f>
        <v/>
      </c>
      <c r="F187" s="147">
        <f>IF(D187&gt;0.005,MIN(Mortgage!$H$8-E187,D187),0)</f>
        <v/>
      </c>
      <c r="G187" s="147">
        <f>IF(D187-F187&gt;0.005,MIN(D187-F187,Mortgage!$B$18+IF(MONTH(B187)=Mortgage!$B$20,Mortgage!$B$19,0)+SUMIFS(Mortgage!$E$6:$E$15,Mortgage!$D$6:$D$15,"&gt;="&amp;B187,Mortgage!$D$6:$D$15,"&lt;"&amp;EDATE(B187,1))+IF(Mortgage!$B$10="Bi-weekly (accelerated)",Mortgage!$H$8/12,0)),0)</f>
        <v/>
      </c>
      <c r="H187" s="147">
        <f>F187+G187</f>
        <v/>
      </c>
      <c r="I187" s="148">
        <f>D187-H187</f>
        <v/>
      </c>
      <c r="J187" s="147">
        <f>E187+F187+G187</f>
        <v/>
      </c>
      <c r="K187" s="147">
        <f>IF(AND(D187&gt;0.005,Mortgage!$H$7&gt;0.8,D187/Mortgage!$B$5&gt;Mortgage!$B$14),Mortgage!$H$5*Mortgage!$B$13/12,0)</f>
        <v/>
      </c>
      <c r="L187" s="147">
        <f>IF(D187&gt;0.005,Mortgage!$B$11/12*(1+Mortgage!$B$16)^(C187-1),0)</f>
        <v/>
      </c>
      <c r="M187" s="147">
        <f>IF(D187&gt;0.005,Mortgage!$B$12/12*(1+Mortgage!$B$16)^(C187-1),0)</f>
        <v/>
      </c>
      <c r="N187" s="147">
        <f>IF(D187&gt;0.005,Mortgage!$B$15,0)</f>
        <v/>
      </c>
      <c r="O187" s="147">
        <f>J187+K187+L187+M187+N187</f>
        <v/>
      </c>
      <c r="P187" s="147">
        <f>P186+E187</f>
        <v/>
      </c>
      <c r="Q187" s="147">
        <f>IF(D187&gt;0.005,Mortgage!$B$5*(1+Mortgage!$B$17)^(A187/12),"")</f>
        <v/>
      </c>
      <c r="R187" s="147">
        <f>IF(D187&gt;0.005,Q187-I187,"")</f>
        <v/>
      </c>
      <c r="S187" s="147">
        <f>IF(A187&gt;Mortgage!$B$8*12,0,IF(Mortgage!$B$7=0,MAX(0,Mortgage!$H$5-Mortgage!$H$8*A187),MAX(0,Mortgage!$H$5*(1+(Mortgage!$B$7/12))^A187-Mortgage!$H$8*((1+(Mortgage!$B$7/12))^A187-1)/(Mortgage!$B$7/12))))</f>
        <v/>
      </c>
      <c r="T187" s="149">
        <f>IF(D187&gt;0.005,I187/Mortgage!$B$5,"")</f>
        <v/>
      </c>
      <c r="U187">
        <f>IF(A187&gt;Mortgage!$B$8*12,NA(),B187)</f>
        <v/>
      </c>
      <c r="V187">
        <f>IF(D187&gt;0.005,I187,NA())</f>
        <v/>
      </c>
      <c r="W187">
        <f>IF(A187&gt;Mortgage!$B$8*12,NA(),S187)</f>
        <v/>
      </c>
    </row>
    <row r="188">
      <c r="A188" s="129" t="n">
        <v>183</v>
      </c>
      <c r="B188" s="146">
        <f>EDATE(Mortgage!$B$9,A188-1)</f>
        <v/>
      </c>
      <c r="C188" s="129">
        <f>INT((A188-1)/12)+1</f>
        <v/>
      </c>
      <c r="D188" s="147">
        <f>IF(N(I187)&gt;0.005,I187,0)</f>
        <v/>
      </c>
      <c r="E188" s="147">
        <f>IF(D188&gt;0.005,D188*Mortgage!$B$7/12,0)</f>
        <v/>
      </c>
      <c r="F188" s="147">
        <f>IF(D188&gt;0.005,MIN(Mortgage!$H$8-E188,D188),0)</f>
        <v/>
      </c>
      <c r="G188" s="147">
        <f>IF(D188-F188&gt;0.005,MIN(D188-F188,Mortgage!$B$18+IF(MONTH(B188)=Mortgage!$B$20,Mortgage!$B$19,0)+SUMIFS(Mortgage!$E$6:$E$15,Mortgage!$D$6:$D$15,"&gt;="&amp;B188,Mortgage!$D$6:$D$15,"&lt;"&amp;EDATE(B188,1))+IF(Mortgage!$B$10="Bi-weekly (accelerated)",Mortgage!$H$8/12,0)),0)</f>
        <v/>
      </c>
      <c r="H188" s="147">
        <f>F188+G188</f>
        <v/>
      </c>
      <c r="I188" s="148">
        <f>D188-H188</f>
        <v/>
      </c>
      <c r="J188" s="147">
        <f>E188+F188+G188</f>
        <v/>
      </c>
      <c r="K188" s="147">
        <f>IF(AND(D188&gt;0.005,Mortgage!$H$7&gt;0.8,D188/Mortgage!$B$5&gt;Mortgage!$B$14),Mortgage!$H$5*Mortgage!$B$13/12,0)</f>
        <v/>
      </c>
      <c r="L188" s="147">
        <f>IF(D188&gt;0.005,Mortgage!$B$11/12*(1+Mortgage!$B$16)^(C188-1),0)</f>
        <v/>
      </c>
      <c r="M188" s="147">
        <f>IF(D188&gt;0.005,Mortgage!$B$12/12*(1+Mortgage!$B$16)^(C188-1),0)</f>
        <v/>
      </c>
      <c r="N188" s="147">
        <f>IF(D188&gt;0.005,Mortgage!$B$15,0)</f>
        <v/>
      </c>
      <c r="O188" s="147">
        <f>J188+K188+L188+M188+N188</f>
        <v/>
      </c>
      <c r="P188" s="147">
        <f>P187+E188</f>
        <v/>
      </c>
      <c r="Q188" s="147">
        <f>IF(D188&gt;0.005,Mortgage!$B$5*(1+Mortgage!$B$17)^(A188/12),"")</f>
        <v/>
      </c>
      <c r="R188" s="147">
        <f>IF(D188&gt;0.005,Q188-I188,"")</f>
        <v/>
      </c>
      <c r="S188" s="147">
        <f>IF(A188&gt;Mortgage!$B$8*12,0,IF(Mortgage!$B$7=0,MAX(0,Mortgage!$H$5-Mortgage!$H$8*A188),MAX(0,Mortgage!$H$5*(1+(Mortgage!$B$7/12))^A188-Mortgage!$H$8*((1+(Mortgage!$B$7/12))^A188-1)/(Mortgage!$B$7/12))))</f>
        <v/>
      </c>
      <c r="T188" s="149">
        <f>IF(D188&gt;0.005,I188/Mortgage!$B$5,"")</f>
        <v/>
      </c>
      <c r="U188">
        <f>IF(A188&gt;Mortgage!$B$8*12,NA(),B188)</f>
        <v/>
      </c>
      <c r="V188">
        <f>IF(D188&gt;0.005,I188,NA())</f>
        <v/>
      </c>
      <c r="W188">
        <f>IF(A188&gt;Mortgage!$B$8*12,NA(),S188)</f>
        <v/>
      </c>
    </row>
    <row r="189">
      <c r="A189" s="129" t="n">
        <v>184</v>
      </c>
      <c r="B189" s="146">
        <f>EDATE(Mortgage!$B$9,A189-1)</f>
        <v/>
      </c>
      <c r="C189" s="129">
        <f>INT((A189-1)/12)+1</f>
        <v/>
      </c>
      <c r="D189" s="147">
        <f>IF(N(I188)&gt;0.005,I188,0)</f>
        <v/>
      </c>
      <c r="E189" s="147">
        <f>IF(D189&gt;0.005,D189*Mortgage!$B$7/12,0)</f>
        <v/>
      </c>
      <c r="F189" s="147">
        <f>IF(D189&gt;0.005,MIN(Mortgage!$H$8-E189,D189),0)</f>
        <v/>
      </c>
      <c r="G189" s="147">
        <f>IF(D189-F189&gt;0.005,MIN(D189-F189,Mortgage!$B$18+IF(MONTH(B189)=Mortgage!$B$20,Mortgage!$B$19,0)+SUMIFS(Mortgage!$E$6:$E$15,Mortgage!$D$6:$D$15,"&gt;="&amp;B189,Mortgage!$D$6:$D$15,"&lt;"&amp;EDATE(B189,1))+IF(Mortgage!$B$10="Bi-weekly (accelerated)",Mortgage!$H$8/12,0)),0)</f>
        <v/>
      </c>
      <c r="H189" s="147">
        <f>F189+G189</f>
        <v/>
      </c>
      <c r="I189" s="148">
        <f>D189-H189</f>
        <v/>
      </c>
      <c r="J189" s="147">
        <f>E189+F189+G189</f>
        <v/>
      </c>
      <c r="K189" s="147">
        <f>IF(AND(D189&gt;0.005,Mortgage!$H$7&gt;0.8,D189/Mortgage!$B$5&gt;Mortgage!$B$14),Mortgage!$H$5*Mortgage!$B$13/12,0)</f>
        <v/>
      </c>
      <c r="L189" s="147">
        <f>IF(D189&gt;0.005,Mortgage!$B$11/12*(1+Mortgage!$B$16)^(C189-1),0)</f>
        <v/>
      </c>
      <c r="M189" s="147">
        <f>IF(D189&gt;0.005,Mortgage!$B$12/12*(1+Mortgage!$B$16)^(C189-1),0)</f>
        <v/>
      </c>
      <c r="N189" s="147">
        <f>IF(D189&gt;0.005,Mortgage!$B$15,0)</f>
        <v/>
      </c>
      <c r="O189" s="147">
        <f>J189+K189+L189+M189+N189</f>
        <v/>
      </c>
      <c r="P189" s="147">
        <f>P188+E189</f>
        <v/>
      </c>
      <c r="Q189" s="147">
        <f>IF(D189&gt;0.005,Mortgage!$B$5*(1+Mortgage!$B$17)^(A189/12),"")</f>
        <v/>
      </c>
      <c r="R189" s="147">
        <f>IF(D189&gt;0.005,Q189-I189,"")</f>
        <v/>
      </c>
      <c r="S189" s="147">
        <f>IF(A189&gt;Mortgage!$B$8*12,0,IF(Mortgage!$B$7=0,MAX(0,Mortgage!$H$5-Mortgage!$H$8*A189),MAX(0,Mortgage!$H$5*(1+(Mortgage!$B$7/12))^A189-Mortgage!$H$8*((1+(Mortgage!$B$7/12))^A189-1)/(Mortgage!$B$7/12))))</f>
        <v/>
      </c>
      <c r="T189" s="149">
        <f>IF(D189&gt;0.005,I189/Mortgage!$B$5,"")</f>
        <v/>
      </c>
      <c r="U189">
        <f>IF(A189&gt;Mortgage!$B$8*12,NA(),B189)</f>
        <v/>
      </c>
      <c r="V189">
        <f>IF(D189&gt;0.005,I189,NA())</f>
        <v/>
      </c>
      <c r="W189">
        <f>IF(A189&gt;Mortgage!$B$8*12,NA(),S189)</f>
        <v/>
      </c>
    </row>
    <row r="190">
      <c r="A190" s="129" t="n">
        <v>185</v>
      </c>
      <c r="B190" s="146">
        <f>EDATE(Mortgage!$B$9,A190-1)</f>
        <v/>
      </c>
      <c r="C190" s="129">
        <f>INT((A190-1)/12)+1</f>
        <v/>
      </c>
      <c r="D190" s="147">
        <f>IF(N(I189)&gt;0.005,I189,0)</f>
        <v/>
      </c>
      <c r="E190" s="147">
        <f>IF(D190&gt;0.005,D190*Mortgage!$B$7/12,0)</f>
        <v/>
      </c>
      <c r="F190" s="147">
        <f>IF(D190&gt;0.005,MIN(Mortgage!$H$8-E190,D190),0)</f>
        <v/>
      </c>
      <c r="G190" s="147">
        <f>IF(D190-F190&gt;0.005,MIN(D190-F190,Mortgage!$B$18+IF(MONTH(B190)=Mortgage!$B$20,Mortgage!$B$19,0)+SUMIFS(Mortgage!$E$6:$E$15,Mortgage!$D$6:$D$15,"&gt;="&amp;B190,Mortgage!$D$6:$D$15,"&lt;"&amp;EDATE(B190,1))+IF(Mortgage!$B$10="Bi-weekly (accelerated)",Mortgage!$H$8/12,0)),0)</f>
        <v/>
      </c>
      <c r="H190" s="147">
        <f>F190+G190</f>
        <v/>
      </c>
      <c r="I190" s="148">
        <f>D190-H190</f>
        <v/>
      </c>
      <c r="J190" s="147">
        <f>E190+F190+G190</f>
        <v/>
      </c>
      <c r="K190" s="147">
        <f>IF(AND(D190&gt;0.005,Mortgage!$H$7&gt;0.8,D190/Mortgage!$B$5&gt;Mortgage!$B$14),Mortgage!$H$5*Mortgage!$B$13/12,0)</f>
        <v/>
      </c>
      <c r="L190" s="147">
        <f>IF(D190&gt;0.005,Mortgage!$B$11/12*(1+Mortgage!$B$16)^(C190-1),0)</f>
        <v/>
      </c>
      <c r="M190" s="147">
        <f>IF(D190&gt;0.005,Mortgage!$B$12/12*(1+Mortgage!$B$16)^(C190-1),0)</f>
        <v/>
      </c>
      <c r="N190" s="147">
        <f>IF(D190&gt;0.005,Mortgage!$B$15,0)</f>
        <v/>
      </c>
      <c r="O190" s="147">
        <f>J190+K190+L190+M190+N190</f>
        <v/>
      </c>
      <c r="P190" s="147">
        <f>P189+E190</f>
        <v/>
      </c>
      <c r="Q190" s="147">
        <f>IF(D190&gt;0.005,Mortgage!$B$5*(1+Mortgage!$B$17)^(A190/12),"")</f>
        <v/>
      </c>
      <c r="R190" s="147">
        <f>IF(D190&gt;0.005,Q190-I190,"")</f>
        <v/>
      </c>
      <c r="S190" s="147">
        <f>IF(A190&gt;Mortgage!$B$8*12,0,IF(Mortgage!$B$7=0,MAX(0,Mortgage!$H$5-Mortgage!$H$8*A190),MAX(0,Mortgage!$H$5*(1+(Mortgage!$B$7/12))^A190-Mortgage!$H$8*((1+(Mortgage!$B$7/12))^A190-1)/(Mortgage!$B$7/12))))</f>
        <v/>
      </c>
      <c r="T190" s="149">
        <f>IF(D190&gt;0.005,I190/Mortgage!$B$5,"")</f>
        <v/>
      </c>
      <c r="U190">
        <f>IF(A190&gt;Mortgage!$B$8*12,NA(),B190)</f>
        <v/>
      </c>
      <c r="V190">
        <f>IF(D190&gt;0.005,I190,NA())</f>
        <v/>
      </c>
      <c r="W190">
        <f>IF(A190&gt;Mortgage!$B$8*12,NA(),S190)</f>
        <v/>
      </c>
    </row>
    <row r="191">
      <c r="A191" s="129" t="n">
        <v>186</v>
      </c>
      <c r="B191" s="146">
        <f>EDATE(Mortgage!$B$9,A191-1)</f>
        <v/>
      </c>
      <c r="C191" s="129">
        <f>INT((A191-1)/12)+1</f>
        <v/>
      </c>
      <c r="D191" s="147">
        <f>IF(N(I190)&gt;0.005,I190,0)</f>
        <v/>
      </c>
      <c r="E191" s="147">
        <f>IF(D191&gt;0.005,D191*Mortgage!$B$7/12,0)</f>
        <v/>
      </c>
      <c r="F191" s="147">
        <f>IF(D191&gt;0.005,MIN(Mortgage!$H$8-E191,D191),0)</f>
        <v/>
      </c>
      <c r="G191" s="147">
        <f>IF(D191-F191&gt;0.005,MIN(D191-F191,Mortgage!$B$18+IF(MONTH(B191)=Mortgage!$B$20,Mortgage!$B$19,0)+SUMIFS(Mortgage!$E$6:$E$15,Mortgage!$D$6:$D$15,"&gt;="&amp;B191,Mortgage!$D$6:$D$15,"&lt;"&amp;EDATE(B191,1))+IF(Mortgage!$B$10="Bi-weekly (accelerated)",Mortgage!$H$8/12,0)),0)</f>
        <v/>
      </c>
      <c r="H191" s="147">
        <f>F191+G191</f>
        <v/>
      </c>
      <c r="I191" s="148">
        <f>D191-H191</f>
        <v/>
      </c>
      <c r="J191" s="147">
        <f>E191+F191+G191</f>
        <v/>
      </c>
      <c r="K191" s="147">
        <f>IF(AND(D191&gt;0.005,Mortgage!$H$7&gt;0.8,D191/Mortgage!$B$5&gt;Mortgage!$B$14),Mortgage!$H$5*Mortgage!$B$13/12,0)</f>
        <v/>
      </c>
      <c r="L191" s="147">
        <f>IF(D191&gt;0.005,Mortgage!$B$11/12*(1+Mortgage!$B$16)^(C191-1),0)</f>
        <v/>
      </c>
      <c r="M191" s="147">
        <f>IF(D191&gt;0.005,Mortgage!$B$12/12*(1+Mortgage!$B$16)^(C191-1),0)</f>
        <v/>
      </c>
      <c r="N191" s="147">
        <f>IF(D191&gt;0.005,Mortgage!$B$15,0)</f>
        <v/>
      </c>
      <c r="O191" s="147">
        <f>J191+K191+L191+M191+N191</f>
        <v/>
      </c>
      <c r="P191" s="147">
        <f>P190+E191</f>
        <v/>
      </c>
      <c r="Q191" s="147">
        <f>IF(D191&gt;0.005,Mortgage!$B$5*(1+Mortgage!$B$17)^(A191/12),"")</f>
        <v/>
      </c>
      <c r="R191" s="147">
        <f>IF(D191&gt;0.005,Q191-I191,"")</f>
        <v/>
      </c>
      <c r="S191" s="147">
        <f>IF(A191&gt;Mortgage!$B$8*12,0,IF(Mortgage!$B$7=0,MAX(0,Mortgage!$H$5-Mortgage!$H$8*A191),MAX(0,Mortgage!$H$5*(1+(Mortgage!$B$7/12))^A191-Mortgage!$H$8*((1+(Mortgage!$B$7/12))^A191-1)/(Mortgage!$B$7/12))))</f>
        <v/>
      </c>
      <c r="T191" s="149">
        <f>IF(D191&gt;0.005,I191/Mortgage!$B$5,"")</f>
        <v/>
      </c>
      <c r="U191">
        <f>IF(A191&gt;Mortgage!$B$8*12,NA(),B191)</f>
        <v/>
      </c>
      <c r="V191">
        <f>IF(D191&gt;0.005,I191,NA())</f>
        <v/>
      </c>
      <c r="W191">
        <f>IF(A191&gt;Mortgage!$B$8*12,NA(),S191)</f>
        <v/>
      </c>
    </row>
    <row r="192">
      <c r="A192" s="129" t="n">
        <v>187</v>
      </c>
      <c r="B192" s="146">
        <f>EDATE(Mortgage!$B$9,A192-1)</f>
        <v/>
      </c>
      <c r="C192" s="129">
        <f>INT((A192-1)/12)+1</f>
        <v/>
      </c>
      <c r="D192" s="147">
        <f>IF(N(I191)&gt;0.005,I191,0)</f>
        <v/>
      </c>
      <c r="E192" s="147">
        <f>IF(D192&gt;0.005,D192*Mortgage!$B$7/12,0)</f>
        <v/>
      </c>
      <c r="F192" s="147">
        <f>IF(D192&gt;0.005,MIN(Mortgage!$H$8-E192,D192),0)</f>
        <v/>
      </c>
      <c r="G192" s="147">
        <f>IF(D192-F192&gt;0.005,MIN(D192-F192,Mortgage!$B$18+IF(MONTH(B192)=Mortgage!$B$20,Mortgage!$B$19,0)+SUMIFS(Mortgage!$E$6:$E$15,Mortgage!$D$6:$D$15,"&gt;="&amp;B192,Mortgage!$D$6:$D$15,"&lt;"&amp;EDATE(B192,1))+IF(Mortgage!$B$10="Bi-weekly (accelerated)",Mortgage!$H$8/12,0)),0)</f>
        <v/>
      </c>
      <c r="H192" s="147">
        <f>F192+G192</f>
        <v/>
      </c>
      <c r="I192" s="148">
        <f>D192-H192</f>
        <v/>
      </c>
      <c r="J192" s="147">
        <f>E192+F192+G192</f>
        <v/>
      </c>
      <c r="K192" s="147">
        <f>IF(AND(D192&gt;0.005,Mortgage!$H$7&gt;0.8,D192/Mortgage!$B$5&gt;Mortgage!$B$14),Mortgage!$H$5*Mortgage!$B$13/12,0)</f>
        <v/>
      </c>
      <c r="L192" s="147">
        <f>IF(D192&gt;0.005,Mortgage!$B$11/12*(1+Mortgage!$B$16)^(C192-1),0)</f>
        <v/>
      </c>
      <c r="M192" s="147">
        <f>IF(D192&gt;0.005,Mortgage!$B$12/12*(1+Mortgage!$B$16)^(C192-1),0)</f>
        <v/>
      </c>
      <c r="N192" s="147">
        <f>IF(D192&gt;0.005,Mortgage!$B$15,0)</f>
        <v/>
      </c>
      <c r="O192" s="147">
        <f>J192+K192+L192+M192+N192</f>
        <v/>
      </c>
      <c r="P192" s="147">
        <f>P191+E192</f>
        <v/>
      </c>
      <c r="Q192" s="147">
        <f>IF(D192&gt;0.005,Mortgage!$B$5*(1+Mortgage!$B$17)^(A192/12),"")</f>
        <v/>
      </c>
      <c r="R192" s="147">
        <f>IF(D192&gt;0.005,Q192-I192,"")</f>
        <v/>
      </c>
      <c r="S192" s="147">
        <f>IF(A192&gt;Mortgage!$B$8*12,0,IF(Mortgage!$B$7=0,MAX(0,Mortgage!$H$5-Mortgage!$H$8*A192),MAX(0,Mortgage!$H$5*(1+(Mortgage!$B$7/12))^A192-Mortgage!$H$8*((1+(Mortgage!$B$7/12))^A192-1)/(Mortgage!$B$7/12))))</f>
        <v/>
      </c>
      <c r="T192" s="149">
        <f>IF(D192&gt;0.005,I192/Mortgage!$B$5,"")</f>
        <v/>
      </c>
      <c r="U192">
        <f>IF(A192&gt;Mortgage!$B$8*12,NA(),B192)</f>
        <v/>
      </c>
      <c r="V192">
        <f>IF(D192&gt;0.005,I192,NA())</f>
        <v/>
      </c>
      <c r="W192">
        <f>IF(A192&gt;Mortgage!$B$8*12,NA(),S192)</f>
        <v/>
      </c>
    </row>
    <row r="193">
      <c r="A193" s="129" t="n">
        <v>188</v>
      </c>
      <c r="B193" s="146">
        <f>EDATE(Mortgage!$B$9,A193-1)</f>
        <v/>
      </c>
      <c r="C193" s="129">
        <f>INT((A193-1)/12)+1</f>
        <v/>
      </c>
      <c r="D193" s="147">
        <f>IF(N(I192)&gt;0.005,I192,0)</f>
        <v/>
      </c>
      <c r="E193" s="147">
        <f>IF(D193&gt;0.005,D193*Mortgage!$B$7/12,0)</f>
        <v/>
      </c>
      <c r="F193" s="147">
        <f>IF(D193&gt;0.005,MIN(Mortgage!$H$8-E193,D193),0)</f>
        <v/>
      </c>
      <c r="G193" s="147">
        <f>IF(D193-F193&gt;0.005,MIN(D193-F193,Mortgage!$B$18+IF(MONTH(B193)=Mortgage!$B$20,Mortgage!$B$19,0)+SUMIFS(Mortgage!$E$6:$E$15,Mortgage!$D$6:$D$15,"&gt;="&amp;B193,Mortgage!$D$6:$D$15,"&lt;"&amp;EDATE(B193,1))+IF(Mortgage!$B$10="Bi-weekly (accelerated)",Mortgage!$H$8/12,0)),0)</f>
        <v/>
      </c>
      <c r="H193" s="147">
        <f>F193+G193</f>
        <v/>
      </c>
      <c r="I193" s="148">
        <f>D193-H193</f>
        <v/>
      </c>
      <c r="J193" s="147">
        <f>E193+F193+G193</f>
        <v/>
      </c>
      <c r="K193" s="147">
        <f>IF(AND(D193&gt;0.005,Mortgage!$H$7&gt;0.8,D193/Mortgage!$B$5&gt;Mortgage!$B$14),Mortgage!$H$5*Mortgage!$B$13/12,0)</f>
        <v/>
      </c>
      <c r="L193" s="147">
        <f>IF(D193&gt;0.005,Mortgage!$B$11/12*(1+Mortgage!$B$16)^(C193-1),0)</f>
        <v/>
      </c>
      <c r="M193" s="147">
        <f>IF(D193&gt;0.005,Mortgage!$B$12/12*(1+Mortgage!$B$16)^(C193-1),0)</f>
        <v/>
      </c>
      <c r="N193" s="147">
        <f>IF(D193&gt;0.005,Mortgage!$B$15,0)</f>
        <v/>
      </c>
      <c r="O193" s="147">
        <f>J193+K193+L193+M193+N193</f>
        <v/>
      </c>
      <c r="P193" s="147">
        <f>P192+E193</f>
        <v/>
      </c>
      <c r="Q193" s="147">
        <f>IF(D193&gt;0.005,Mortgage!$B$5*(1+Mortgage!$B$17)^(A193/12),"")</f>
        <v/>
      </c>
      <c r="R193" s="147">
        <f>IF(D193&gt;0.005,Q193-I193,"")</f>
        <v/>
      </c>
      <c r="S193" s="147">
        <f>IF(A193&gt;Mortgage!$B$8*12,0,IF(Mortgage!$B$7=0,MAX(0,Mortgage!$H$5-Mortgage!$H$8*A193),MAX(0,Mortgage!$H$5*(1+(Mortgage!$B$7/12))^A193-Mortgage!$H$8*((1+(Mortgage!$B$7/12))^A193-1)/(Mortgage!$B$7/12))))</f>
        <v/>
      </c>
      <c r="T193" s="149">
        <f>IF(D193&gt;0.005,I193/Mortgage!$B$5,"")</f>
        <v/>
      </c>
      <c r="U193">
        <f>IF(A193&gt;Mortgage!$B$8*12,NA(),B193)</f>
        <v/>
      </c>
      <c r="V193">
        <f>IF(D193&gt;0.005,I193,NA())</f>
        <v/>
      </c>
      <c r="W193">
        <f>IF(A193&gt;Mortgage!$B$8*12,NA(),S193)</f>
        <v/>
      </c>
    </row>
    <row r="194">
      <c r="A194" s="129" t="n">
        <v>189</v>
      </c>
      <c r="B194" s="146">
        <f>EDATE(Mortgage!$B$9,A194-1)</f>
        <v/>
      </c>
      <c r="C194" s="129">
        <f>INT((A194-1)/12)+1</f>
        <v/>
      </c>
      <c r="D194" s="147">
        <f>IF(N(I193)&gt;0.005,I193,0)</f>
        <v/>
      </c>
      <c r="E194" s="147">
        <f>IF(D194&gt;0.005,D194*Mortgage!$B$7/12,0)</f>
        <v/>
      </c>
      <c r="F194" s="147">
        <f>IF(D194&gt;0.005,MIN(Mortgage!$H$8-E194,D194),0)</f>
        <v/>
      </c>
      <c r="G194" s="147">
        <f>IF(D194-F194&gt;0.005,MIN(D194-F194,Mortgage!$B$18+IF(MONTH(B194)=Mortgage!$B$20,Mortgage!$B$19,0)+SUMIFS(Mortgage!$E$6:$E$15,Mortgage!$D$6:$D$15,"&gt;="&amp;B194,Mortgage!$D$6:$D$15,"&lt;"&amp;EDATE(B194,1))+IF(Mortgage!$B$10="Bi-weekly (accelerated)",Mortgage!$H$8/12,0)),0)</f>
        <v/>
      </c>
      <c r="H194" s="147">
        <f>F194+G194</f>
        <v/>
      </c>
      <c r="I194" s="148">
        <f>D194-H194</f>
        <v/>
      </c>
      <c r="J194" s="147">
        <f>E194+F194+G194</f>
        <v/>
      </c>
      <c r="K194" s="147">
        <f>IF(AND(D194&gt;0.005,Mortgage!$H$7&gt;0.8,D194/Mortgage!$B$5&gt;Mortgage!$B$14),Mortgage!$H$5*Mortgage!$B$13/12,0)</f>
        <v/>
      </c>
      <c r="L194" s="147">
        <f>IF(D194&gt;0.005,Mortgage!$B$11/12*(1+Mortgage!$B$16)^(C194-1),0)</f>
        <v/>
      </c>
      <c r="M194" s="147">
        <f>IF(D194&gt;0.005,Mortgage!$B$12/12*(1+Mortgage!$B$16)^(C194-1),0)</f>
        <v/>
      </c>
      <c r="N194" s="147">
        <f>IF(D194&gt;0.005,Mortgage!$B$15,0)</f>
        <v/>
      </c>
      <c r="O194" s="147">
        <f>J194+K194+L194+M194+N194</f>
        <v/>
      </c>
      <c r="P194" s="147">
        <f>P193+E194</f>
        <v/>
      </c>
      <c r="Q194" s="147">
        <f>IF(D194&gt;0.005,Mortgage!$B$5*(1+Mortgage!$B$17)^(A194/12),"")</f>
        <v/>
      </c>
      <c r="R194" s="147">
        <f>IF(D194&gt;0.005,Q194-I194,"")</f>
        <v/>
      </c>
      <c r="S194" s="147">
        <f>IF(A194&gt;Mortgage!$B$8*12,0,IF(Mortgage!$B$7=0,MAX(0,Mortgage!$H$5-Mortgage!$H$8*A194),MAX(0,Mortgage!$H$5*(1+(Mortgage!$B$7/12))^A194-Mortgage!$H$8*((1+(Mortgage!$B$7/12))^A194-1)/(Mortgage!$B$7/12))))</f>
        <v/>
      </c>
      <c r="T194" s="149">
        <f>IF(D194&gt;0.005,I194/Mortgage!$B$5,"")</f>
        <v/>
      </c>
      <c r="U194">
        <f>IF(A194&gt;Mortgage!$B$8*12,NA(),B194)</f>
        <v/>
      </c>
      <c r="V194">
        <f>IF(D194&gt;0.005,I194,NA())</f>
        <v/>
      </c>
      <c r="W194">
        <f>IF(A194&gt;Mortgage!$B$8*12,NA(),S194)</f>
        <v/>
      </c>
    </row>
    <row r="195">
      <c r="A195" s="129" t="n">
        <v>190</v>
      </c>
      <c r="B195" s="146">
        <f>EDATE(Mortgage!$B$9,A195-1)</f>
        <v/>
      </c>
      <c r="C195" s="129">
        <f>INT((A195-1)/12)+1</f>
        <v/>
      </c>
      <c r="D195" s="147">
        <f>IF(N(I194)&gt;0.005,I194,0)</f>
        <v/>
      </c>
      <c r="E195" s="147">
        <f>IF(D195&gt;0.005,D195*Mortgage!$B$7/12,0)</f>
        <v/>
      </c>
      <c r="F195" s="147">
        <f>IF(D195&gt;0.005,MIN(Mortgage!$H$8-E195,D195),0)</f>
        <v/>
      </c>
      <c r="G195" s="147">
        <f>IF(D195-F195&gt;0.005,MIN(D195-F195,Mortgage!$B$18+IF(MONTH(B195)=Mortgage!$B$20,Mortgage!$B$19,0)+SUMIFS(Mortgage!$E$6:$E$15,Mortgage!$D$6:$D$15,"&gt;="&amp;B195,Mortgage!$D$6:$D$15,"&lt;"&amp;EDATE(B195,1))+IF(Mortgage!$B$10="Bi-weekly (accelerated)",Mortgage!$H$8/12,0)),0)</f>
        <v/>
      </c>
      <c r="H195" s="147">
        <f>F195+G195</f>
        <v/>
      </c>
      <c r="I195" s="148">
        <f>D195-H195</f>
        <v/>
      </c>
      <c r="J195" s="147">
        <f>E195+F195+G195</f>
        <v/>
      </c>
      <c r="K195" s="147">
        <f>IF(AND(D195&gt;0.005,Mortgage!$H$7&gt;0.8,D195/Mortgage!$B$5&gt;Mortgage!$B$14),Mortgage!$H$5*Mortgage!$B$13/12,0)</f>
        <v/>
      </c>
      <c r="L195" s="147">
        <f>IF(D195&gt;0.005,Mortgage!$B$11/12*(1+Mortgage!$B$16)^(C195-1),0)</f>
        <v/>
      </c>
      <c r="M195" s="147">
        <f>IF(D195&gt;0.005,Mortgage!$B$12/12*(1+Mortgage!$B$16)^(C195-1),0)</f>
        <v/>
      </c>
      <c r="N195" s="147">
        <f>IF(D195&gt;0.005,Mortgage!$B$15,0)</f>
        <v/>
      </c>
      <c r="O195" s="147">
        <f>J195+K195+L195+M195+N195</f>
        <v/>
      </c>
      <c r="P195" s="147">
        <f>P194+E195</f>
        <v/>
      </c>
      <c r="Q195" s="147">
        <f>IF(D195&gt;0.005,Mortgage!$B$5*(1+Mortgage!$B$17)^(A195/12),"")</f>
        <v/>
      </c>
      <c r="R195" s="147">
        <f>IF(D195&gt;0.005,Q195-I195,"")</f>
        <v/>
      </c>
      <c r="S195" s="147">
        <f>IF(A195&gt;Mortgage!$B$8*12,0,IF(Mortgage!$B$7=0,MAX(0,Mortgage!$H$5-Mortgage!$H$8*A195),MAX(0,Mortgage!$H$5*(1+(Mortgage!$B$7/12))^A195-Mortgage!$H$8*((1+(Mortgage!$B$7/12))^A195-1)/(Mortgage!$B$7/12))))</f>
        <v/>
      </c>
      <c r="T195" s="149">
        <f>IF(D195&gt;0.005,I195/Mortgage!$B$5,"")</f>
        <v/>
      </c>
      <c r="U195">
        <f>IF(A195&gt;Mortgage!$B$8*12,NA(),B195)</f>
        <v/>
      </c>
      <c r="V195">
        <f>IF(D195&gt;0.005,I195,NA())</f>
        <v/>
      </c>
      <c r="W195">
        <f>IF(A195&gt;Mortgage!$B$8*12,NA(),S195)</f>
        <v/>
      </c>
    </row>
    <row r="196">
      <c r="A196" s="129" t="n">
        <v>191</v>
      </c>
      <c r="B196" s="146">
        <f>EDATE(Mortgage!$B$9,A196-1)</f>
        <v/>
      </c>
      <c r="C196" s="129">
        <f>INT((A196-1)/12)+1</f>
        <v/>
      </c>
      <c r="D196" s="147">
        <f>IF(N(I195)&gt;0.005,I195,0)</f>
        <v/>
      </c>
      <c r="E196" s="147">
        <f>IF(D196&gt;0.005,D196*Mortgage!$B$7/12,0)</f>
        <v/>
      </c>
      <c r="F196" s="147">
        <f>IF(D196&gt;0.005,MIN(Mortgage!$H$8-E196,D196),0)</f>
        <v/>
      </c>
      <c r="G196" s="147">
        <f>IF(D196-F196&gt;0.005,MIN(D196-F196,Mortgage!$B$18+IF(MONTH(B196)=Mortgage!$B$20,Mortgage!$B$19,0)+SUMIFS(Mortgage!$E$6:$E$15,Mortgage!$D$6:$D$15,"&gt;="&amp;B196,Mortgage!$D$6:$D$15,"&lt;"&amp;EDATE(B196,1))+IF(Mortgage!$B$10="Bi-weekly (accelerated)",Mortgage!$H$8/12,0)),0)</f>
        <v/>
      </c>
      <c r="H196" s="147">
        <f>F196+G196</f>
        <v/>
      </c>
      <c r="I196" s="148">
        <f>D196-H196</f>
        <v/>
      </c>
      <c r="J196" s="147">
        <f>E196+F196+G196</f>
        <v/>
      </c>
      <c r="K196" s="147">
        <f>IF(AND(D196&gt;0.005,Mortgage!$H$7&gt;0.8,D196/Mortgage!$B$5&gt;Mortgage!$B$14),Mortgage!$H$5*Mortgage!$B$13/12,0)</f>
        <v/>
      </c>
      <c r="L196" s="147">
        <f>IF(D196&gt;0.005,Mortgage!$B$11/12*(1+Mortgage!$B$16)^(C196-1),0)</f>
        <v/>
      </c>
      <c r="M196" s="147">
        <f>IF(D196&gt;0.005,Mortgage!$B$12/12*(1+Mortgage!$B$16)^(C196-1),0)</f>
        <v/>
      </c>
      <c r="N196" s="147">
        <f>IF(D196&gt;0.005,Mortgage!$B$15,0)</f>
        <v/>
      </c>
      <c r="O196" s="147">
        <f>J196+K196+L196+M196+N196</f>
        <v/>
      </c>
      <c r="P196" s="147">
        <f>P195+E196</f>
        <v/>
      </c>
      <c r="Q196" s="147">
        <f>IF(D196&gt;0.005,Mortgage!$B$5*(1+Mortgage!$B$17)^(A196/12),"")</f>
        <v/>
      </c>
      <c r="R196" s="147">
        <f>IF(D196&gt;0.005,Q196-I196,"")</f>
        <v/>
      </c>
      <c r="S196" s="147">
        <f>IF(A196&gt;Mortgage!$B$8*12,0,IF(Mortgage!$B$7=0,MAX(0,Mortgage!$H$5-Mortgage!$H$8*A196),MAX(0,Mortgage!$H$5*(1+(Mortgage!$B$7/12))^A196-Mortgage!$H$8*((1+(Mortgage!$B$7/12))^A196-1)/(Mortgage!$B$7/12))))</f>
        <v/>
      </c>
      <c r="T196" s="149">
        <f>IF(D196&gt;0.005,I196/Mortgage!$B$5,"")</f>
        <v/>
      </c>
      <c r="U196">
        <f>IF(A196&gt;Mortgage!$B$8*12,NA(),B196)</f>
        <v/>
      </c>
      <c r="V196">
        <f>IF(D196&gt;0.005,I196,NA())</f>
        <v/>
      </c>
      <c r="W196">
        <f>IF(A196&gt;Mortgage!$B$8*12,NA(),S196)</f>
        <v/>
      </c>
    </row>
    <row r="197">
      <c r="A197" s="129" t="n">
        <v>192</v>
      </c>
      <c r="B197" s="146">
        <f>EDATE(Mortgage!$B$9,A197-1)</f>
        <v/>
      </c>
      <c r="C197" s="129">
        <f>INT((A197-1)/12)+1</f>
        <v/>
      </c>
      <c r="D197" s="147">
        <f>IF(N(I196)&gt;0.005,I196,0)</f>
        <v/>
      </c>
      <c r="E197" s="147">
        <f>IF(D197&gt;0.005,D197*Mortgage!$B$7/12,0)</f>
        <v/>
      </c>
      <c r="F197" s="147">
        <f>IF(D197&gt;0.005,MIN(Mortgage!$H$8-E197,D197),0)</f>
        <v/>
      </c>
      <c r="G197" s="147">
        <f>IF(D197-F197&gt;0.005,MIN(D197-F197,Mortgage!$B$18+IF(MONTH(B197)=Mortgage!$B$20,Mortgage!$B$19,0)+SUMIFS(Mortgage!$E$6:$E$15,Mortgage!$D$6:$D$15,"&gt;="&amp;B197,Mortgage!$D$6:$D$15,"&lt;"&amp;EDATE(B197,1))+IF(Mortgage!$B$10="Bi-weekly (accelerated)",Mortgage!$H$8/12,0)),0)</f>
        <v/>
      </c>
      <c r="H197" s="147">
        <f>F197+G197</f>
        <v/>
      </c>
      <c r="I197" s="148">
        <f>D197-H197</f>
        <v/>
      </c>
      <c r="J197" s="147">
        <f>E197+F197+G197</f>
        <v/>
      </c>
      <c r="K197" s="147">
        <f>IF(AND(D197&gt;0.005,Mortgage!$H$7&gt;0.8,D197/Mortgage!$B$5&gt;Mortgage!$B$14),Mortgage!$H$5*Mortgage!$B$13/12,0)</f>
        <v/>
      </c>
      <c r="L197" s="147">
        <f>IF(D197&gt;0.005,Mortgage!$B$11/12*(1+Mortgage!$B$16)^(C197-1),0)</f>
        <v/>
      </c>
      <c r="M197" s="147">
        <f>IF(D197&gt;0.005,Mortgage!$B$12/12*(1+Mortgage!$B$16)^(C197-1),0)</f>
        <v/>
      </c>
      <c r="N197" s="147">
        <f>IF(D197&gt;0.005,Mortgage!$B$15,0)</f>
        <v/>
      </c>
      <c r="O197" s="147">
        <f>J197+K197+L197+M197+N197</f>
        <v/>
      </c>
      <c r="P197" s="147">
        <f>P196+E197</f>
        <v/>
      </c>
      <c r="Q197" s="147">
        <f>IF(D197&gt;0.005,Mortgage!$B$5*(1+Mortgage!$B$17)^(A197/12),"")</f>
        <v/>
      </c>
      <c r="R197" s="147">
        <f>IF(D197&gt;0.005,Q197-I197,"")</f>
        <v/>
      </c>
      <c r="S197" s="147">
        <f>IF(A197&gt;Mortgage!$B$8*12,0,IF(Mortgage!$B$7=0,MAX(0,Mortgage!$H$5-Mortgage!$H$8*A197),MAX(0,Mortgage!$H$5*(1+(Mortgage!$B$7/12))^A197-Mortgage!$H$8*((1+(Mortgage!$B$7/12))^A197-1)/(Mortgage!$B$7/12))))</f>
        <v/>
      </c>
      <c r="T197" s="149">
        <f>IF(D197&gt;0.005,I197/Mortgage!$B$5,"")</f>
        <v/>
      </c>
      <c r="U197">
        <f>IF(A197&gt;Mortgage!$B$8*12,NA(),B197)</f>
        <v/>
      </c>
      <c r="V197">
        <f>IF(D197&gt;0.005,I197,NA())</f>
        <v/>
      </c>
      <c r="W197">
        <f>IF(A197&gt;Mortgage!$B$8*12,NA(),S197)</f>
        <v/>
      </c>
    </row>
    <row r="198">
      <c r="A198" s="129" t="n">
        <v>193</v>
      </c>
      <c r="B198" s="146">
        <f>EDATE(Mortgage!$B$9,A198-1)</f>
        <v/>
      </c>
      <c r="C198" s="129">
        <f>INT((A198-1)/12)+1</f>
        <v/>
      </c>
      <c r="D198" s="147">
        <f>IF(N(I197)&gt;0.005,I197,0)</f>
        <v/>
      </c>
      <c r="E198" s="147">
        <f>IF(D198&gt;0.005,D198*Mortgage!$B$7/12,0)</f>
        <v/>
      </c>
      <c r="F198" s="147">
        <f>IF(D198&gt;0.005,MIN(Mortgage!$H$8-E198,D198),0)</f>
        <v/>
      </c>
      <c r="G198" s="147">
        <f>IF(D198-F198&gt;0.005,MIN(D198-F198,Mortgage!$B$18+IF(MONTH(B198)=Mortgage!$B$20,Mortgage!$B$19,0)+SUMIFS(Mortgage!$E$6:$E$15,Mortgage!$D$6:$D$15,"&gt;="&amp;B198,Mortgage!$D$6:$D$15,"&lt;"&amp;EDATE(B198,1))+IF(Mortgage!$B$10="Bi-weekly (accelerated)",Mortgage!$H$8/12,0)),0)</f>
        <v/>
      </c>
      <c r="H198" s="147">
        <f>F198+G198</f>
        <v/>
      </c>
      <c r="I198" s="148">
        <f>D198-H198</f>
        <v/>
      </c>
      <c r="J198" s="147">
        <f>E198+F198+G198</f>
        <v/>
      </c>
      <c r="K198" s="147">
        <f>IF(AND(D198&gt;0.005,Mortgage!$H$7&gt;0.8,D198/Mortgage!$B$5&gt;Mortgage!$B$14),Mortgage!$H$5*Mortgage!$B$13/12,0)</f>
        <v/>
      </c>
      <c r="L198" s="147">
        <f>IF(D198&gt;0.005,Mortgage!$B$11/12*(1+Mortgage!$B$16)^(C198-1),0)</f>
        <v/>
      </c>
      <c r="M198" s="147">
        <f>IF(D198&gt;0.005,Mortgage!$B$12/12*(1+Mortgage!$B$16)^(C198-1),0)</f>
        <v/>
      </c>
      <c r="N198" s="147">
        <f>IF(D198&gt;0.005,Mortgage!$B$15,0)</f>
        <v/>
      </c>
      <c r="O198" s="147">
        <f>J198+K198+L198+M198+N198</f>
        <v/>
      </c>
      <c r="P198" s="147">
        <f>P197+E198</f>
        <v/>
      </c>
      <c r="Q198" s="147">
        <f>IF(D198&gt;0.005,Mortgage!$B$5*(1+Mortgage!$B$17)^(A198/12),"")</f>
        <v/>
      </c>
      <c r="R198" s="147">
        <f>IF(D198&gt;0.005,Q198-I198,"")</f>
        <v/>
      </c>
      <c r="S198" s="147">
        <f>IF(A198&gt;Mortgage!$B$8*12,0,IF(Mortgage!$B$7=0,MAX(0,Mortgage!$H$5-Mortgage!$H$8*A198),MAX(0,Mortgage!$H$5*(1+(Mortgage!$B$7/12))^A198-Mortgage!$H$8*((1+(Mortgage!$B$7/12))^A198-1)/(Mortgage!$B$7/12))))</f>
        <v/>
      </c>
      <c r="T198" s="149">
        <f>IF(D198&gt;0.005,I198/Mortgage!$B$5,"")</f>
        <v/>
      </c>
      <c r="U198">
        <f>IF(A198&gt;Mortgage!$B$8*12,NA(),B198)</f>
        <v/>
      </c>
      <c r="V198">
        <f>IF(D198&gt;0.005,I198,NA())</f>
        <v/>
      </c>
      <c r="W198">
        <f>IF(A198&gt;Mortgage!$B$8*12,NA(),S198)</f>
        <v/>
      </c>
    </row>
    <row r="199">
      <c r="A199" s="129" t="n">
        <v>194</v>
      </c>
      <c r="B199" s="146">
        <f>EDATE(Mortgage!$B$9,A199-1)</f>
        <v/>
      </c>
      <c r="C199" s="129">
        <f>INT((A199-1)/12)+1</f>
        <v/>
      </c>
      <c r="D199" s="147">
        <f>IF(N(I198)&gt;0.005,I198,0)</f>
        <v/>
      </c>
      <c r="E199" s="147">
        <f>IF(D199&gt;0.005,D199*Mortgage!$B$7/12,0)</f>
        <v/>
      </c>
      <c r="F199" s="147">
        <f>IF(D199&gt;0.005,MIN(Mortgage!$H$8-E199,D199),0)</f>
        <v/>
      </c>
      <c r="G199" s="147">
        <f>IF(D199-F199&gt;0.005,MIN(D199-F199,Mortgage!$B$18+IF(MONTH(B199)=Mortgage!$B$20,Mortgage!$B$19,0)+SUMIFS(Mortgage!$E$6:$E$15,Mortgage!$D$6:$D$15,"&gt;="&amp;B199,Mortgage!$D$6:$D$15,"&lt;"&amp;EDATE(B199,1))+IF(Mortgage!$B$10="Bi-weekly (accelerated)",Mortgage!$H$8/12,0)),0)</f>
        <v/>
      </c>
      <c r="H199" s="147">
        <f>F199+G199</f>
        <v/>
      </c>
      <c r="I199" s="148">
        <f>D199-H199</f>
        <v/>
      </c>
      <c r="J199" s="147">
        <f>E199+F199+G199</f>
        <v/>
      </c>
      <c r="K199" s="147">
        <f>IF(AND(D199&gt;0.005,Mortgage!$H$7&gt;0.8,D199/Mortgage!$B$5&gt;Mortgage!$B$14),Mortgage!$H$5*Mortgage!$B$13/12,0)</f>
        <v/>
      </c>
      <c r="L199" s="147">
        <f>IF(D199&gt;0.005,Mortgage!$B$11/12*(1+Mortgage!$B$16)^(C199-1),0)</f>
        <v/>
      </c>
      <c r="M199" s="147">
        <f>IF(D199&gt;0.005,Mortgage!$B$12/12*(1+Mortgage!$B$16)^(C199-1),0)</f>
        <v/>
      </c>
      <c r="N199" s="147">
        <f>IF(D199&gt;0.005,Mortgage!$B$15,0)</f>
        <v/>
      </c>
      <c r="O199" s="147">
        <f>J199+K199+L199+M199+N199</f>
        <v/>
      </c>
      <c r="P199" s="147">
        <f>P198+E199</f>
        <v/>
      </c>
      <c r="Q199" s="147">
        <f>IF(D199&gt;0.005,Mortgage!$B$5*(1+Mortgage!$B$17)^(A199/12),"")</f>
        <v/>
      </c>
      <c r="R199" s="147">
        <f>IF(D199&gt;0.005,Q199-I199,"")</f>
        <v/>
      </c>
      <c r="S199" s="147">
        <f>IF(A199&gt;Mortgage!$B$8*12,0,IF(Mortgage!$B$7=0,MAX(0,Mortgage!$H$5-Mortgage!$H$8*A199),MAX(0,Mortgage!$H$5*(1+(Mortgage!$B$7/12))^A199-Mortgage!$H$8*((1+(Mortgage!$B$7/12))^A199-1)/(Mortgage!$B$7/12))))</f>
        <v/>
      </c>
      <c r="T199" s="149">
        <f>IF(D199&gt;0.005,I199/Mortgage!$B$5,"")</f>
        <v/>
      </c>
      <c r="U199">
        <f>IF(A199&gt;Mortgage!$B$8*12,NA(),B199)</f>
        <v/>
      </c>
      <c r="V199">
        <f>IF(D199&gt;0.005,I199,NA())</f>
        <v/>
      </c>
      <c r="W199">
        <f>IF(A199&gt;Mortgage!$B$8*12,NA(),S199)</f>
        <v/>
      </c>
    </row>
    <row r="200">
      <c r="A200" s="129" t="n">
        <v>195</v>
      </c>
      <c r="B200" s="146">
        <f>EDATE(Mortgage!$B$9,A200-1)</f>
        <v/>
      </c>
      <c r="C200" s="129">
        <f>INT((A200-1)/12)+1</f>
        <v/>
      </c>
      <c r="D200" s="147">
        <f>IF(N(I199)&gt;0.005,I199,0)</f>
        <v/>
      </c>
      <c r="E200" s="147">
        <f>IF(D200&gt;0.005,D200*Mortgage!$B$7/12,0)</f>
        <v/>
      </c>
      <c r="F200" s="147">
        <f>IF(D200&gt;0.005,MIN(Mortgage!$H$8-E200,D200),0)</f>
        <v/>
      </c>
      <c r="G200" s="147">
        <f>IF(D200-F200&gt;0.005,MIN(D200-F200,Mortgage!$B$18+IF(MONTH(B200)=Mortgage!$B$20,Mortgage!$B$19,0)+SUMIFS(Mortgage!$E$6:$E$15,Mortgage!$D$6:$D$15,"&gt;="&amp;B200,Mortgage!$D$6:$D$15,"&lt;"&amp;EDATE(B200,1))+IF(Mortgage!$B$10="Bi-weekly (accelerated)",Mortgage!$H$8/12,0)),0)</f>
        <v/>
      </c>
      <c r="H200" s="147">
        <f>F200+G200</f>
        <v/>
      </c>
      <c r="I200" s="148">
        <f>D200-H200</f>
        <v/>
      </c>
      <c r="J200" s="147">
        <f>E200+F200+G200</f>
        <v/>
      </c>
      <c r="K200" s="147">
        <f>IF(AND(D200&gt;0.005,Mortgage!$H$7&gt;0.8,D200/Mortgage!$B$5&gt;Mortgage!$B$14),Mortgage!$H$5*Mortgage!$B$13/12,0)</f>
        <v/>
      </c>
      <c r="L200" s="147">
        <f>IF(D200&gt;0.005,Mortgage!$B$11/12*(1+Mortgage!$B$16)^(C200-1),0)</f>
        <v/>
      </c>
      <c r="M200" s="147">
        <f>IF(D200&gt;0.005,Mortgage!$B$12/12*(1+Mortgage!$B$16)^(C200-1),0)</f>
        <v/>
      </c>
      <c r="N200" s="147">
        <f>IF(D200&gt;0.005,Mortgage!$B$15,0)</f>
        <v/>
      </c>
      <c r="O200" s="147">
        <f>J200+K200+L200+M200+N200</f>
        <v/>
      </c>
      <c r="P200" s="147">
        <f>P199+E200</f>
        <v/>
      </c>
      <c r="Q200" s="147">
        <f>IF(D200&gt;0.005,Mortgage!$B$5*(1+Mortgage!$B$17)^(A200/12),"")</f>
        <v/>
      </c>
      <c r="R200" s="147">
        <f>IF(D200&gt;0.005,Q200-I200,"")</f>
        <v/>
      </c>
      <c r="S200" s="147">
        <f>IF(A200&gt;Mortgage!$B$8*12,0,IF(Mortgage!$B$7=0,MAX(0,Mortgage!$H$5-Mortgage!$H$8*A200),MAX(0,Mortgage!$H$5*(1+(Mortgage!$B$7/12))^A200-Mortgage!$H$8*((1+(Mortgage!$B$7/12))^A200-1)/(Mortgage!$B$7/12))))</f>
        <v/>
      </c>
      <c r="T200" s="149">
        <f>IF(D200&gt;0.005,I200/Mortgage!$B$5,"")</f>
        <v/>
      </c>
      <c r="U200">
        <f>IF(A200&gt;Mortgage!$B$8*12,NA(),B200)</f>
        <v/>
      </c>
      <c r="V200">
        <f>IF(D200&gt;0.005,I200,NA())</f>
        <v/>
      </c>
      <c r="W200">
        <f>IF(A200&gt;Mortgage!$B$8*12,NA(),S200)</f>
        <v/>
      </c>
    </row>
    <row r="201">
      <c r="A201" s="129" t="n">
        <v>196</v>
      </c>
      <c r="B201" s="146">
        <f>EDATE(Mortgage!$B$9,A201-1)</f>
        <v/>
      </c>
      <c r="C201" s="129">
        <f>INT((A201-1)/12)+1</f>
        <v/>
      </c>
      <c r="D201" s="147">
        <f>IF(N(I200)&gt;0.005,I200,0)</f>
        <v/>
      </c>
      <c r="E201" s="147">
        <f>IF(D201&gt;0.005,D201*Mortgage!$B$7/12,0)</f>
        <v/>
      </c>
      <c r="F201" s="147">
        <f>IF(D201&gt;0.005,MIN(Mortgage!$H$8-E201,D201),0)</f>
        <v/>
      </c>
      <c r="G201" s="147">
        <f>IF(D201-F201&gt;0.005,MIN(D201-F201,Mortgage!$B$18+IF(MONTH(B201)=Mortgage!$B$20,Mortgage!$B$19,0)+SUMIFS(Mortgage!$E$6:$E$15,Mortgage!$D$6:$D$15,"&gt;="&amp;B201,Mortgage!$D$6:$D$15,"&lt;"&amp;EDATE(B201,1))+IF(Mortgage!$B$10="Bi-weekly (accelerated)",Mortgage!$H$8/12,0)),0)</f>
        <v/>
      </c>
      <c r="H201" s="147">
        <f>F201+G201</f>
        <v/>
      </c>
      <c r="I201" s="148">
        <f>D201-H201</f>
        <v/>
      </c>
      <c r="J201" s="147">
        <f>E201+F201+G201</f>
        <v/>
      </c>
      <c r="K201" s="147">
        <f>IF(AND(D201&gt;0.005,Mortgage!$H$7&gt;0.8,D201/Mortgage!$B$5&gt;Mortgage!$B$14),Mortgage!$H$5*Mortgage!$B$13/12,0)</f>
        <v/>
      </c>
      <c r="L201" s="147">
        <f>IF(D201&gt;0.005,Mortgage!$B$11/12*(1+Mortgage!$B$16)^(C201-1),0)</f>
        <v/>
      </c>
      <c r="M201" s="147">
        <f>IF(D201&gt;0.005,Mortgage!$B$12/12*(1+Mortgage!$B$16)^(C201-1),0)</f>
        <v/>
      </c>
      <c r="N201" s="147">
        <f>IF(D201&gt;0.005,Mortgage!$B$15,0)</f>
        <v/>
      </c>
      <c r="O201" s="147">
        <f>J201+K201+L201+M201+N201</f>
        <v/>
      </c>
      <c r="P201" s="147">
        <f>P200+E201</f>
        <v/>
      </c>
      <c r="Q201" s="147">
        <f>IF(D201&gt;0.005,Mortgage!$B$5*(1+Mortgage!$B$17)^(A201/12),"")</f>
        <v/>
      </c>
      <c r="R201" s="147">
        <f>IF(D201&gt;0.005,Q201-I201,"")</f>
        <v/>
      </c>
      <c r="S201" s="147">
        <f>IF(A201&gt;Mortgage!$B$8*12,0,IF(Mortgage!$B$7=0,MAX(0,Mortgage!$H$5-Mortgage!$H$8*A201),MAX(0,Mortgage!$H$5*(1+(Mortgage!$B$7/12))^A201-Mortgage!$H$8*((1+(Mortgage!$B$7/12))^A201-1)/(Mortgage!$B$7/12))))</f>
        <v/>
      </c>
      <c r="T201" s="149">
        <f>IF(D201&gt;0.005,I201/Mortgage!$B$5,"")</f>
        <v/>
      </c>
      <c r="U201">
        <f>IF(A201&gt;Mortgage!$B$8*12,NA(),B201)</f>
        <v/>
      </c>
      <c r="V201">
        <f>IF(D201&gt;0.005,I201,NA())</f>
        <v/>
      </c>
      <c r="W201">
        <f>IF(A201&gt;Mortgage!$B$8*12,NA(),S201)</f>
        <v/>
      </c>
    </row>
    <row r="202">
      <c r="A202" s="129" t="n">
        <v>197</v>
      </c>
      <c r="B202" s="146">
        <f>EDATE(Mortgage!$B$9,A202-1)</f>
        <v/>
      </c>
      <c r="C202" s="129">
        <f>INT((A202-1)/12)+1</f>
        <v/>
      </c>
      <c r="D202" s="147">
        <f>IF(N(I201)&gt;0.005,I201,0)</f>
        <v/>
      </c>
      <c r="E202" s="147">
        <f>IF(D202&gt;0.005,D202*Mortgage!$B$7/12,0)</f>
        <v/>
      </c>
      <c r="F202" s="147">
        <f>IF(D202&gt;0.005,MIN(Mortgage!$H$8-E202,D202),0)</f>
        <v/>
      </c>
      <c r="G202" s="147">
        <f>IF(D202-F202&gt;0.005,MIN(D202-F202,Mortgage!$B$18+IF(MONTH(B202)=Mortgage!$B$20,Mortgage!$B$19,0)+SUMIFS(Mortgage!$E$6:$E$15,Mortgage!$D$6:$D$15,"&gt;="&amp;B202,Mortgage!$D$6:$D$15,"&lt;"&amp;EDATE(B202,1))+IF(Mortgage!$B$10="Bi-weekly (accelerated)",Mortgage!$H$8/12,0)),0)</f>
        <v/>
      </c>
      <c r="H202" s="147">
        <f>F202+G202</f>
        <v/>
      </c>
      <c r="I202" s="148">
        <f>D202-H202</f>
        <v/>
      </c>
      <c r="J202" s="147">
        <f>E202+F202+G202</f>
        <v/>
      </c>
      <c r="K202" s="147">
        <f>IF(AND(D202&gt;0.005,Mortgage!$H$7&gt;0.8,D202/Mortgage!$B$5&gt;Mortgage!$B$14),Mortgage!$H$5*Mortgage!$B$13/12,0)</f>
        <v/>
      </c>
      <c r="L202" s="147">
        <f>IF(D202&gt;0.005,Mortgage!$B$11/12*(1+Mortgage!$B$16)^(C202-1),0)</f>
        <v/>
      </c>
      <c r="M202" s="147">
        <f>IF(D202&gt;0.005,Mortgage!$B$12/12*(1+Mortgage!$B$16)^(C202-1),0)</f>
        <v/>
      </c>
      <c r="N202" s="147">
        <f>IF(D202&gt;0.005,Mortgage!$B$15,0)</f>
        <v/>
      </c>
      <c r="O202" s="147">
        <f>J202+K202+L202+M202+N202</f>
        <v/>
      </c>
      <c r="P202" s="147">
        <f>P201+E202</f>
        <v/>
      </c>
      <c r="Q202" s="147">
        <f>IF(D202&gt;0.005,Mortgage!$B$5*(1+Mortgage!$B$17)^(A202/12),"")</f>
        <v/>
      </c>
      <c r="R202" s="147">
        <f>IF(D202&gt;0.005,Q202-I202,"")</f>
        <v/>
      </c>
      <c r="S202" s="147">
        <f>IF(A202&gt;Mortgage!$B$8*12,0,IF(Mortgage!$B$7=0,MAX(0,Mortgage!$H$5-Mortgage!$H$8*A202),MAX(0,Mortgage!$H$5*(1+(Mortgage!$B$7/12))^A202-Mortgage!$H$8*((1+(Mortgage!$B$7/12))^A202-1)/(Mortgage!$B$7/12))))</f>
        <v/>
      </c>
      <c r="T202" s="149">
        <f>IF(D202&gt;0.005,I202/Mortgage!$B$5,"")</f>
        <v/>
      </c>
      <c r="U202">
        <f>IF(A202&gt;Mortgage!$B$8*12,NA(),B202)</f>
        <v/>
      </c>
      <c r="V202">
        <f>IF(D202&gt;0.005,I202,NA())</f>
        <v/>
      </c>
      <c r="W202">
        <f>IF(A202&gt;Mortgage!$B$8*12,NA(),S202)</f>
        <v/>
      </c>
    </row>
    <row r="203">
      <c r="A203" s="129" t="n">
        <v>198</v>
      </c>
      <c r="B203" s="146">
        <f>EDATE(Mortgage!$B$9,A203-1)</f>
        <v/>
      </c>
      <c r="C203" s="129">
        <f>INT((A203-1)/12)+1</f>
        <v/>
      </c>
      <c r="D203" s="147">
        <f>IF(N(I202)&gt;0.005,I202,0)</f>
        <v/>
      </c>
      <c r="E203" s="147">
        <f>IF(D203&gt;0.005,D203*Mortgage!$B$7/12,0)</f>
        <v/>
      </c>
      <c r="F203" s="147">
        <f>IF(D203&gt;0.005,MIN(Mortgage!$H$8-E203,D203),0)</f>
        <v/>
      </c>
      <c r="G203" s="147">
        <f>IF(D203-F203&gt;0.005,MIN(D203-F203,Mortgage!$B$18+IF(MONTH(B203)=Mortgage!$B$20,Mortgage!$B$19,0)+SUMIFS(Mortgage!$E$6:$E$15,Mortgage!$D$6:$D$15,"&gt;="&amp;B203,Mortgage!$D$6:$D$15,"&lt;"&amp;EDATE(B203,1))+IF(Mortgage!$B$10="Bi-weekly (accelerated)",Mortgage!$H$8/12,0)),0)</f>
        <v/>
      </c>
      <c r="H203" s="147">
        <f>F203+G203</f>
        <v/>
      </c>
      <c r="I203" s="148">
        <f>D203-H203</f>
        <v/>
      </c>
      <c r="J203" s="147">
        <f>E203+F203+G203</f>
        <v/>
      </c>
      <c r="K203" s="147">
        <f>IF(AND(D203&gt;0.005,Mortgage!$H$7&gt;0.8,D203/Mortgage!$B$5&gt;Mortgage!$B$14),Mortgage!$H$5*Mortgage!$B$13/12,0)</f>
        <v/>
      </c>
      <c r="L203" s="147">
        <f>IF(D203&gt;0.005,Mortgage!$B$11/12*(1+Mortgage!$B$16)^(C203-1),0)</f>
        <v/>
      </c>
      <c r="M203" s="147">
        <f>IF(D203&gt;0.005,Mortgage!$B$12/12*(1+Mortgage!$B$16)^(C203-1),0)</f>
        <v/>
      </c>
      <c r="N203" s="147">
        <f>IF(D203&gt;0.005,Mortgage!$B$15,0)</f>
        <v/>
      </c>
      <c r="O203" s="147">
        <f>J203+K203+L203+M203+N203</f>
        <v/>
      </c>
      <c r="P203" s="147">
        <f>P202+E203</f>
        <v/>
      </c>
      <c r="Q203" s="147">
        <f>IF(D203&gt;0.005,Mortgage!$B$5*(1+Mortgage!$B$17)^(A203/12),"")</f>
        <v/>
      </c>
      <c r="R203" s="147">
        <f>IF(D203&gt;0.005,Q203-I203,"")</f>
        <v/>
      </c>
      <c r="S203" s="147">
        <f>IF(A203&gt;Mortgage!$B$8*12,0,IF(Mortgage!$B$7=0,MAX(0,Mortgage!$H$5-Mortgage!$H$8*A203),MAX(0,Mortgage!$H$5*(1+(Mortgage!$B$7/12))^A203-Mortgage!$H$8*((1+(Mortgage!$B$7/12))^A203-1)/(Mortgage!$B$7/12))))</f>
        <v/>
      </c>
      <c r="T203" s="149">
        <f>IF(D203&gt;0.005,I203/Mortgage!$B$5,"")</f>
        <v/>
      </c>
      <c r="U203">
        <f>IF(A203&gt;Mortgage!$B$8*12,NA(),B203)</f>
        <v/>
      </c>
      <c r="V203">
        <f>IF(D203&gt;0.005,I203,NA())</f>
        <v/>
      </c>
      <c r="W203">
        <f>IF(A203&gt;Mortgage!$B$8*12,NA(),S203)</f>
        <v/>
      </c>
    </row>
    <row r="204">
      <c r="A204" s="129" t="n">
        <v>199</v>
      </c>
      <c r="B204" s="146">
        <f>EDATE(Mortgage!$B$9,A204-1)</f>
        <v/>
      </c>
      <c r="C204" s="129">
        <f>INT((A204-1)/12)+1</f>
        <v/>
      </c>
      <c r="D204" s="147">
        <f>IF(N(I203)&gt;0.005,I203,0)</f>
        <v/>
      </c>
      <c r="E204" s="147">
        <f>IF(D204&gt;0.005,D204*Mortgage!$B$7/12,0)</f>
        <v/>
      </c>
      <c r="F204" s="147">
        <f>IF(D204&gt;0.005,MIN(Mortgage!$H$8-E204,D204),0)</f>
        <v/>
      </c>
      <c r="G204" s="147">
        <f>IF(D204-F204&gt;0.005,MIN(D204-F204,Mortgage!$B$18+IF(MONTH(B204)=Mortgage!$B$20,Mortgage!$B$19,0)+SUMIFS(Mortgage!$E$6:$E$15,Mortgage!$D$6:$D$15,"&gt;="&amp;B204,Mortgage!$D$6:$D$15,"&lt;"&amp;EDATE(B204,1))+IF(Mortgage!$B$10="Bi-weekly (accelerated)",Mortgage!$H$8/12,0)),0)</f>
        <v/>
      </c>
      <c r="H204" s="147">
        <f>F204+G204</f>
        <v/>
      </c>
      <c r="I204" s="148">
        <f>D204-H204</f>
        <v/>
      </c>
      <c r="J204" s="147">
        <f>E204+F204+G204</f>
        <v/>
      </c>
      <c r="K204" s="147">
        <f>IF(AND(D204&gt;0.005,Mortgage!$H$7&gt;0.8,D204/Mortgage!$B$5&gt;Mortgage!$B$14),Mortgage!$H$5*Mortgage!$B$13/12,0)</f>
        <v/>
      </c>
      <c r="L204" s="147">
        <f>IF(D204&gt;0.005,Mortgage!$B$11/12*(1+Mortgage!$B$16)^(C204-1),0)</f>
        <v/>
      </c>
      <c r="M204" s="147">
        <f>IF(D204&gt;0.005,Mortgage!$B$12/12*(1+Mortgage!$B$16)^(C204-1),0)</f>
        <v/>
      </c>
      <c r="N204" s="147">
        <f>IF(D204&gt;0.005,Mortgage!$B$15,0)</f>
        <v/>
      </c>
      <c r="O204" s="147">
        <f>J204+K204+L204+M204+N204</f>
        <v/>
      </c>
      <c r="P204" s="147">
        <f>P203+E204</f>
        <v/>
      </c>
      <c r="Q204" s="147">
        <f>IF(D204&gt;0.005,Mortgage!$B$5*(1+Mortgage!$B$17)^(A204/12),"")</f>
        <v/>
      </c>
      <c r="R204" s="147">
        <f>IF(D204&gt;0.005,Q204-I204,"")</f>
        <v/>
      </c>
      <c r="S204" s="147">
        <f>IF(A204&gt;Mortgage!$B$8*12,0,IF(Mortgage!$B$7=0,MAX(0,Mortgage!$H$5-Mortgage!$H$8*A204),MAX(0,Mortgage!$H$5*(1+(Mortgage!$B$7/12))^A204-Mortgage!$H$8*((1+(Mortgage!$B$7/12))^A204-1)/(Mortgage!$B$7/12))))</f>
        <v/>
      </c>
      <c r="T204" s="149">
        <f>IF(D204&gt;0.005,I204/Mortgage!$B$5,"")</f>
        <v/>
      </c>
      <c r="U204">
        <f>IF(A204&gt;Mortgage!$B$8*12,NA(),B204)</f>
        <v/>
      </c>
      <c r="V204">
        <f>IF(D204&gt;0.005,I204,NA())</f>
        <v/>
      </c>
      <c r="W204">
        <f>IF(A204&gt;Mortgage!$B$8*12,NA(),S204)</f>
        <v/>
      </c>
    </row>
    <row r="205">
      <c r="A205" s="129" t="n">
        <v>200</v>
      </c>
      <c r="B205" s="146">
        <f>EDATE(Mortgage!$B$9,A205-1)</f>
        <v/>
      </c>
      <c r="C205" s="129">
        <f>INT((A205-1)/12)+1</f>
        <v/>
      </c>
      <c r="D205" s="147">
        <f>IF(N(I204)&gt;0.005,I204,0)</f>
        <v/>
      </c>
      <c r="E205" s="147">
        <f>IF(D205&gt;0.005,D205*Mortgage!$B$7/12,0)</f>
        <v/>
      </c>
      <c r="F205" s="147">
        <f>IF(D205&gt;0.005,MIN(Mortgage!$H$8-E205,D205),0)</f>
        <v/>
      </c>
      <c r="G205" s="147">
        <f>IF(D205-F205&gt;0.005,MIN(D205-F205,Mortgage!$B$18+IF(MONTH(B205)=Mortgage!$B$20,Mortgage!$B$19,0)+SUMIFS(Mortgage!$E$6:$E$15,Mortgage!$D$6:$D$15,"&gt;="&amp;B205,Mortgage!$D$6:$D$15,"&lt;"&amp;EDATE(B205,1))+IF(Mortgage!$B$10="Bi-weekly (accelerated)",Mortgage!$H$8/12,0)),0)</f>
        <v/>
      </c>
      <c r="H205" s="147">
        <f>F205+G205</f>
        <v/>
      </c>
      <c r="I205" s="148">
        <f>D205-H205</f>
        <v/>
      </c>
      <c r="J205" s="147">
        <f>E205+F205+G205</f>
        <v/>
      </c>
      <c r="K205" s="147">
        <f>IF(AND(D205&gt;0.005,Mortgage!$H$7&gt;0.8,D205/Mortgage!$B$5&gt;Mortgage!$B$14),Mortgage!$H$5*Mortgage!$B$13/12,0)</f>
        <v/>
      </c>
      <c r="L205" s="147">
        <f>IF(D205&gt;0.005,Mortgage!$B$11/12*(1+Mortgage!$B$16)^(C205-1),0)</f>
        <v/>
      </c>
      <c r="M205" s="147">
        <f>IF(D205&gt;0.005,Mortgage!$B$12/12*(1+Mortgage!$B$16)^(C205-1),0)</f>
        <v/>
      </c>
      <c r="N205" s="147">
        <f>IF(D205&gt;0.005,Mortgage!$B$15,0)</f>
        <v/>
      </c>
      <c r="O205" s="147">
        <f>J205+K205+L205+M205+N205</f>
        <v/>
      </c>
      <c r="P205" s="147">
        <f>P204+E205</f>
        <v/>
      </c>
      <c r="Q205" s="147">
        <f>IF(D205&gt;0.005,Mortgage!$B$5*(1+Mortgage!$B$17)^(A205/12),"")</f>
        <v/>
      </c>
      <c r="R205" s="147">
        <f>IF(D205&gt;0.005,Q205-I205,"")</f>
        <v/>
      </c>
      <c r="S205" s="147">
        <f>IF(A205&gt;Mortgage!$B$8*12,0,IF(Mortgage!$B$7=0,MAX(0,Mortgage!$H$5-Mortgage!$H$8*A205),MAX(0,Mortgage!$H$5*(1+(Mortgage!$B$7/12))^A205-Mortgage!$H$8*((1+(Mortgage!$B$7/12))^A205-1)/(Mortgage!$B$7/12))))</f>
        <v/>
      </c>
      <c r="T205" s="149">
        <f>IF(D205&gt;0.005,I205/Mortgage!$B$5,"")</f>
        <v/>
      </c>
      <c r="U205">
        <f>IF(A205&gt;Mortgage!$B$8*12,NA(),B205)</f>
        <v/>
      </c>
      <c r="V205">
        <f>IF(D205&gt;0.005,I205,NA())</f>
        <v/>
      </c>
      <c r="W205">
        <f>IF(A205&gt;Mortgage!$B$8*12,NA(),S205)</f>
        <v/>
      </c>
    </row>
    <row r="206">
      <c r="A206" s="129" t="n">
        <v>201</v>
      </c>
      <c r="B206" s="146">
        <f>EDATE(Mortgage!$B$9,A206-1)</f>
        <v/>
      </c>
      <c r="C206" s="129">
        <f>INT((A206-1)/12)+1</f>
        <v/>
      </c>
      <c r="D206" s="147">
        <f>IF(N(I205)&gt;0.005,I205,0)</f>
        <v/>
      </c>
      <c r="E206" s="147">
        <f>IF(D206&gt;0.005,D206*Mortgage!$B$7/12,0)</f>
        <v/>
      </c>
      <c r="F206" s="147">
        <f>IF(D206&gt;0.005,MIN(Mortgage!$H$8-E206,D206),0)</f>
        <v/>
      </c>
      <c r="G206" s="147">
        <f>IF(D206-F206&gt;0.005,MIN(D206-F206,Mortgage!$B$18+IF(MONTH(B206)=Mortgage!$B$20,Mortgage!$B$19,0)+SUMIFS(Mortgage!$E$6:$E$15,Mortgage!$D$6:$D$15,"&gt;="&amp;B206,Mortgage!$D$6:$D$15,"&lt;"&amp;EDATE(B206,1))+IF(Mortgage!$B$10="Bi-weekly (accelerated)",Mortgage!$H$8/12,0)),0)</f>
        <v/>
      </c>
      <c r="H206" s="147">
        <f>F206+G206</f>
        <v/>
      </c>
      <c r="I206" s="148">
        <f>D206-H206</f>
        <v/>
      </c>
      <c r="J206" s="147">
        <f>E206+F206+G206</f>
        <v/>
      </c>
      <c r="K206" s="147">
        <f>IF(AND(D206&gt;0.005,Mortgage!$H$7&gt;0.8,D206/Mortgage!$B$5&gt;Mortgage!$B$14),Mortgage!$H$5*Mortgage!$B$13/12,0)</f>
        <v/>
      </c>
      <c r="L206" s="147">
        <f>IF(D206&gt;0.005,Mortgage!$B$11/12*(1+Mortgage!$B$16)^(C206-1),0)</f>
        <v/>
      </c>
      <c r="M206" s="147">
        <f>IF(D206&gt;0.005,Mortgage!$B$12/12*(1+Mortgage!$B$16)^(C206-1),0)</f>
        <v/>
      </c>
      <c r="N206" s="147">
        <f>IF(D206&gt;0.005,Mortgage!$B$15,0)</f>
        <v/>
      </c>
      <c r="O206" s="147">
        <f>J206+K206+L206+M206+N206</f>
        <v/>
      </c>
      <c r="P206" s="147">
        <f>P205+E206</f>
        <v/>
      </c>
      <c r="Q206" s="147">
        <f>IF(D206&gt;0.005,Mortgage!$B$5*(1+Mortgage!$B$17)^(A206/12),"")</f>
        <v/>
      </c>
      <c r="R206" s="147">
        <f>IF(D206&gt;0.005,Q206-I206,"")</f>
        <v/>
      </c>
      <c r="S206" s="147">
        <f>IF(A206&gt;Mortgage!$B$8*12,0,IF(Mortgage!$B$7=0,MAX(0,Mortgage!$H$5-Mortgage!$H$8*A206),MAX(0,Mortgage!$H$5*(1+(Mortgage!$B$7/12))^A206-Mortgage!$H$8*((1+(Mortgage!$B$7/12))^A206-1)/(Mortgage!$B$7/12))))</f>
        <v/>
      </c>
      <c r="T206" s="149">
        <f>IF(D206&gt;0.005,I206/Mortgage!$B$5,"")</f>
        <v/>
      </c>
      <c r="U206">
        <f>IF(A206&gt;Mortgage!$B$8*12,NA(),B206)</f>
        <v/>
      </c>
      <c r="V206">
        <f>IF(D206&gt;0.005,I206,NA())</f>
        <v/>
      </c>
      <c r="W206">
        <f>IF(A206&gt;Mortgage!$B$8*12,NA(),S206)</f>
        <v/>
      </c>
    </row>
    <row r="207">
      <c r="A207" s="129" t="n">
        <v>202</v>
      </c>
      <c r="B207" s="146">
        <f>EDATE(Mortgage!$B$9,A207-1)</f>
        <v/>
      </c>
      <c r="C207" s="129">
        <f>INT((A207-1)/12)+1</f>
        <v/>
      </c>
      <c r="D207" s="147">
        <f>IF(N(I206)&gt;0.005,I206,0)</f>
        <v/>
      </c>
      <c r="E207" s="147">
        <f>IF(D207&gt;0.005,D207*Mortgage!$B$7/12,0)</f>
        <v/>
      </c>
      <c r="F207" s="147">
        <f>IF(D207&gt;0.005,MIN(Mortgage!$H$8-E207,D207),0)</f>
        <v/>
      </c>
      <c r="G207" s="147">
        <f>IF(D207-F207&gt;0.005,MIN(D207-F207,Mortgage!$B$18+IF(MONTH(B207)=Mortgage!$B$20,Mortgage!$B$19,0)+SUMIFS(Mortgage!$E$6:$E$15,Mortgage!$D$6:$D$15,"&gt;="&amp;B207,Mortgage!$D$6:$D$15,"&lt;"&amp;EDATE(B207,1))+IF(Mortgage!$B$10="Bi-weekly (accelerated)",Mortgage!$H$8/12,0)),0)</f>
        <v/>
      </c>
      <c r="H207" s="147">
        <f>F207+G207</f>
        <v/>
      </c>
      <c r="I207" s="148">
        <f>D207-H207</f>
        <v/>
      </c>
      <c r="J207" s="147">
        <f>E207+F207+G207</f>
        <v/>
      </c>
      <c r="K207" s="147">
        <f>IF(AND(D207&gt;0.005,Mortgage!$H$7&gt;0.8,D207/Mortgage!$B$5&gt;Mortgage!$B$14),Mortgage!$H$5*Mortgage!$B$13/12,0)</f>
        <v/>
      </c>
      <c r="L207" s="147">
        <f>IF(D207&gt;0.005,Mortgage!$B$11/12*(1+Mortgage!$B$16)^(C207-1),0)</f>
        <v/>
      </c>
      <c r="M207" s="147">
        <f>IF(D207&gt;0.005,Mortgage!$B$12/12*(1+Mortgage!$B$16)^(C207-1),0)</f>
        <v/>
      </c>
      <c r="N207" s="147">
        <f>IF(D207&gt;0.005,Mortgage!$B$15,0)</f>
        <v/>
      </c>
      <c r="O207" s="147">
        <f>J207+K207+L207+M207+N207</f>
        <v/>
      </c>
      <c r="P207" s="147">
        <f>P206+E207</f>
        <v/>
      </c>
      <c r="Q207" s="147">
        <f>IF(D207&gt;0.005,Mortgage!$B$5*(1+Mortgage!$B$17)^(A207/12),"")</f>
        <v/>
      </c>
      <c r="R207" s="147">
        <f>IF(D207&gt;0.005,Q207-I207,"")</f>
        <v/>
      </c>
      <c r="S207" s="147">
        <f>IF(A207&gt;Mortgage!$B$8*12,0,IF(Mortgage!$B$7=0,MAX(0,Mortgage!$H$5-Mortgage!$H$8*A207),MAX(0,Mortgage!$H$5*(1+(Mortgage!$B$7/12))^A207-Mortgage!$H$8*((1+(Mortgage!$B$7/12))^A207-1)/(Mortgage!$B$7/12))))</f>
        <v/>
      </c>
      <c r="T207" s="149">
        <f>IF(D207&gt;0.005,I207/Mortgage!$B$5,"")</f>
        <v/>
      </c>
      <c r="U207">
        <f>IF(A207&gt;Mortgage!$B$8*12,NA(),B207)</f>
        <v/>
      </c>
      <c r="V207">
        <f>IF(D207&gt;0.005,I207,NA())</f>
        <v/>
      </c>
      <c r="W207">
        <f>IF(A207&gt;Mortgage!$B$8*12,NA(),S207)</f>
        <v/>
      </c>
    </row>
    <row r="208">
      <c r="A208" s="129" t="n">
        <v>203</v>
      </c>
      <c r="B208" s="146">
        <f>EDATE(Mortgage!$B$9,A208-1)</f>
        <v/>
      </c>
      <c r="C208" s="129">
        <f>INT((A208-1)/12)+1</f>
        <v/>
      </c>
      <c r="D208" s="147">
        <f>IF(N(I207)&gt;0.005,I207,0)</f>
        <v/>
      </c>
      <c r="E208" s="147">
        <f>IF(D208&gt;0.005,D208*Mortgage!$B$7/12,0)</f>
        <v/>
      </c>
      <c r="F208" s="147">
        <f>IF(D208&gt;0.005,MIN(Mortgage!$H$8-E208,D208),0)</f>
        <v/>
      </c>
      <c r="G208" s="147">
        <f>IF(D208-F208&gt;0.005,MIN(D208-F208,Mortgage!$B$18+IF(MONTH(B208)=Mortgage!$B$20,Mortgage!$B$19,0)+SUMIFS(Mortgage!$E$6:$E$15,Mortgage!$D$6:$D$15,"&gt;="&amp;B208,Mortgage!$D$6:$D$15,"&lt;"&amp;EDATE(B208,1))+IF(Mortgage!$B$10="Bi-weekly (accelerated)",Mortgage!$H$8/12,0)),0)</f>
        <v/>
      </c>
      <c r="H208" s="147">
        <f>F208+G208</f>
        <v/>
      </c>
      <c r="I208" s="148">
        <f>D208-H208</f>
        <v/>
      </c>
      <c r="J208" s="147">
        <f>E208+F208+G208</f>
        <v/>
      </c>
      <c r="K208" s="147">
        <f>IF(AND(D208&gt;0.005,Mortgage!$H$7&gt;0.8,D208/Mortgage!$B$5&gt;Mortgage!$B$14),Mortgage!$H$5*Mortgage!$B$13/12,0)</f>
        <v/>
      </c>
      <c r="L208" s="147">
        <f>IF(D208&gt;0.005,Mortgage!$B$11/12*(1+Mortgage!$B$16)^(C208-1),0)</f>
        <v/>
      </c>
      <c r="M208" s="147">
        <f>IF(D208&gt;0.005,Mortgage!$B$12/12*(1+Mortgage!$B$16)^(C208-1),0)</f>
        <v/>
      </c>
      <c r="N208" s="147">
        <f>IF(D208&gt;0.005,Mortgage!$B$15,0)</f>
        <v/>
      </c>
      <c r="O208" s="147">
        <f>J208+K208+L208+M208+N208</f>
        <v/>
      </c>
      <c r="P208" s="147">
        <f>P207+E208</f>
        <v/>
      </c>
      <c r="Q208" s="147">
        <f>IF(D208&gt;0.005,Mortgage!$B$5*(1+Mortgage!$B$17)^(A208/12),"")</f>
        <v/>
      </c>
      <c r="R208" s="147">
        <f>IF(D208&gt;0.005,Q208-I208,"")</f>
        <v/>
      </c>
      <c r="S208" s="147">
        <f>IF(A208&gt;Mortgage!$B$8*12,0,IF(Mortgage!$B$7=0,MAX(0,Mortgage!$H$5-Mortgage!$H$8*A208),MAX(0,Mortgage!$H$5*(1+(Mortgage!$B$7/12))^A208-Mortgage!$H$8*((1+(Mortgage!$B$7/12))^A208-1)/(Mortgage!$B$7/12))))</f>
        <v/>
      </c>
      <c r="T208" s="149">
        <f>IF(D208&gt;0.005,I208/Mortgage!$B$5,"")</f>
        <v/>
      </c>
      <c r="U208">
        <f>IF(A208&gt;Mortgage!$B$8*12,NA(),B208)</f>
        <v/>
      </c>
      <c r="V208">
        <f>IF(D208&gt;0.005,I208,NA())</f>
        <v/>
      </c>
      <c r="W208">
        <f>IF(A208&gt;Mortgage!$B$8*12,NA(),S208)</f>
        <v/>
      </c>
    </row>
    <row r="209">
      <c r="A209" s="129" t="n">
        <v>204</v>
      </c>
      <c r="B209" s="146">
        <f>EDATE(Mortgage!$B$9,A209-1)</f>
        <v/>
      </c>
      <c r="C209" s="129">
        <f>INT((A209-1)/12)+1</f>
        <v/>
      </c>
      <c r="D209" s="147">
        <f>IF(N(I208)&gt;0.005,I208,0)</f>
        <v/>
      </c>
      <c r="E209" s="147">
        <f>IF(D209&gt;0.005,D209*Mortgage!$B$7/12,0)</f>
        <v/>
      </c>
      <c r="F209" s="147">
        <f>IF(D209&gt;0.005,MIN(Mortgage!$H$8-E209,D209),0)</f>
        <v/>
      </c>
      <c r="G209" s="147">
        <f>IF(D209-F209&gt;0.005,MIN(D209-F209,Mortgage!$B$18+IF(MONTH(B209)=Mortgage!$B$20,Mortgage!$B$19,0)+SUMIFS(Mortgage!$E$6:$E$15,Mortgage!$D$6:$D$15,"&gt;="&amp;B209,Mortgage!$D$6:$D$15,"&lt;"&amp;EDATE(B209,1))+IF(Mortgage!$B$10="Bi-weekly (accelerated)",Mortgage!$H$8/12,0)),0)</f>
        <v/>
      </c>
      <c r="H209" s="147">
        <f>F209+G209</f>
        <v/>
      </c>
      <c r="I209" s="148">
        <f>D209-H209</f>
        <v/>
      </c>
      <c r="J209" s="147">
        <f>E209+F209+G209</f>
        <v/>
      </c>
      <c r="K209" s="147">
        <f>IF(AND(D209&gt;0.005,Mortgage!$H$7&gt;0.8,D209/Mortgage!$B$5&gt;Mortgage!$B$14),Mortgage!$H$5*Mortgage!$B$13/12,0)</f>
        <v/>
      </c>
      <c r="L209" s="147">
        <f>IF(D209&gt;0.005,Mortgage!$B$11/12*(1+Mortgage!$B$16)^(C209-1),0)</f>
        <v/>
      </c>
      <c r="M209" s="147">
        <f>IF(D209&gt;0.005,Mortgage!$B$12/12*(1+Mortgage!$B$16)^(C209-1),0)</f>
        <v/>
      </c>
      <c r="N209" s="147">
        <f>IF(D209&gt;0.005,Mortgage!$B$15,0)</f>
        <v/>
      </c>
      <c r="O209" s="147">
        <f>J209+K209+L209+M209+N209</f>
        <v/>
      </c>
      <c r="P209" s="147">
        <f>P208+E209</f>
        <v/>
      </c>
      <c r="Q209" s="147">
        <f>IF(D209&gt;0.005,Mortgage!$B$5*(1+Mortgage!$B$17)^(A209/12),"")</f>
        <v/>
      </c>
      <c r="R209" s="147">
        <f>IF(D209&gt;0.005,Q209-I209,"")</f>
        <v/>
      </c>
      <c r="S209" s="147">
        <f>IF(A209&gt;Mortgage!$B$8*12,0,IF(Mortgage!$B$7=0,MAX(0,Mortgage!$H$5-Mortgage!$H$8*A209),MAX(0,Mortgage!$H$5*(1+(Mortgage!$B$7/12))^A209-Mortgage!$H$8*((1+(Mortgage!$B$7/12))^A209-1)/(Mortgage!$B$7/12))))</f>
        <v/>
      </c>
      <c r="T209" s="149">
        <f>IF(D209&gt;0.005,I209/Mortgage!$B$5,"")</f>
        <v/>
      </c>
      <c r="U209">
        <f>IF(A209&gt;Mortgage!$B$8*12,NA(),B209)</f>
        <v/>
      </c>
      <c r="V209">
        <f>IF(D209&gt;0.005,I209,NA())</f>
        <v/>
      </c>
      <c r="W209">
        <f>IF(A209&gt;Mortgage!$B$8*12,NA(),S209)</f>
        <v/>
      </c>
    </row>
    <row r="210">
      <c r="A210" s="129" t="n">
        <v>205</v>
      </c>
      <c r="B210" s="146">
        <f>EDATE(Mortgage!$B$9,A210-1)</f>
        <v/>
      </c>
      <c r="C210" s="129">
        <f>INT((A210-1)/12)+1</f>
        <v/>
      </c>
      <c r="D210" s="147">
        <f>IF(N(I209)&gt;0.005,I209,0)</f>
        <v/>
      </c>
      <c r="E210" s="147">
        <f>IF(D210&gt;0.005,D210*Mortgage!$B$7/12,0)</f>
        <v/>
      </c>
      <c r="F210" s="147">
        <f>IF(D210&gt;0.005,MIN(Mortgage!$H$8-E210,D210),0)</f>
        <v/>
      </c>
      <c r="G210" s="147">
        <f>IF(D210-F210&gt;0.005,MIN(D210-F210,Mortgage!$B$18+IF(MONTH(B210)=Mortgage!$B$20,Mortgage!$B$19,0)+SUMIFS(Mortgage!$E$6:$E$15,Mortgage!$D$6:$D$15,"&gt;="&amp;B210,Mortgage!$D$6:$D$15,"&lt;"&amp;EDATE(B210,1))+IF(Mortgage!$B$10="Bi-weekly (accelerated)",Mortgage!$H$8/12,0)),0)</f>
        <v/>
      </c>
      <c r="H210" s="147">
        <f>F210+G210</f>
        <v/>
      </c>
      <c r="I210" s="148">
        <f>D210-H210</f>
        <v/>
      </c>
      <c r="J210" s="147">
        <f>E210+F210+G210</f>
        <v/>
      </c>
      <c r="K210" s="147">
        <f>IF(AND(D210&gt;0.005,Mortgage!$H$7&gt;0.8,D210/Mortgage!$B$5&gt;Mortgage!$B$14),Mortgage!$H$5*Mortgage!$B$13/12,0)</f>
        <v/>
      </c>
      <c r="L210" s="147">
        <f>IF(D210&gt;0.005,Mortgage!$B$11/12*(1+Mortgage!$B$16)^(C210-1),0)</f>
        <v/>
      </c>
      <c r="M210" s="147">
        <f>IF(D210&gt;0.005,Mortgage!$B$12/12*(1+Mortgage!$B$16)^(C210-1),0)</f>
        <v/>
      </c>
      <c r="N210" s="147">
        <f>IF(D210&gt;0.005,Mortgage!$B$15,0)</f>
        <v/>
      </c>
      <c r="O210" s="147">
        <f>J210+K210+L210+M210+N210</f>
        <v/>
      </c>
      <c r="P210" s="147">
        <f>P209+E210</f>
        <v/>
      </c>
      <c r="Q210" s="147">
        <f>IF(D210&gt;0.005,Mortgage!$B$5*(1+Mortgage!$B$17)^(A210/12),"")</f>
        <v/>
      </c>
      <c r="R210" s="147">
        <f>IF(D210&gt;0.005,Q210-I210,"")</f>
        <v/>
      </c>
      <c r="S210" s="147">
        <f>IF(A210&gt;Mortgage!$B$8*12,0,IF(Mortgage!$B$7=0,MAX(0,Mortgage!$H$5-Mortgage!$H$8*A210),MAX(0,Mortgage!$H$5*(1+(Mortgage!$B$7/12))^A210-Mortgage!$H$8*((1+(Mortgage!$B$7/12))^A210-1)/(Mortgage!$B$7/12))))</f>
        <v/>
      </c>
      <c r="T210" s="149">
        <f>IF(D210&gt;0.005,I210/Mortgage!$B$5,"")</f>
        <v/>
      </c>
      <c r="U210">
        <f>IF(A210&gt;Mortgage!$B$8*12,NA(),B210)</f>
        <v/>
      </c>
      <c r="V210">
        <f>IF(D210&gt;0.005,I210,NA())</f>
        <v/>
      </c>
      <c r="W210">
        <f>IF(A210&gt;Mortgage!$B$8*12,NA(),S210)</f>
        <v/>
      </c>
    </row>
    <row r="211">
      <c r="A211" s="129" t="n">
        <v>206</v>
      </c>
      <c r="B211" s="146">
        <f>EDATE(Mortgage!$B$9,A211-1)</f>
        <v/>
      </c>
      <c r="C211" s="129">
        <f>INT((A211-1)/12)+1</f>
        <v/>
      </c>
      <c r="D211" s="147">
        <f>IF(N(I210)&gt;0.005,I210,0)</f>
        <v/>
      </c>
      <c r="E211" s="147">
        <f>IF(D211&gt;0.005,D211*Mortgage!$B$7/12,0)</f>
        <v/>
      </c>
      <c r="F211" s="147">
        <f>IF(D211&gt;0.005,MIN(Mortgage!$H$8-E211,D211),0)</f>
        <v/>
      </c>
      <c r="G211" s="147">
        <f>IF(D211-F211&gt;0.005,MIN(D211-F211,Mortgage!$B$18+IF(MONTH(B211)=Mortgage!$B$20,Mortgage!$B$19,0)+SUMIFS(Mortgage!$E$6:$E$15,Mortgage!$D$6:$D$15,"&gt;="&amp;B211,Mortgage!$D$6:$D$15,"&lt;"&amp;EDATE(B211,1))+IF(Mortgage!$B$10="Bi-weekly (accelerated)",Mortgage!$H$8/12,0)),0)</f>
        <v/>
      </c>
      <c r="H211" s="147">
        <f>F211+G211</f>
        <v/>
      </c>
      <c r="I211" s="148">
        <f>D211-H211</f>
        <v/>
      </c>
      <c r="J211" s="147">
        <f>E211+F211+G211</f>
        <v/>
      </c>
      <c r="K211" s="147">
        <f>IF(AND(D211&gt;0.005,Mortgage!$H$7&gt;0.8,D211/Mortgage!$B$5&gt;Mortgage!$B$14),Mortgage!$H$5*Mortgage!$B$13/12,0)</f>
        <v/>
      </c>
      <c r="L211" s="147">
        <f>IF(D211&gt;0.005,Mortgage!$B$11/12*(1+Mortgage!$B$16)^(C211-1),0)</f>
        <v/>
      </c>
      <c r="M211" s="147">
        <f>IF(D211&gt;0.005,Mortgage!$B$12/12*(1+Mortgage!$B$16)^(C211-1),0)</f>
        <v/>
      </c>
      <c r="N211" s="147">
        <f>IF(D211&gt;0.005,Mortgage!$B$15,0)</f>
        <v/>
      </c>
      <c r="O211" s="147">
        <f>J211+K211+L211+M211+N211</f>
        <v/>
      </c>
      <c r="P211" s="147">
        <f>P210+E211</f>
        <v/>
      </c>
      <c r="Q211" s="147">
        <f>IF(D211&gt;0.005,Mortgage!$B$5*(1+Mortgage!$B$17)^(A211/12),"")</f>
        <v/>
      </c>
      <c r="R211" s="147">
        <f>IF(D211&gt;0.005,Q211-I211,"")</f>
        <v/>
      </c>
      <c r="S211" s="147">
        <f>IF(A211&gt;Mortgage!$B$8*12,0,IF(Mortgage!$B$7=0,MAX(0,Mortgage!$H$5-Mortgage!$H$8*A211),MAX(0,Mortgage!$H$5*(1+(Mortgage!$B$7/12))^A211-Mortgage!$H$8*((1+(Mortgage!$B$7/12))^A211-1)/(Mortgage!$B$7/12))))</f>
        <v/>
      </c>
      <c r="T211" s="149">
        <f>IF(D211&gt;0.005,I211/Mortgage!$B$5,"")</f>
        <v/>
      </c>
      <c r="U211">
        <f>IF(A211&gt;Mortgage!$B$8*12,NA(),B211)</f>
        <v/>
      </c>
      <c r="V211">
        <f>IF(D211&gt;0.005,I211,NA())</f>
        <v/>
      </c>
      <c r="W211">
        <f>IF(A211&gt;Mortgage!$B$8*12,NA(),S211)</f>
        <v/>
      </c>
    </row>
    <row r="212">
      <c r="A212" s="129" t="n">
        <v>207</v>
      </c>
      <c r="B212" s="146">
        <f>EDATE(Mortgage!$B$9,A212-1)</f>
        <v/>
      </c>
      <c r="C212" s="129">
        <f>INT((A212-1)/12)+1</f>
        <v/>
      </c>
      <c r="D212" s="147">
        <f>IF(N(I211)&gt;0.005,I211,0)</f>
        <v/>
      </c>
      <c r="E212" s="147">
        <f>IF(D212&gt;0.005,D212*Mortgage!$B$7/12,0)</f>
        <v/>
      </c>
      <c r="F212" s="147">
        <f>IF(D212&gt;0.005,MIN(Mortgage!$H$8-E212,D212),0)</f>
        <v/>
      </c>
      <c r="G212" s="147">
        <f>IF(D212-F212&gt;0.005,MIN(D212-F212,Mortgage!$B$18+IF(MONTH(B212)=Mortgage!$B$20,Mortgage!$B$19,0)+SUMIFS(Mortgage!$E$6:$E$15,Mortgage!$D$6:$D$15,"&gt;="&amp;B212,Mortgage!$D$6:$D$15,"&lt;"&amp;EDATE(B212,1))+IF(Mortgage!$B$10="Bi-weekly (accelerated)",Mortgage!$H$8/12,0)),0)</f>
        <v/>
      </c>
      <c r="H212" s="147">
        <f>F212+G212</f>
        <v/>
      </c>
      <c r="I212" s="148">
        <f>D212-H212</f>
        <v/>
      </c>
      <c r="J212" s="147">
        <f>E212+F212+G212</f>
        <v/>
      </c>
      <c r="K212" s="147">
        <f>IF(AND(D212&gt;0.005,Mortgage!$H$7&gt;0.8,D212/Mortgage!$B$5&gt;Mortgage!$B$14),Mortgage!$H$5*Mortgage!$B$13/12,0)</f>
        <v/>
      </c>
      <c r="L212" s="147">
        <f>IF(D212&gt;0.005,Mortgage!$B$11/12*(1+Mortgage!$B$16)^(C212-1),0)</f>
        <v/>
      </c>
      <c r="M212" s="147">
        <f>IF(D212&gt;0.005,Mortgage!$B$12/12*(1+Mortgage!$B$16)^(C212-1),0)</f>
        <v/>
      </c>
      <c r="N212" s="147">
        <f>IF(D212&gt;0.005,Mortgage!$B$15,0)</f>
        <v/>
      </c>
      <c r="O212" s="147">
        <f>J212+K212+L212+M212+N212</f>
        <v/>
      </c>
      <c r="P212" s="147">
        <f>P211+E212</f>
        <v/>
      </c>
      <c r="Q212" s="147">
        <f>IF(D212&gt;0.005,Mortgage!$B$5*(1+Mortgage!$B$17)^(A212/12),"")</f>
        <v/>
      </c>
      <c r="R212" s="147">
        <f>IF(D212&gt;0.005,Q212-I212,"")</f>
        <v/>
      </c>
      <c r="S212" s="147">
        <f>IF(A212&gt;Mortgage!$B$8*12,0,IF(Mortgage!$B$7=0,MAX(0,Mortgage!$H$5-Mortgage!$H$8*A212),MAX(0,Mortgage!$H$5*(1+(Mortgage!$B$7/12))^A212-Mortgage!$H$8*((1+(Mortgage!$B$7/12))^A212-1)/(Mortgage!$B$7/12))))</f>
        <v/>
      </c>
      <c r="T212" s="149">
        <f>IF(D212&gt;0.005,I212/Mortgage!$B$5,"")</f>
        <v/>
      </c>
      <c r="U212">
        <f>IF(A212&gt;Mortgage!$B$8*12,NA(),B212)</f>
        <v/>
      </c>
      <c r="V212">
        <f>IF(D212&gt;0.005,I212,NA())</f>
        <v/>
      </c>
      <c r="W212">
        <f>IF(A212&gt;Mortgage!$B$8*12,NA(),S212)</f>
        <v/>
      </c>
    </row>
    <row r="213">
      <c r="A213" s="129" t="n">
        <v>208</v>
      </c>
      <c r="B213" s="146">
        <f>EDATE(Mortgage!$B$9,A213-1)</f>
        <v/>
      </c>
      <c r="C213" s="129">
        <f>INT((A213-1)/12)+1</f>
        <v/>
      </c>
      <c r="D213" s="147">
        <f>IF(N(I212)&gt;0.005,I212,0)</f>
        <v/>
      </c>
      <c r="E213" s="147">
        <f>IF(D213&gt;0.005,D213*Mortgage!$B$7/12,0)</f>
        <v/>
      </c>
      <c r="F213" s="147">
        <f>IF(D213&gt;0.005,MIN(Mortgage!$H$8-E213,D213),0)</f>
        <v/>
      </c>
      <c r="G213" s="147">
        <f>IF(D213-F213&gt;0.005,MIN(D213-F213,Mortgage!$B$18+IF(MONTH(B213)=Mortgage!$B$20,Mortgage!$B$19,0)+SUMIFS(Mortgage!$E$6:$E$15,Mortgage!$D$6:$D$15,"&gt;="&amp;B213,Mortgage!$D$6:$D$15,"&lt;"&amp;EDATE(B213,1))+IF(Mortgage!$B$10="Bi-weekly (accelerated)",Mortgage!$H$8/12,0)),0)</f>
        <v/>
      </c>
      <c r="H213" s="147">
        <f>F213+G213</f>
        <v/>
      </c>
      <c r="I213" s="148">
        <f>D213-H213</f>
        <v/>
      </c>
      <c r="J213" s="147">
        <f>E213+F213+G213</f>
        <v/>
      </c>
      <c r="K213" s="147">
        <f>IF(AND(D213&gt;0.005,Mortgage!$H$7&gt;0.8,D213/Mortgage!$B$5&gt;Mortgage!$B$14),Mortgage!$H$5*Mortgage!$B$13/12,0)</f>
        <v/>
      </c>
      <c r="L213" s="147">
        <f>IF(D213&gt;0.005,Mortgage!$B$11/12*(1+Mortgage!$B$16)^(C213-1),0)</f>
        <v/>
      </c>
      <c r="M213" s="147">
        <f>IF(D213&gt;0.005,Mortgage!$B$12/12*(1+Mortgage!$B$16)^(C213-1),0)</f>
        <v/>
      </c>
      <c r="N213" s="147">
        <f>IF(D213&gt;0.005,Mortgage!$B$15,0)</f>
        <v/>
      </c>
      <c r="O213" s="147">
        <f>J213+K213+L213+M213+N213</f>
        <v/>
      </c>
      <c r="P213" s="147">
        <f>P212+E213</f>
        <v/>
      </c>
      <c r="Q213" s="147">
        <f>IF(D213&gt;0.005,Mortgage!$B$5*(1+Mortgage!$B$17)^(A213/12),"")</f>
        <v/>
      </c>
      <c r="R213" s="147">
        <f>IF(D213&gt;0.005,Q213-I213,"")</f>
        <v/>
      </c>
      <c r="S213" s="147">
        <f>IF(A213&gt;Mortgage!$B$8*12,0,IF(Mortgage!$B$7=0,MAX(0,Mortgage!$H$5-Mortgage!$H$8*A213),MAX(0,Mortgage!$H$5*(1+(Mortgage!$B$7/12))^A213-Mortgage!$H$8*((1+(Mortgage!$B$7/12))^A213-1)/(Mortgage!$B$7/12))))</f>
        <v/>
      </c>
      <c r="T213" s="149">
        <f>IF(D213&gt;0.005,I213/Mortgage!$B$5,"")</f>
        <v/>
      </c>
      <c r="U213">
        <f>IF(A213&gt;Mortgage!$B$8*12,NA(),B213)</f>
        <v/>
      </c>
      <c r="V213">
        <f>IF(D213&gt;0.005,I213,NA())</f>
        <v/>
      </c>
      <c r="W213">
        <f>IF(A213&gt;Mortgage!$B$8*12,NA(),S213)</f>
        <v/>
      </c>
    </row>
    <row r="214">
      <c r="A214" s="129" t="n">
        <v>209</v>
      </c>
      <c r="B214" s="146">
        <f>EDATE(Mortgage!$B$9,A214-1)</f>
        <v/>
      </c>
      <c r="C214" s="129">
        <f>INT((A214-1)/12)+1</f>
        <v/>
      </c>
      <c r="D214" s="147">
        <f>IF(N(I213)&gt;0.005,I213,0)</f>
        <v/>
      </c>
      <c r="E214" s="147">
        <f>IF(D214&gt;0.005,D214*Mortgage!$B$7/12,0)</f>
        <v/>
      </c>
      <c r="F214" s="147">
        <f>IF(D214&gt;0.005,MIN(Mortgage!$H$8-E214,D214),0)</f>
        <v/>
      </c>
      <c r="G214" s="147">
        <f>IF(D214-F214&gt;0.005,MIN(D214-F214,Mortgage!$B$18+IF(MONTH(B214)=Mortgage!$B$20,Mortgage!$B$19,0)+SUMIFS(Mortgage!$E$6:$E$15,Mortgage!$D$6:$D$15,"&gt;="&amp;B214,Mortgage!$D$6:$D$15,"&lt;"&amp;EDATE(B214,1))+IF(Mortgage!$B$10="Bi-weekly (accelerated)",Mortgage!$H$8/12,0)),0)</f>
        <v/>
      </c>
      <c r="H214" s="147">
        <f>F214+G214</f>
        <v/>
      </c>
      <c r="I214" s="148">
        <f>D214-H214</f>
        <v/>
      </c>
      <c r="J214" s="147">
        <f>E214+F214+G214</f>
        <v/>
      </c>
      <c r="K214" s="147">
        <f>IF(AND(D214&gt;0.005,Mortgage!$H$7&gt;0.8,D214/Mortgage!$B$5&gt;Mortgage!$B$14),Mortgage!$H$5*Mortgage!$B$13/12,0)</f>
        <v/>
      </c>
      <c r="L214" s="147">
        <f>IF(D214&gt;0.005,Mortgage!$B$11/12*(1+Mortgage!$B$16)^(C214-1),0)</f>
        <v/>
      </c>
      <c r="M214" s="147">
        <f>IF(D214&gt;0.005,Mortgage!$B$12/12*(1+Mortgage!$B$16)^(C214-1),0)</f>
        <v/>
      </c>
      <c r="N214" s="147">
        <f>IF(D214&gt;0.005,Mortgage!$B$15,0)</f>
        <v/>
      </c>
      <c r="O214" s="147">
        <f>J214+K214+L214+M214+N214</f>
        <v/>
      </c>
      <c r="P214" s="147">
        <f>P213+E214</f>
        <v/>
      </c>
      <c r="Q214" s="147">
        <f>IF(D214&gt;0.005,Mortgage!$B$5*(1+Mortgage!$B$17)^(A214/12),"")</f>
        <v/>
      </c>
      <c r="R214" s="147">
        <f>IF(D214&gt;0.005,Q214-I214,"")</f>
        <v/>
      </c>
      <c r="S214" s="147">
        <f>IF(A214&gt;Mortgage!$B$8*12,0,IF(Mortgage!$B$7=0,MAX(0,Mortgage!$H$5-Mortgage!$H$8*A214),MAX(0,Mortgage!$H$5*(1+(Mortgage!$B$7/12))^A214-Mortgage!$H$8*((1+(Mortgage!$B$7/12))^A214-1)/(Mortgage!$B$7/12))))</f>
        <v/>
      </c>
      <c r="T214" s="149">
        <f>IF(D214&gt;0.005,I214/Mortgage!$B$5,"")</f>
        <v/>
      </c>
      <c r="U214">
        <f>IF(A214&gt;Mortgage!$B$8*12,NA(),B214)</f>
        <v/>
      </c>
      <c r="V214">
        <f>IF(D214&gt;0.005,I214,NA())</f>
        <v/>
      </c>
      <c r="W214">
        <f>IF(A214&gt;Mortgage!$B$8*12,NA(),S214)</f>
        <v/>
      </c>
    </row>
    <row r="215">
      <c r="A215" s="129" t="n">
        <v>210</v>
      </c>
      <c r="B215" s="146">
        <f>EDATE(Mortgage!$B$9,A215-1)</f>
        <v/>
      </c>
      <c r="C215" s="129">
        <f>INT((A215-1)/12)+1</f>
        <v/>
      </c>
      <c r="D215" s="147">
        <f>IF(N(I214)&gt;0.005,I214,0)</f>
        <v/>
      </c>
      <c r="E215" s="147">
        <f>IF(D215&gt;0.005,D215*Mortgage!$B$7/12,0)</f>
        <v/>
      </c>
      <c r="F215" s="147">
        <f>IF(D215&gt;0.005,MIN(Mortgage!$H$8-E215,D215),0)</f>
        <v/>
      </c>
      <c r="G215" s="147">
        <f>IF(D215-F215&gt;0.005,MIN(D215-F215,Mortgage!$B$18+IF(MONTH(B215)=Mortgage!$B$20,Mortgage!$B$19,0)+SUMIFS(Mortgage!$E$6:$E$15,Mortgage!$D$6:$D$15,"&gt;="&amp;B215,Mortgage!$D$6:$D$15,"&lt;"&amp;EDATE(B215,1))+IF(Mortgage!$B$10="Bi-weekly (accelerated)",Mortgage!$H$8/12,0)),0)</f>
        <v/>
      </c>
      <c r="H215" s="147">
        <f>F215+G215</f>
        <v/>
      </c>
      <c r="I215" s="148">
        <f>D215-H215</f>
        <v/>
      </c>
      <c r="J215" s="147">
        <f>E215+F215+G215</f>
        <v/>
      </c>
      <c r="K215" s="147">
        <f>IF(AND(D215&gt;0.005,Mortgage!$H$7&gt;0.8,D215/Mortgage!$B$5&gt;Mortgage!$B$14),Mortgage!$H$5*Mortgage!$B$13/12,0)</f>
        <v/>
      </c>
      <c r="L215" s="147">
        <f>IF(D215&gt;0.005,Mortgage!$B$11/12*(1+Mortgage!$B$16)^(C215-1),0)</f>
        <v/>
      </c>
      <c r="M215" s="147">
        <f>IF(D215&gt;0.005,Mortgage!$B$12/12*(1+Mortgage!$B$16)^(C215-1),0)</f>
        <v/>
      </c>
      <c r="N215" s="147">
        <f>IF(D215&gt;0.005,Mortgage!$B$15,0)</f>
        <v/>
      </c>
      <c r="O215" s="147">
        <f>J215+K215+L215+M215+N215</f>
        <v/>
      </c>
      <c r="P215" s="147">
        <f>P214+E215</f>
        <v/>
      </c>
      <c r="Q215" s="147">
        <f>IF(D215&gt;0.005,Mortgage!$B$5*(1+Mortgage!$B$17)^(A215/12),"")</f>
        <v/>
      </c>
      <c r="R215" s="147">
        <f>IF(D215&gt;0.005,Q215-I215,"")</f>
        <v/>
      </c>
      <c r="S215" s="147">
        <f>IF(A215&gt;Mortgage!$B$8*12,0,IF(Mortgage!$B$7=0,MAX(0,Mortgage!$H$5-Mortgage!$H$8*A215),MAX(0,Mortgage!$H$5*(1+(Mortgage!$B$7/12))^A215-Mortgage!$H$8*((1+(Mortgage!$B$7/12))^A215-1)/(Mortgage!$B$7/12))))</f>
        <v/>
      </c>
      <c r="T215" s="149">
        <f>IF(D215&gt;0.005,I215/Mortgage!$B$5,"")</f>
        <v/>
      </c>
      <c r="U215">
        <f>IF(A215&gt;Mortgage!$B$8*12,NA(),B215)</f>
        <v/>
      </c>
      <c r="V215">
        <f>IF(D215&gt;0.005,I215,NA())</f>
        <v/>
      </c>
      <c r="W215">
        <f>IF(A215&gt;Mortgage!$B$8*12,NA(),S215)</f>
        <v/>
      </c>
    </row>
    <row r="216">
      <c r="A216" s="129" t="n">
        <v>211</v>
      </c>
      <c r="B216" s="146">
        <f>EDATE(Mortgage!$B$9,A216-1)</f>
        <v/>
      </c>
      <c r="C216" s="129">
        <f>INT((A216-1)/12)+1</f>
        <v/>
      </c>
      <c r="D216" s="147">
        <f>IF(N(I215)&gt;0.005,I215,0)</f>
        <v/>
      </c>
      <c r="E216" s="147">
        <f>IF(D216&gt;0.005,D216*Mortgage!$B$7/12,0)</f>
        <v/>
      </c>
      <c r="F216" s="147">
        <f>IF(D216&gt;0.005,MIN(Mortgage!$H$8-E216,D216),0)</f>
        <v/>
      </c>
      <c r="G216" s="147">
        <f>IF(D216-F216&gt;0.005,MIN(D216-F216,Mortgage!$B$18+IF(MONTH(B216)=Mortgage!$B$20,Mortgage!$B$19,0)+SUMIFS(Mortgage!$E$6:$E$15,Mortgage!$D$6:$D$15,"&gt;="&amp;B216,Mortgage!$D$6:$D$15,"&lt;"&amp;EDATE(B216,1))+IF(Mortgage!$B$10="Bi-weekly (accelerated)",Mortgage!$H$8/12,0)),0)</f>
        <v/>
      </c>
      <c r="H216" s="147">
        <f>F216+G216</f>
        <v/>
      </c>
      <c r="I216" s="148">
        <f>D216-H216</f>
        <v/>
      </c>
      <c r="J216" s="147">
        <f>E216+F216+G216</f>
        <v/>
      </c>
      <c r="K216" s="147">
        <f>IF(AND(D216&gt;0.005,Mortgage!$H$7&gt;0.8,D216/Mortgage!$B$5&gt;Mortgage!$B$14),Mortgage!$H$5*Mortgage!$B$13/12,0)</f>
        <v/>
      </c>
      <c r="L216" s="147">
        <f>IF(D216&gt;0.005,Mortgage!$B$11/12*(1+Mortgage!$B$16)^(C216-1),0)</f>
        <v/>
      </c>
      <c r="M216" s="147">
        <f>IF(D216&gt;0.005,Mortgage!$B$12/12*(1+Mortgage!$B$16)^(C216-1),0)</f>
        <v/>
      </c>
      <c r="N216" s="147">
        <f>IF(D216&gt;0.005,Mortgage!$B$15,0)</f>
        <v/>
      </c>
      <c r="O216" s="147">
        <f>J216+K216+L216+M216+N216</f>
        <v/>
      </c>
      <c r="P216" s="147">
        <f>P215+E216</f>
        <v/>
      </c>
      <c r="Q216" s="147">
        <f>IF(D216&gt;0.005,Mortgage!$B$5*(1+Mortgage!$B$17)^(A216/12),"")</f>
        <v/>
      </c>
      <c r="R216" s="147">
        <f>IF(D216&gt;0.005,Q216-I216,"")</f>
        <v/>
      </c>
      <c r="S216" s="147">
        <f>IF(A216&gt;Mortgage!$B$8*12,0,IF(Mortgage!$B$7=0,MAX(0,Mortgage!$H$5-Mortgage!$H$8*A216),MAX(0,Mortgage!$H$5*(1+(Mortgage!$B$7/12))^A216-Mortgage!$H$8*((1+(Mortgage!$B$7/12))^A216-1)/(Mortgage!$B$7/12))))</f>
        <v/>
      </c>
      <c r="T216" s="149">
        <f>IF(D216&gt;0.005,I216/Mortgage!$B$5,"")</f>
        <v/>
      </c>
      <c r="U216">
        <f>IF(A216&gt;Mortgage!$B$8*12,NA(),B216)</f>
        <v/>
      </c>
      <c r="V216">
        <f>IF(D216&gt;0.005,I216,NA())</f>
        <v/>
      </c>
      <c r="W216">
        <f>IF(A216&gt;Mortgage!$B$8*12,NA(),S216)</f>
        <v/>
      </c>
    </row>
    <row r="217">
      <c r="A217" s="129" t="n">
        <v>212</v>
      </c>
      <c r="B217" s="146">
        <f>EDATE(Mortgage!$B$9,A217-1)</f>
        <v/>
      </c>
      <c r="C217" s="129">
        <f>INT((A217-1)/12)+1</f>
        <v/>
      </c>
      <c r="D217" s="147">
        <f>IF(N(I216)&gt;0.005,I216,0)</f>
        <v/>
      </c>
      <c r="E217" s="147">
        <f>IF(D217&gt;0.005,D217*Mortgage!$B$7/12,0)</f>
        <v/>
      </c>
      <c r="F217" s="147">
        <f>IF(D217&gt;0.005,MIN(Mortgage!$H$8-E217,D217),0)</f>
        <v/>
      </c>
      <c r="G217" s="147">
        <f>IF(D217-F217&gt;0.005,MIN(D217-F217,Mortgage!$B$18+IF(MONTH(B217)=Mortgage!$B$20,Mortgage!$B$19,0)+SUMIFS(Mortgage!$E$6:$E$15,Mortgage!$D$6:$D$15,"&gt;="&amp;B217,Mortgage!$D$6:$D$15,"&lt;"&amp;EDATE(B217,1))+IF(Mortgage!$B$10="Bi-weekly (accelerated)",Mortgage!$H$8/12,0)),0)</f>
        <v/>
      </c>
      <c r="H217" s="147">
        <f>F217+G217</f>
        <v/>
      </c>
      <c r="I217" s="148">
        <f>D217-H217</f>
        <v/>
      </c>
      <c r="J217" s="147">
        <f>E217+F217+G217</f>
        <v/>
      </c>
      <c r="K217" s="147">
        <f>IF(AND(D217&gt;0.005,Mortgage!$H$7&gt;0.8,D217/Mortgage!$B$5&gt;Mortgage!$B$14),Mortgage!$H$5*Mortgage!$B$13/12,0)</f>
        <v/>
      </c>
      <c r="L217" s="147">
        <f>IF(D217&gt;0.005,Mortgage!$B$11/12*(1+Mortgage!$B$16)^(C217-1),0)</f>
        <v/>
      </c>
      <c r="M217" s="147">
        <f>IF(D217&gt;0.005,Mortgage!$B$12/12*(1+Mortgage!$B$16)^(C217-1),0)</f>
        <v/>
      </c>
      <c r="N217" s="147">
        <f>IF(D217&gt;0.005,Mortgage!$B$15,0)</f>
        <v/>
      </c>
      <c r="O217" s="147">
        <f>J217+K217+L217+M217+N217</f>
        <v/>
      </c>
      <c r="P217" s="147">
        <f>P216+E217</f>
        <v/>
      </c>
      <c r="Q217" s="147">
        <f>IF(D217&gt;0.005,Mortgage!$B$5*(1+Mortgage!$B$17)^(A217/12),"")</f>
        <v/>
      </c>
      <c r="R217" s="147">
        <f>IF(D217&gt;0.005,Q217-I217,"")</f>
        <v/>
      </c>
      <c r="S217" s="147">
        <f>IF(A217&gt;Mortgage!$B$8*12,0,IF(Mortgage!$B$7=0,MAX(0,Mortgage!$H$5-Mortgage!$H$8*A217),MAX(0,Mortgage!$H$5*(1+(Mortgage!$B$7/12))^A217-Mortgage!$H$8*((1+(Mortgage!$B$7/12))^A217-1)/(Mortgage!$B$7/12))))</f>
        <v/>
      </c>
      <c r="T217" s="149">
        <f>IF(D217&gt;0.005,I217/Mortgage!$B$5,"")</f>
        <v/>
      </c>
      <c r="U217">
        <f>IF(A217&gt;Mortgage!$B$8*12,NA(),B217)</f>
        <v/>
      </c>
      <c r="V217">
        <f>IF(D217&gt;0.005,I217,NA())</f>
        <v/>
      </c>
      <c r="W217">
        <f>IF(A217&gt;Mortgage!$B$8*12,NA(),S217)</f>
        <v/>
      </c>
    </row>
    <row r="218">
      <c r="A218" s="129" t="n">
        <v>213</v>
      </c>
      <c r="B218" s="146">
        <f>EDATE(Mortgage!$B$9,A218-1)</f>
        <v/>
      </c>
      <c r="C218" s="129">
        <f>INT((A218-1)/12)+1</f>
        <v/>
      </c>
      <c r="D218" s="147">
        <f>IF(N(I217)&gt;0.005,I217,0)</f>
        <v/>
      </c>
      <c r="E218" s="147">
        <f>IF(D218&gt;0.005,D218*Mortgage!$B$7/12,0)</f>
        <v/>
      </c>
      <c r="F218" s="147">
        <f>IF(D218&gt;0.005,MIN(Mortgage!$H$8-E218,D218),0)</f>
        <v/>
      </c>
      <c r="G218" s="147">
        <f>IF(D218-F218&gt;0.005,MIN(D218-F218,Mortgage!$B$18+IF(MONTH(B218)=Mortgage!$B$20,Mortgage!$B$19,0)+SUMIFS(Mortgage!$E$6:$E$15,Mortgage!$D$6:$D$15,"&gt;="&amp;B218,Mortgage!$D$6:$D$15,"&lt;"&amp;EDATE(B218,1))+IF(Mortgage!$B$10="Bi-weekly (accelerated)",Mortgage!$H$8/12,0)),0)</f>
        <v/>
      </c>
      <c r="H218" s="147">
        <f>F218+G218</f>
        <v/>
      </c>
      <c r="I218" s="148">
        <f>D218-H218</f>
        <v/>
      </c>
      <c r="J218" s="147">
        <f>E218+F218+G218</f>
        <v/>
      </c>
      <c r="K218" s="147">
        <f>IF(AND(D218&gt;0.005,Mortgage!$H$7&gt;0.8,D218/Mortgage!$B$5&gt;Mortgage!$B$14),Mortgage!$H$5*Mortgage!$B$13/12,0)</f>
        <v/>
      </c>
      <c r="L218" s="147">
        <f>IF(D218&gt;0.005,Mortgage!$B$11/12*(1+Mortgage!$B$16)^(C218-1),0)</f>
        <v/>
      </c>
      <c r="M218" s="147">
        <f>IF(D218&gt;0.005,Mortgage!$B$12/12*(1+Mortgage!$B$16)^(C218-1),0)</f>
        <v/>
      </c>
      <c r="N218" s="147">
        <f>IF(D218&gt;0.005,Mortgage!$B$15,0)</f>
        <v/>
      </c>
      <c r="O218" s="147">
        <f>J218+K218+L218+M218+N218</f>
        <v/>
      </c>
      <c r="P218" s="147">
        <f>P217+E218</f>
        <v/>
      </c>
      <c r="Q218" s="147">
        <f>IF(D218&gt;0.005,Mortgage!$B$5*(1+Mortgage!$B$17)^(A218/12),"")</f>
        <v/>
      </c>
      <c r="R218" s="147">
        <f>IF(D218&gt;0.005,Q218-I218,"")</f>
        <v/>
      </c>
      <c r="S218" s="147">
        <f>IF(A218&gt;Mortgage!$B$8*12,0,IF(Mortgage!$B$7=0,MAX(0,Mortgage!$H$5-Mortgage!$H$8*A218),MAX(0,Mortgage!$H$5*(1+(Mortgage!$B$7/12))^A218-Mortgage!$H$8*((1+(Mortgage!$B$7/12))^A218-1)/(Mortgage!$B$7/12))))</f>
        <v/>
      </c>
      <c r="T218" s="149">
        <f>IF(D218&gt;0.005,I218/Mortgage!$B$5,"")</f>
        <v/>
      </c>
      <c r="U218">
        <f>IF(A218&gt;Mortgage!$B$8*12,NA(),B218)</f>
        <v/>
      </c>
      <c r="V218">
        <f>IF(D218&gt;0.005,I218,NA())</f>
        <v/>
      </c>
      <c r="W218">
        <f>IF(A218&gt;Mortgage!$B$8*12,NA(),S218)</f>
        <v/>
      </c>
    </row>
    <row r="219">
      <c r="A219" s="129" t="n">
        <v>214</v>
      </c>
      <c r="B219" s="146">
        <f>EDATE(Mortgage!$B$9,A219-1)</f>
        <v/>
      </c>
      <c r="C219" s="129">
        <f>INT((A219-1)/12)+1</f>
        <v/>
      </c>
      <c r="D219" s="147">
        <f>IF(N(I218)&gt;0.005,I218,0)</f>
        <v/>
      </c>
      <c r="E219" s="147">
        <f>IF(D219&gt;0.005,D219*Mortgage!$B$7/12,0)</f>
        <v/>
      </c>
      <c r="F219" s="147">
        <f>IF(D219&gt;0.005,MIN(Mortgage!$H$8-E219,D219),0)</f>
        <v/>
      </c>
      <c r="G219" s="147">
        <f>IF(D219-F219&gt;0.005,MIN(D219-F219,Mortgage!$B$18+IF(MONTH(B219)=Mortgage!$B$20,Mortgage!$B$19,0)+SUMIFS(Mortgage!$E$6:$E$15,Mortgage!$D$6:$D$15,"&gt;="&amp;B219,Mortgage!$D$6:$D$15,"&lt;"&amp;EDATE(B219,1))+IF(Mortgage!$B$10="Bi-weekly (accelerated)",Mortgage!$H$8/12,0)),0)</f>
        <v/>
      </c>
      <c r="H219" s="147">
        <f>F219+G219</f>
        <v/>
      </c>
      <c r="I219" s="148">
        <f>D219-H219</f>
        <v/>
      </c>
      <c r="J219" s="147">
        <f>E219+F219+G219</f>
        <v/>
      </c>
      <c r="K219" s="147">
        <f>IF(AND(D219&gt;0.005,Mortgage!$H$7&gt;0.8,D219/Mortgage!$B$5&gt;Mortgage!$B$14),Mortgage!$H$5*Mortgage!$B$13/12,0)</f>
        <v/>
      </c>
      <c r="L219" s="147">
        <f>IF(D219&gt;0.005,Mortgage!$B$11/12*(1+Mortgage!$B$16)^(C219-1),0)</f>
        <v/>
      </c>
      <c r="M219" s="147">
        <f>IF(D219&gt;0.005,Mortgage!$B$12/12*(1+Mortgage!$B$16)^(C219-1),0)</f>
        <v/>
      </c>
      <c r="N219" s="147">
        <f>IF(D219&gt;0.005,Mortgage!$B$15,0)</f>
        <v/>
      </c>
      <c r="O219" s="147">
        <f>J219+K219+L219+M219+N219</f>
        <v/>
      </c>
      <c r="P219" s="147">
        <f>P218+E219</f>
        <v/>
      </c>
      <c r="Q219" s="147">
        <f>IF(D219&gt;0.005,Mortgage!$B$5*(1+Mortgage!$B$17)^(A219/12),"")</f>
        <v/>
      </c>
      <c r="R219" s="147">
        <f>IF(D219&gt;0.005,Q219-I219,"")</f>
        <v/>
      </c>
      <c r="S219" s="147">
        <f>IF(A219&gt;Mortgage!$B$8*12,0,IF(Mortgage!$B$7=0,MAX(0,Mortgage!$H$5-Mortgage!$H$8*A219),MAX(0,Mortgage!$H$5*(1+(Mortgage!$B$7/12))^A219-Mortgage!$H$8*((1+(Mortgage!$B$7/12))^A219-1)/(Mortgage!$B$7/12))))</f>
        <v/>
      </c>
      <c r="T219" s="149">
        <f>IF(D219&gt;0.005,I219/Mortgage!$B$5,"")</f>
        <v/>
      </c>
      <c r="U219">
        <f>IF(A219&gt;Mortgage!$B$8*12,NA(),B219)</f>
        <v/>
      </c>
      <c r="V219">
        <f>IF(D219&gt;0.005,I219,NA())</f>
        <v/>
      </c>
      <c r="W219">
        <f>IF(A219&gt;Mortgage!$B$8*12,NA(),S219)</f>
        <v/>
      </c>
    </row>
    <row r="220">
      <c r="A220" s="129" t="n">
        <v>215</v>
      </c>
      <c r="B220" s="146">
        <f>EDATE(Mortgage!$B$9,A220-1)</f>
        <v/>
      </c>
      <c r="C220" s="129">
        <f>INT((A220-1)/12)+1</f>
        <v/>
      </c>
      <c r="D220" s="147">
        <f>IF(N(I219)&gt;0.005,I219,0)</f>
        <v/>
      </c>
      <c r="E220" s="147">
        <f>IF(D220&gt;0.005,D220*Mortgage!$B$7/12,0)</f>
        <v/>
      </c>
      <c r="F220" s="147">
        <f>IF(D220&gt;0.005,MIN(Mortgage!$H$8-E220,D220),0)</f>
        <v/>
      </c>
      <c r="G220" s="147">
        <f>IF(D220-F220&gt;0.005,MIN(D220-F220,Mortgage!$B$18+IF(MONTH(B220)=Mortgage!$B$20,Mortgage!$B$19,0)+SUMIFS(Mortgage!$E$6:$E$15,Mortgage!$D$6:$D$15,"&gt;="&amp;B220,Mortgage!$D$6:$D$15,"&lt;"&amp;EDATE(B220,1))+IF(Mortgage!$B$10="Bi-weekly (accelerated)",Mortgage!$H$8/12,0)),0)</f>
        <v/>
      </c>
      <c r="H220" s="147">
        <f>F220+G220</f>
        <v/>
      </c>
      <c r="I220" s="148">
        <f>D220-H220</f>
        <v/>
      </c>
      <c r="J220" s="147">
        <f>E220+F220+G220</f>
        <v/>
      </c>
      <c r="K220" s="147">
        <f>IF(AND(D220&gt;0.005,Mortgage!$H$7&gt;0.8,D220/Mortgage!$B$5&gt;Mortgage!$B$14),Mortgage!$H$5*Mortgage!$B$13/12,0)</f>
        <v/>
      </c>
      <c r="L220" s="147">
        <f>IF(D220&gt;0.005,Mortgage!$B$11/12*(1+Mortgage!$B$16)^(C220-1),0)</f>
        <v/>
      </c>
      <c r="M220" s="147">
        <f>IF(D220&gt;0.005,Mortgage!$B$12/12*(1+Mortgage!$B$16)^(C220-1),0)</f>
        <v/>
      </c>
      <c r="N220" s="147">
        <f>IF(D220&gt;0.005,Mortgage!$B$15,0)</f>
        <v/>
      </c>
      <c r="O220" s="147">
        <f>J220+K220+L220+M220+N220</f>
        <v/>
      </c>
      <c r="P220" s="147">
        <f>P219+E220</f>
        <v/>
      </c>
      <c r="Q220" s="147">
        <f>IF(D220&gt;0.005,Mortgage!$B$5*(1+Mortgage!$B$17)^(A220/12),"")</f>
        <v/>
      </c>
      <c r="R220" s="147">
        <f>IF(D220&gt;0.005,Q220-I220,"")</f>
        <v/>
      </c>
      <c r="S220" s="147">
        <f>IF(A220&gt;Mortgage!$B$8*12,0,IF(Mortgage!$B$7=0,MAX(0,Mortgage!$H$5-Mortgage!$H$8*A220),MAX(0,Mortgage!$H$5*(1+(Mortgage!$B$7/12))^A220-Mortgage!$H$8*((1+(Mortgage!$B$7/12))^A220-1)/(Mortgage!$B$7/12))))</f>
        <v/>
      </c>
      <c r="T220" s="149">
        <f>IF(D220&gt;0.005,I220/Mortgage!$B$5,"")</f>
        <v/>
      </c>
      <c r="U220">
        <f>IF(A220&gt;Mortgage!$B$8*12,NA(),B220)</f>
        <v/>
      </c>
      <c r="V220">
        <f>IF(D220&gt;0.005,I220,NA())</f>
        <v/>
      </c>
      <c r="W220">
        <f>IF(A220&gt;Mortgage!$B$8*12,NA(),S220)</f>
        <v/>
      </c>
    </row>
    <row r="221">
      <c r="A221" s="129" t="n">
        <v>216</v>
      </c>
      <c r="B221" s="146">
        <f>EDATE(Mortgage!$B$9,A221-1)</f>
        <v/>
      </c>
      <c r="C221" s="129">
        <f>INT((A221-1)/12)+1</f>
        <v/>
      </c>
      <c r="D221" s="147">
        <f>IF(N(I220)&gt;0.005,I220,0)</f>
        <v/>
      </c>
      <c r="E221" s="147">
        <f>IF(D221&gt;0.005,D221*Mortgage!$B$7/12,0)</f>
        <v/>
      </c>
      <c r="F221" s="147">
        <f>IF(D221&gt;0.005,MIN(Mortgage!$H$8-E221,D221),0)</f>
        <v/>
      </c>
      <c r="G221" s="147">
        <f>IF(D221-F221&gt;0.005,MIN(D221-F221,Mortgage!$B$18+IF(MONTH(B221)=Mortgage!$B$20,Mortgage!$B$19,0)+SUMIFS(Mortgage!$E$6:$E$15,Mortgage!$D$6:$D$15,"&gt;="&amp;B221,Mortgage!$D$6:$D$15,"&lt;"&amp;EDATE(B221,1))+IF(Mortgage!$B$10="Bi-weekly (accelerated)",Mortgage!$H$8/12,0)),0)</f>
        <v/>
      </c>
      <c r="H221" s="147">
        <f>F221+G221</f>
        <v/>
      </c>
      <c r="I221" s="148">
        <f>D221-H221</f>
        <v/>
      </c>
      <c r="J221" s="147">
        <f>E221+F221+G221</f>
        <v/>
      </c>
      <c r="K221" s="147">
        <f>IF(AND(D221&gt;0.005,Mortgage!$H$7&gt;0.8,D221/Mortgage!$B$5&gt;Mortgage!$B$14),Mortgage!$H$5*Mortgage!$B$13/12,0)</f>
        <v/>
      </c>
      <c r="L221" s="147">
        <f>IF(D221&gt;0.005,Mortgage!$B$11/12*(1+Mortgage!$B$16)^(C221-1),0)</f>
        <v/>
      </c>
      <c r="M221" s="147">
        <f>IF(D221&gt;0.005,Mortgage!$B$12/12*(1+Mortgage!$B$16)^(C221-1),0)</f>
        <v/>
      </c>
      <c r="N221" s="147">
        <f>IF(D221&gt;0.005,Mortgage!$B$15,0)</f>
        <v/>
      </c>
      <c r="O221" s="147">
        <f>J221+K221+L221+M221+N221</f>
        <v/>
      </c>
      <c r="P221" s="147">
        <f>P220+E221</f>
        <v/>
      </c>
      <c r="Q221" s="147">
        <f>IF(D221&gt;0.005,Mortgage!$B$5*(1+Mortgage!$B$17)^(A221/12),"")</f>
        <v/>
      </c>
      <c r="R221" s="147">
        <f>IF(D221&gt;0.005,Q221-I221,"")</f>
        <v/>
      </c>
      <c r="S221" s="147">
        <f>IF(A221&gt;Mortgage!$B$8*12,0,IF(Mortgage!$B$7=0,MAX(0,Mortgage!$H$5-Mortgage!$H$8*A221),MAX(0,Mortgage!$H$5*(1+(Mortgage!$B$7/12))^A221-Mortgage!$H$8*((1+(Mortgage!$B$7/12))^A221-1)/(Mortgage!$B$7/12))))</f>
        <v/>
      </c>
      <c r="T221" s="149">
        <f>IF(D221&gt;0.005,I221/Mortgage!$B$5,"")</f>
        <v/>
      </c>
      <c r="U221">
        <f>IF(A221&gt;Mortgage!$B$8*12,NA(),B221)</f>
        <v/>
      </c>
      <c r="V221">
        <f>IF(D221&gt;0.005,I221,NA())</f>
        <v/>
      </c>
      <c r="W221">
        <f>IF(A221&gt;Mortgage!$B$8*12,NA(),S221)</f>
        <v/>
      </c>
    </row>
    <row r="222">
      <c r="A222" s="129" t="n">
        <v>217</v>
      </c>
      <c r="B222" s="146">
        <f>EDATE(Mortgage!$B$9,A222-1)</f>
        <v/>
      </c>
      <c r="C222" s="129">
        <f>INT((A222-1)/12)+1</f>
        <v/>
      </c>
      <c r="D222" s="147">
        <f>IF(N(I221)&gt;0.005,I221,0)</f>
        <v/>
      </c>
      <c r="E222" s="147">
        <f>IF(D222&gt;0.005,D222*Mortgage!$B$7/12,0)</f>
        <v/>
      </c>
      <c r="F222" s="147">
        <f>IF(D222&gt;0.005,MIN(Mortgage!$H$8-E222,D222),0)</f>
        <v/>
      </c>
      <c r="G222" s="147">
        <f>IF(D222-F222&gt;0.005,MIN(D222-F222,Mortgage!$B$18+IF(MONTH(B222)=Mortgage!$B$20,Mortgage!$B$19,0)+SUMIFS(Mortgage!$E$6:$E$15,Mortgage!$D$6:$D$15,"&gt;="&amp;B222,Mortgage!$D$6:$D$15,"&lt;"&amp;EDATE(B222,1))+IF(Mortgage!$B$10="Bi-weekly (accelerated)",Mortgage!$H$8/12,0)),0)</f>
        <v/>
      </c>
      <c r="H222" s="147">
        <f>F222+G222</f>
        <v/>
      </c>
      <c r="I222" s="148">
        <f>D222-H222</f>
        <v/>
      </c>
      <c r="J222" s="147">
        <f>E222+F222+G222</f>
        <v/>
      </c>
      <c r="K222" s="147">
        <f>IF(AND(D222&gt;0.005,Mortgage!$H$7&gt;0.8,D222/Mortgage!$B$5&gt;Mortgage!$B$14),Mortgage!$H$5*Mortgage!$B$13/12,0)</f>
        <v/>
      </c>
      <c r="L222" s="147">
        <f>IF(D222&gt;0.005,Mortgage!$B$11/12*(1+Mortgage!$B$16)^(C222-1),0)</f>
        <v/>
      </c>
      <c r="M222" s="147">
        <f>IF(D222&gt;0.005,Mortgage!$B$12/12*(1+Mortgage!$B$16)^(C222-1),0)</f>
        <v/>
      </c>
      <c r="N222" s="147">
        <f>IF(D222&gt;0.005,Mortgage!$B$15,0)</f>
        <v/>
      </c>
      <c r="O222" s="147">
        <f>J222+K222+L222+M222+N222</f>
        <v/>
      </c>
      <c r="P222" s="147">
        <f>P221+E222</f>
        <v/>
      </c>
      <c r="Q222" s="147">
        <f>IF(D222&gt;0.005,Mortgage!$B$5*(1+Mortgage!$B$17)^(A222/12),"")</f>
        <v/>
      </c>
      <c r="R222" s="147">
        <f>IF(D222&gt;0.005,Q222-I222,"")</f>
        <v/>
      </c>
      <c r="S222" s="147">
        <f>IF(A222&gt;Mortgage!$B$8*12,0,IF(Mortgage!$B$7=0,MAX(0,Mortgage!$H$5-Mortgage!$H$8*A222),MAX(0,Mortgage!$H$5*(1+(Mortgage!$B$7/12))^A222-Mortgage!$H$8*((1+(Mortgage!$B$7/12))^A222-1)/(Mortgage!$B$7/12))))</f>
        <v/>
      </c>
      <c r="T222" s="149">
        <f>IF(D222&gt;0.005,I222/Mortgage!$B$5,"")</f>
        <v/>
      </c>
      <c r="U222">
        <f>IF(A222&gt;Mortgage!$B$8*12,NA(),B222)</f>
        <v/>
      </c>
      <c r="V222">
        <f>IF(D222&gt;0.005,I222,NA())</f>
        <v/>
      </c>
      <c r="W222">
        <f>IF(A222&gt;Mortgage!$B$8*12,NA(),S222)</f>
        <v/>
      </c>
    </row>
    <row r="223">
      <c r="A223" s="129" t="n">
        <v>218</v>
      </c>
      <c r="B223" s="146">
        <f>EDATE(Mortgage!$B$9,A223-1)</f>
        <v/>
      </c>
      <c r="C223" s="129">
        <f>INT((A223-1)/12)+1</f>
        <v/>
      </c>
      <c r="D223" s="147">
        <f>IF(N(I222)&gt;0.005,I222,0)</f>
        <v/>
      </c>
      <c r="E223" s="147">
        <f>IF(D223&gt;0.005,D223*Mortgage!$B$7/12,0)</f>
        <v/>
      </c>
      <c r="F223" s="147">
        <f>IF(D223&gt;0.005,MIN(Mortgage!$H$8-E223,D223),0)</f>
        <v/>
      </c>
      <c r="G223" s="147">
        <f>IF(D223-F223&gt;0.005,MIN(D223-F223,Mortgage!$B$18+IF(MONTH(B223)=Mortgage!$B$20,Mortgage!$B$19,0)+SUMIFS(Mortgage!$E$6:$E$15,Mortgage!$D$6:$D$15,"&gt;="&amp;B223,Mortgage!$D$6:$D$15,"&lt;"&amp;EDATE(B223,1))+IF(Mortgage!$B$10="Bi-weekly (accelerated)",Mortgage!$H$8/12,0)),0)</f>
        <v/>
      </c>
      <c r="H223" s="147">
        <f>F223+G223</f>
        <v/>
      </c>
      <c r="I223" s="148">
        <f>D223-H223</f>
        <v/>
      </c>
      <c r="J223" s="147">
        <f>E223+F223+G223</f>
        <v/>
      </c>
      <c r="K223" s="147">
        <f>IF(AND(D223&gt;0.005,Mortgage!$H$7&gt;0.8,D223/Mortgage!$B$5&gt;Mortgage!$B$14),Mortgage!$H$5*Mortgage!$B$13/12,0)</f>
        <v/>
      </c>
      <c r="L223" s="147">
        <f>IF(D223&gt;0.005,Mortgage!$B$11/12*(1+Mortgage!$B$16)^(C223-1),0)</f>
        <v/>
      </c>
      <c r="M223" s="147">
        <f>IF(D223&gt;0.005,Mortgage!$B$12/12*(1+Mortgage!$B$16)^(C223-1),0)</f>
        <v/>
      </c>
      <c r="N223" s="147">
        <f>IF(D223&gt;0.005,Mortgage!$B$15,0)</f>
        <v/>
      </c>
      <c r="O223" s="147">
        <f>J223+K223+L223+M223+N223</f>
        <v/>
      </c>
      <c r="P223" s="147">
        <f>P222+E223</f>
        <v/>
      </c>
      <c r="Q223" s="147">
        <f>IF(D223&gt;0.005,Mortgage!$B$5*(1+Mortgage!$B$17)^(A223/12),"")</f>
        <v/>
      </c>
      <c r="R223" s="147">
        <f>IF(D223&gt;0.005,Q223-I223,"")</f>
        <v/>
      </c>
      <c r="S223" s="147">
        <f>IF(A223&gt;Mortgage!$B$8*12,0,IF(Mortgage!$B$7=0,MAX(0,Mortgage!$H$5-Mortgage!$H$8*A223),MAX(0,Mortgage!$H$5*(1+(Mortgage!$B$7/12))^A223-Mortgage!$H$8*((1+(Mortgage!$B$7/12))^A223-1)/(Mortgage!$B$7/12))))</f>
        <v/>
      </c>
      <c r="T223" s="149">
        <f>IF(D223&gt;0.005,I223/Mortgage!$B$5,"")</f>
        <v/>
      </c>
      <c r="U223">
        <f>IF(A223&gt;Mortgage!$B$8*12,NA(),B223)</f>
        <v/>
      </c>
      <c r="V223">
        <f>IF(D223&gt;0.005,I223,NA())</f>
        <v/>
      </c>
      <c r="W223">
        <f>IF(A223&gt;Mortgage!$B$8*12,NA(),S223)</f>
        <v/>
      </c>
    </row>
    <row r="224">
      <c r="A224" s="129" t="n">
        <v>219</v>
      </c>
      <c r="B224" s="146">
        <f>EDATE(Mortgage!$B$9,A224-1)</f>
        <v/>
      </c>
      <c r="C224" s="129">
        <f>INT((A224-1)/12)+1</f>
        <v/>
      </c>
      <c r="D224" s="147">
        <f>IF(N(I223)&gt;0.005,I223,0)</f>
        <v/>
      </c>
      <c r="E224" s="147">
        <f>IF(D224&gt;0.005,D224*Mortgage!$B$7/12,0)</f>
        <v/>
      </c>
      <c r="F224" s="147">
        <f>IF(D224&gt;0.005,MIN(Mortgage!$H$8-E224,D224),0)</f>
        <v/>
      </c>
      <c r="G224" s="147">
        <f>IF(D224-F224&gt;0.005,MIN(D224-F224,Mortgage!$B$18+IF(MONTH(B224)=Mortgage!$B$20,Mortgage!$B$19,0)+SUMIFS(Mortgage!$E$6:$E$15,Mortgage!$D$6:$D$15,"&gt;="&amp;B224,Mortgage!$D$6:$D$15,"&lt;"&amp;EDATE(B224,1))+IF(Mortgage!$B$10="Bi-weekly (accelerated)",Mortgage!$H$8/12,0)),0)</f>
        <v/>
      </c>
      <c r="H224" s="147">
        <f>F224+G224</f>
        <v/>
      </c>
      <c r="I224" s="148">
        <f>D224-H224</f>
        <v/>
      </c>
      <c r="J224" s="147">
        <f>E224+F224+G224</f>
        <v/>
      </c>
      <c r="K224" s="147">
        <f>IF(AND(D224&gt;0.005,Mortgage!$H$7&gt;0.8,D224/Mortgage!$B$5&gt;Mortgage!$B$14),Mortgage!$H$5*Mortgage!$B$13/12,0)</f>
        <v/>
      </c>
      <c r="L224" s="147">
        <f>IF(D224&gt;0.005,Mortgage!$B$11/12*(1+Mortgage!$B$16)^(C224-1),0)</f>
        <v/>
      </c>
      <c r="M224" s="147">
        <f>IF(D224&gt;0.005,Mortgage!$B$12/12*(1+Mortgage!$B$16)^(C224-1),0)</f>
        <v/>
      </c>
      <c r="N224" s="147">
        <f>IF(D224&gt;0.005,Mortgage!$B$15,0)</f>
        <v/>
      </c>
      <c r="O224" s="147">
        <f>J224+K224+L224+M224+N224</f>
        <v/>
      </c>
      <c r="P224" s="147">
        <f>P223+E224</f>
        <v/>
      </c>
      <c r="Q224" s="147">
        <f>IF(D224&gt;0.005,Mortgage!$B$5*(1+Mortgage!$B$17)^(A224/12),"")</f>
        <v/>
      </c>
      <c r="R224" s="147">
        <f>IF(D224&gt;0.005,Q224-I224,"")</f>
        <v/>
      </c>
      <c r="S224" s="147">
        <f>IF(A224&gt;Mortgage!$B$8*12,0,IF(Mortgage!$B$7=0,MAX(0,Mortgage!$H$5-Mortgage!$H$8*A224),MAX(0,Mortgage!$H$5*(1+(Mortgage!$B$7/12))^A224-Mortgage!$H$8*((1+(Mortgage!$B$7/12))^A224-1)/(Mortgage!$B$7/12))))</f>
        <v/>
      </c>
      <c r="T224" s="149">
        <f>IF(D224&gt;0.005,I224/Mortgage!$B$5,"")</f>
        <v/>
      </c>
      <c r="U224">
        <f>IF(A224&gt;Mortgage!$B$8*12,NA(),B224)</f>
        <v/>
      </c>
      <c r="V224">
        <f>IF(D224&gt;0.005,I224,NA())</f>
        <v/>
      </c>
      <c r="W224">
        <f>IF(A224&gt;Mortgage!$B$8*12,NA(),S224)</f>
        <v/>
      </c>
    </row>
    <row r="225">
      <c r="A225" s="129" t="n">
        <v>220</v>
      </c>
      <c r="B225" s="146">
        <f>EDATE(Mortgage!$B$9,A225-1)</f>
        <v/>
      </c>
      <c r="C225" s="129">
        <f>INT((A225-1)/12)+1</f>
        <v/>
      </c>
      <c r="D225" s="147">
        <f>IF(N(I224)&gt;0.005,I224,0)</f>
        <v/>
      </c>
      <c r="E225" s="147">
        <f>IF(D225&gt;0.005,D225*Mortgage!$B$7/12,0)</f>
        <v/>
      </c>
      <c r="F225" s="147">
        <f>IF(D225&gt;0.005,MIN(Mortgage!$H$8-E225,D225),0)</f>
        <v/>
      </c>
      <c r="G225" s="147">
        <f>IF(D225-F225&gt;0.005,MIN(D225-F225,Mortgage!$B$18+IF(MONTH(B225)=Mortgage!$B$20,Mortgage!$B$19,0)+SUMIFS(Mortgage!$E$6:$E$15,Mortgage!$D$6:$D$15,"&gt;="&amp;B225,Mortgage!$D$6:$D$15,"&lt;"&amp;EDATE(B225,1))+IF(Mortgage!$B$10="Bi-weekly (accelerated)",Mortgage!$H$8/12,0)),0)</f>
        <v/>
      </c>
      <c r="H225" s="147">
        <f>F225+G225</f>
        <v/>
      </c>
      <c r="I225" s="148">
        <f>D225-H225</f>
        <v/>
      </c>
      <c r="J225" s="147">
        <f>E225+F225+G225</f>
        <v/>
      </c>
      <c r="K225" s="147">
        <f>IF(AND(D225&gt;0.005,Mortgage!$H$7&gt;0.8,D225/Mortgage!$B$5&gt;Mortgage!$B$14),Mortgage!$H$5*Mortgage!$B$13/12,0)</f>
        <v/>
      </c>
      <c r="L225" s="147">
        <f>IF(D225&gt;0.005,Mortgage!$B$11/12*(1+Mortgage!$B$16)^(C225-1),0)</f>
        <v/>
      </c>
      <c r="M225" s="147">
        <f>IF(D225&gt;0.005,Mortgage!$B$12/12*(1+Mortgage!$B$16)^(C225-1),0)</f>
        <v/>
      </c>
      <c r="N225" s="147">
        <f>IF(D225&gt;0.005,Mortgage!$B$15,0)</f>
        <v/>
      </c>
      <c r="O225" s="147">
        <f>J225+K225+L225+M225+N225</f>
        <v/>
      </c>
      <c r="P225" s="147">
        <f>P224+E225</f>
        <v/>
      </c>
      <c r="Q225" s="147">
        <f>IF(D225&gt;0.005,Mortgage!$B$5*(1+Mortgage!$B$17)^(A225/12),"")</f>
        <v/>
      </c>
      <c r="R225" s="147">
        <f>IF(D225&gt;0.005,Q225-I225,"")</f>
        <v/>
      </c>
      <c r="S225" s="147">
        <f>IF(A225&gt;Mortgage!$B$8*12,0,IF(Mortgage!$B$7=0,MAX(0,Mortgage!$H$5-Mortgage!$H$8*A225),MAX(0,Mortgage!$H$5*(1+(Mortgage!$B$7/12))^A225-Mortgage!$H$8*((1+(Mortgage!$B$7/12))^A225-1)/(Mortgage!$B$7/12))))</f>
        <v/>
      </c>
      <c r="T225" s="149">
        <f>IF(D225&gt;0.005,I225/Mortgage!$B$5,"")</f>
        <v/>
      </c>
      <c r="U225">
        <f>IF(A225&gt;Mortgage!$B$8*12,NA(),B225)</f>
        <v/>
      </c>
      <c r="V225">
        <f>IF(D225&gt;0.005,I225,NA())</f>
        <v/>
      </c>
      <c r="W225">
        <f>IF(A225&gt;Mortgage!$B$8*12,NA(),S225)</f>
        <v/>
      </c>
    </row>
    <row r="226">
      <c r="A226" s="129" t="n">
        <v>221</v>
      </c>
      <c r="B226" s="146">
        <f>EDATE(Mortgage!$B$9,A226-1)</f>
        <v/>
      </c>
      <c r="C226" s="129">
        <f>INT((A226-1)/12)+1</f>
        <v/>
      </c>
      <c r="D226" s="147">
        <f>IF(N(I225)&gt;0.005,I225,0)</f>
        <v/>
      </c>
      <c r="E226" s="147">
        <f>IF(D226&gt;0.005,D226*Mortgage!$B$7/12,0)</f>
        <v/>
      </c>
      <c r="F226" s="147">
        <f>IF(D226&gt;0.005,MIN(Mortgage!$H$8-E226,D226),0)</f>
        <v/>
      </c>
      <c r="G226" s="147">
        <f>IF(D226-F226&gt;0.005,MIN(D226-F226,Mortgage!$B$18+IF(MONTH(B226)=Mortgage!$B$20,Mortgage!$B$19,0)+SUMIFS(Mortgage!$E$6:$E$15,Mortgage!$D$6:$D$15,"&gt;="&amp;B226,Mortgage!$D$6:$D$15,"&lt;"&amp;EDATE(B226,1))+IF(Mortgage!$B$10="Bi-weekly (accelerated)",Mortgage!$H$8/12,0)),0)</f>
        <v/>
      </c>
      <c r="H226" s="147">
        <f>F226+G226</f>
        <v/>
      </c>
      <c r="I226" s="148">
        <f>D226-H226</f>
        <v/>
      </c>
      <c r="J226" s="147">
        <f>E226+F226+G226</f>
        <v/>
      </c>
      <c r="K226" s="147">
        <f>IF(AND(D226&gt;0.005,Mortgage!$H$7&gt;0.8,D226/Mortgage!$B$5&gt;Mortgage!$B$14),Mortgage!$H$5*Mortgage!$B$13/12,0)</f>
        <v/>
      </c>
      <c r="L226" s="147">
        <f>IF(D226&gt;0.005,Mortgage!$B$11/12*(1+Mortgage!$B$16)^(C226-1),0)</f>
        <v/>
      </c>
      <c r="M226" s="147">
        <f>IF(D226&gt;0.005,Mortgage!$B$12/12*(1+Mortgage!$B$16)^(C226-1),0)</f>
        <v/>
      </c>
      <c r="N226" s="147">
        <f>IF(D226&gt;0.005,Mortgage!$B$15,0)</f>
        <v/>
      </c>
      <c r="O226" s="147">
        <f>J226+K226+L226+M226+N226</f>
        <v/>
      </c>
      <c r="P226" s="147">
        <f>P225+E226</f>
        <v/>
      </c>
      <c r="Q226" s="147">
        <f>IF(D226&gt;0.005,Mortgage!$B$5*(1+Mortgage!$B$17)^(A226/12),"")</f>
        <v/>
      </c>
      <c r="R226" s="147">
        <f>IF(D226&gt;0.005,Q226-I226,"")</f>
        <v/>
      </c>
      <c r="S226" s="147">
        <f>IF(A226&gt;Mortgage!$B$8*12,0,IF(Mortgage!$B$7=0,MAX(0,Mortgage!$H$5-Mortgage!$H$8*A226),MAX(0,Mortgage!$H$5*(1+(Mortgage!$B$7/12))^A226-Mortgage!$H$8*((1+(Mortgage!$B$7/12))^A226-1)/(Mortgage!$B$7/12))))</f>
        <v/>
      </c>
      <c r="T226" s="149">
        <f>IF(D226&gt;0.005,I226/Mortgage!$B$5,"")</f>
        <v/>
      </c>
      <c r="U226">
        <f>IF(A226&gt;Mortgage!$B$8*12,NA(),B226)</f>
        <v/>
      </c>
      <c r="V226">
        <f>IF(D226&gt;0.005,I226,NA())</f>
        <v/>
      </c>
      <c r="W226">
        <f>IF(A226&gt;Mortgage!$B$8*12,NA(),S226)</f>
        <v/>
      </c>
    </row>
    <row r="227">
      <c r="A227" s="129" t="n">
        <v>222</v>
      </c>
      <c r="B227" s="146">
        <f>EDATE(Mortgage!$B$9,A227-1)</f>
        <v/>
      </c>
      <c r="C227" s="129">
        <f>INT((A227-1)/12)+1</f>
        <v/>
      </c>
      <c r="D227" s="147">
        <f>IF(N(I226)&gt;0.005,I226,0)</f>
        <v/>
      </c>
      <c r="E227" s="147">
        <f>IF(D227&gt;0.005,D227*Mortgage!$B$7/12,0)</f>
        <v/>
      </c>
      <c r="F227" s="147">
        <f>IF(D227&gt;0.005,MIN(Mortgage!$H$8-E227,D227),0)</f>
        <v/>
      </c>
      <c r="G227" s="147">
        <f>IF(D227-F227&gt;0.005,MIN(D227-F227,Mortgage!$B$18+IF(MONTH(B227)=Mortgage!$B$20,Mortgage!$B$19,0)+SUMIFS(Mortgage!$E$6:$E$15,Mortgage!$D$6:$D$15,"&gt;="&amp;B227,Mortgage!$D$6:$D$15,"&lt;"&amp;EDATE(B227,1))+IF(Mortgage!$B$10="Bi-weekly (accelerated)",Mortgage!$H$8/12,0)),0)</f>
        <v/>
      </c>
      <c r="H227" s="147">
        <f>F227+G227</f>
        <v/>
      </c>
      <c r="I227" s="148">
        <f>D227-H227</f>
        <v/>
      </c>
      <c r="J227" s="147">
        <f>E227+F227+G227</f>
        <v/>
      </c>
      <c r="K227" s="147">
        <f>IF(AND(D227&gt;0.005,Mortgage!$H$7&gt;0.8,D227/Mortgage!$B$5&gt;Mortgage!$B$14),Mortgage!$H$5*Mortgage!$B$13/12,0)</f>
        <v/>
      </c>
      <c r="L227" s="147">
        <f>IF(D227&gt;0.005,Mortgage!$B$11/12*(1+Mortgage!$B$16)^(C227-1),0)</f>
        <v/>
      </c>
      <c r="M227" s="147">
        <f>IF(D227&gt;0.005,Mortgage!$B$12/12*(1+Mortgage!$B$16)^(C227-1),0)</f>
        <v/>
      </c>
      <c r="N227" s="147">
        <f>IF(D227&gt;0.005,Mortgage!$B$15,0)</f>
        <v/>
      </c>
      <c r="O227" s="147">
        <f>J227+K227+L227+M227+N227</f>
        <v/>
      </c>
      <c r="P227" s="147">
        <f>P226+E227</f>
        <v/>
      </c>
      <c r="Q227" s="147">
        <f>IF(D227&gt;0.005,Mortgage!$B$5*(1+Mortgage!$B$17)^(A227/12),"")</f>
        <v/>
      </c>
      <c r="R227" s="147">
        <f>IF(D227&gt;0.005,Q227-I227,"")</f>
        <v/>
      </c>
      <c r="S227" s="147">
        <f>IF(A227&gt;Mortgage!$B$8*12,0,IF(Mortgage!$B$7=0,MAX(0,Mortgage!$H$5-Mortgage!$H$8*A227),MAX(0,Mortgage!$H$5*(1+(Mortgage!$B$7/12))^A227-Mortgage!$H$8*((1+(Mortgage!$B$7/12))^A227-1)/(Mortgage!$B$7/12))))</f>
        <v/>
      </c>
      <c r="T227" s="149">
        <f>IF(D227&gt;0.005,I227/Mortgage!$B$5,"")</f>
        <v/>
      </c>
      <c r="U227">
        <f>IF(A227&gt;Mortgage!$B$8*12,NA(),B227)</f>
        <v/>
      </c>
      <c r="V227">
        <f>IF(D227&gt;0.005,I227,NA())</f>
        <v/>
      </c>
      <c r="W227">
        <f>IF(A227&gt;Mortgage!$B$8*12,NA(),S227)</f>
        <v/>
      </c>
    </row>
    <row r="228">
      <c r="A228" s="129" t="n">
        <v>223</v>
      </c>
      <c r="B228" s="146">
        <f>EDATE(Mortgage!$B$9,A228-1)</f>
        <v/>
      </c>
      <c r="C228" s="129">
        <f>INT((A228-1)/12)+1</f>
        <v/>
      </c>
      <c r="D228" s="147">
        <f>IF(N(I227)&gt;0.005,I227,0)</f>
        <v/>
      </c>
      <c r="E228" s="147">
        <f>IF(D228&gt;0.005,D228*Mortgage!$B$7/12,0)</f>
        <v/>
      </c>
      <c r="F228" s="147">
        <f>IF(D228&gt;0.005,MIN(Mortgage!$H$8-E228,D228),0)</f>
        <v/>
      </c>
      <c r="G228" s="147">
        <f>IF(D228-F228&gt;0.005,MIN(D228-F228,Mortgage!$B$18+IF(MONTH(B228)=Mortgage!$B$20,Mortgage!$B$19,0)+SUMIFS(Mortgage!$E$6:$E$15,Mortgage!$D$6:$D$15,"&gt;="&amp;B228,Mortgage!$D$6:$D$15,"&lt;"&amp;EDATE(B228,1))+IF(Mortgage!$B$10="Bi-weekly (accelerated)",Mortgage!$H$8/12,0)),0)</f>
        <v/>
      </c>
      <c r="H228" s="147">
        <f>F228+G228</f>
        <v/>
      </c>
      <c r="I228" s="148">
        <f>D228-H228</f>
        <v/>
      </c>
      <c r="J228" s="147">
        <f>E228+F228+G228</f>
        <v/>
      </c>
      <c r="K228" s="147">
        <f>IF(AND(D228&gt;0.005,Mortgage!$H$7&gt;0.8,D228/Mortgage!$B$5&gt;Mortgage!$B$14),Mortgage!$H$5*Mortgage!$B$13/12,0)</f>
        <v/>
      </c>
      <c r="L228" s="147">
        <f>IF(D228&gt;0.005,Mortgage!$B$11/12*(1+Mortgage!$B$16)^(C228-1),0)</f>
        <v/>
      </c>
      <c r="M228" s="147">
        <f>IF(D228&gt;0.005,Mortgage!$B$12/12*(1+Mortgage!$B$16)^(C228-1),0)</f>
        <v/>
      </c>
      <c r="N228" s="147">
        <f>IF(D228&gt;0.005,Mortgage!$B$15,0)</f>
        <v/>
      </c>
      <c r="O228" s="147">
        <f>J228+K228+L228+M228+N228</f>
        <v/>
      </c>
      <c r="P228" s="147">
        <f>P227+E228</f>
        <v/>
      </c>
      <c r="Q228" s="147">
        <f>IF(D228&gt;0.005,Mortgage!$B$5*(1+Mortgage!$B$17)^(A228/12),"")</f>
        <v/>
      </c>
      <c r="R228" s="147">
        <f>IF(D228&gt;0.005,Q228-I228,"")</f>
        <v/>
      </c>
      <c r="S228" s="147">
        <f>IF(A228&gt;Mortgage!$B$8*12,0,IF(Mortgage!$B$7=0,MAX(0,Mortgage!$H$5-Mortgage!$H$8*A228),MAX(0,Mortgage!$H$5*(1+(Mortgage!$B$7/12))^A228-Mortgage!$H$8*((1+(Mortgage!$B$7/12))^A228-1)/(Mortgage!$B$7/12))))</f>
        <v/>
      </c>
      <c r="T228" s="149">
        <f>IF(D228&gt;0.005,I228/Mortgage!$B$5,"")</f>
        <v/>
      </c>
      <c r="U228">
        <f>IF(A228&gt;Mortgage!$B$8*12,NA(),B228)</f>
        <v/>
      </c>
      <c r="V228">
        <f>IF(D228&gt;0.005,I228,NA())</f>
        <v/>
      </c>
      <c r="W228">
        <f>IF(A228&gt;Mortgage!$B$8*12,NA(),S228)</f>
        <v/>
      </c>
    </row>
    <row r="229">
      <c r="A229" s="129" t="n">
        <v>224</v>
      </c>
      <c r="B229" s="146">
        <f>EDATE(Mortgage!$B$9,A229-1)</f>
        <v/>
      </c>
      <c r="C229" s="129">
        <f>INT((A229-1)/12)+1</f>
        <v/>
      </c>
      <c r="D229" s="147">
        <f>IF(N(I228)&gt;0.005,I228,0)</f>
        <v/>
      </c>
      <c r="E229" s="147">
        <f>IF(D229&gt;0.005,D229*Mortgage!$B$7/12,0)</f>
        <v/>
      </c>
      <c r="F229" s="147">
        <f>IF(D229&gt;0.005,MIN(Mortgage!$H$8-E229,D229),0)</f>
        <v/>
      </c>
      <c r="G229" s="147">
        <f>IF(D229-F229&gt;0.005,MIN(D229-F229,Mortgage!$B$18+IF(MONTH(B229)=Mortgage!$B$20,Mortgage!$B$19,0)+SUMIFS(Mortgage!$E$6:$E$15,Mortgage!$D$6:$D$15,"&gt;="&amp;B229,Mortgage!$D$6:$D$15,"&lt;"&amp;EDATE(B229,1))+IF(Mortgage!$B$10="Bi-weekly (accelerated)",Mortgage!$H$8/12,0)),0)</f>
        <v/>
      </c>
      <c r="H229" s="147">
        <f>F229+G229</f>
        <v/>
      </c>
      <c r="I229" s="148">
        <f>D229-H229</f>
        <v/>
      </c>
      <c r="J229" s="147">
        <f>E229+F229+G229</f>
        <v/>
      </c>
      <c r="K229" s="147">
        <f>IF(AND(D229&gt;0.005,Mortgage!$H$7&gt;0.8,D229/Mortgage!$B$5&gt;Mortgage!$B$14),Mortgage!$H$5*Mortgage!$B$13/12,0)</f>
        <v/>
      </c>
      <c r="L229" s="147">
        <f>IF(D229&gt;0.005,Mortgage!$B$11/12*(1+Mortgage!$B$16)^(C229-1),0)</f>
        <v/>
      </c>
      <c r="M229" s="147">
        <f>IF(D229&gt;0.005,Mortgage!$B$12/12*(1+Mortgage!$B$16)^(C229-1),0)</f>
        <v/>
      </c>
      <c r="N229" s="147">
        <f>IF(D229&gt;0.005,Mortgage!$B$15,0)</f>
        <v/>
      </c>
      <c r="O229" s="147">
        <f>J229+K229+L229+M229+N229</f>
        <v/>
      </c>
      <c r="P229" s="147">
        <f>P228+E229</f>
        <v/>
      </c>
      <c r="Q229" s="147">
        <f>IF(D229&gt;0.005,Mortgage!$B$5*(1+Mortgage!$B$17)^(A229/12),"")</f>
        <v/>
      </c>
      <c r="R229" s="147">
        <f>IF(D229&gt;0.005,Q229-I229,"")</f>
        <v/>
      </c>
      <c r="S229" s="147">
        <f>IF(A229&gt;Mortgage!$B$8*12,0,IF(Mortgage!$B$7=0,MAX(0,Mortgage!$H$5-Mortgage!$H$8*A229),MAX(0,Mortgage!$H$5*(1+(Mortgage!$B$7/12))^A229-Mortgage!$H$8*((1+(Mortgage!$B$7/12))^A229-1)/(Mortgage!$B$7/12))))</f>
        <v/>
      </c>
      <c r="T229" s="149">
        <f>IF(D229&gt;0.005,I229/Mortgage!$B$5,"")</f>
        <v/>
      </c>
      <c r="U229">
        <f>IF(A229&gt;Mortgage!$B$8*12,NA(),B229)</f>
        <v/>
      </c>
      <c r="V229">
        <f>IF(D229&gt;0.005,I229,NA())</f>
        <v/>
      </c>
      <c r="W229">
        <f>IF(A229&gt;Mortgage!$B$8*12,NA(),S229)</f>
        <v/>
      </c>
    </row>
    <row r="230">
      <c r="A230" s="129" t="n">
        <v>225</v>
      </c>
      <c r="B230" s="146">
        <f>EDATE(Mortgage!$B$9,A230-1)</f>
        <v/>
      </c>
      <c r="C230" s="129">
        <f>INT((A230-1)/12)+1</f>
        <v/>
      </c>
      <c r="D230" s="147">
        <f>IF(N(I229)&gt;0.005,I229,0)</f>
        <v/>
      </c>
      <c r="E230" s="147">
        <f>IF(D230&gt;0.005,D230*Mortgage!$B$7/12,0)</f>
        <v/>
      </c>
      <c r="F230" s="147">
        <f>IF(D230&gt;0.005,MIN(Mortgage!$H$8-E230,D230),0)</f>
        <v/>
      </c>
      <c r="G230" s="147">
        <f>IF(D230-F230&gt;0.005,MIN(D230-F230,Mortgage!$B$18+IF(MONTH(B230)=Mortgage!$B$20,Mortgage!$B$19,0)+SUMIFS(Mortgage!$E$6:$E$15,Mortgage!$D$6:$D$15,"&gt;="&amp;B230,Mortgage!$D$6:$D$15,"&lt;"&amp;EDATE(B230,1))+IF(Mortgage!$B$10="Bi-weekly (accelerated)",Mortgage!$H$8/12,0)),0)</f>
        <v/>
      </c>
      <c r="H230" s="147">
        <f>F230+G230</f>
        <v/>
      </c>
      <c r="I230" s="148">
        <f>D230-H230</f>
        <v/>
      </c>
      <c r="J230" s="147">
        <f>E230+F230+G230</f>
        <v/>
      </c>
      <c r="K230" s="147">
        <f>IF(AND(D230&gt;0.005,Mortgage!$H$7&gt;0.8,D230/Mortgage!$B$5&gt;Mortgage!$B$14),Mortgage!$H$5*Mortgage!$B$13/12,0)</f>
        <v/>
      </c>
      <c r="L230" s="147">
        <f>IF(D230&gt;0.005,Mortgage!$B$11/12*(1+Mortgage!$B$16)^(C230-1),0)</f>
        <v/>
      </c>
      <c r="M230" s="147">
        <f>IF(D230&gt;0.005,Mortgage!$B$12/12*(1+Mortgage!$B$16)^(C230-1),0)</f>
        <v/>
      </c>
      <c r="N230" s="147">
        <f>IF(D230&gt;0.005,Mortgage!$B$15,0)</f>
        <v/>
      </c>
      <c r="O230" s="147">
        <f>J230+K230+L230+M230+N230</f>
        <v/>
      </c>
      <c r="P230" s="147">
        <f>P229+E230</f>
        <v/>
      </c>
      <c r="Q230" s="147">
        <f>IF(D230&gt;0.005,Mortgage!$B$5*(1+Mortgage!$B$17)^(A230/12),"")</f>
        <v/>
      </c>
      <c r="R230" s="147">
        <f>IF(D230&gt;0.005,Q230-I230,"")</f>
        <v/>
      </c>
      <c r="S230" s="147">
        <f>IF(A230&gt;Mortgage!$B$8*12,0,IF(Mortgage!$B$7=0,MAX(0,Mortgage!$H$5-Mortgage!$H$8*A230),MAX(0,Mortgage!$H$5*(1+(Mortgage!$B$7/12))^A230-Mortgage!$H$8*((1+(Mortgage!$B$7/12))^A230-1)/(Mortgage!$B$7/12))))</f>
        <v/>
      </c>
      <c r="T230" s="149">
        <f>IF(D230&gt;0.005,I230/Mortgage!$B$5,"")</f>
        <v/>
      </c>
      <c r="U230">
        <f>IF(A230&gt;Mortgage!$B$8*12,NA(),B230)</f>
        <v/>
      </c>
      <c r="V230">
        <f>IF(D230&gt;0.005,I230,NA())</f>
        <v/>
      </c>
      <c r="W230">
        <f>IF(A230&gt;Mortgage!$B$8*12,NA(),S230)</f>
        <v/>
      </c>
    </row>
    <row r="231">
      <c r="A231" s="129" t="n">
        <v>226</v>
      </c>
      <c r="B231" s="146">
        <f>EDATE(Mortgage!$B$9,A231-1)</f>
        <v/>
      </c>
      <c r="C231" s="129">
        <f>INT((A231-1)/12)+1</f>
        <v/>
      </c>
      <c r="D231" s="147">
        <f>IF(N(I230)&gt;0.005,I230,0)</f>
        <v/>
      </c>
      <c r="E231" s="147">
        <f>IF(D231&gt;0.005,D231*Mortgage!$B$7/12,0)</f>
        <v/>
      </c>
      <c r="F231" s="147">
        <f>IF(D231&gt;0.005,MIN(Mortgage!$H$8-E231,D231),0)</f>
        <v/>
      </c>
      <c r="G231" s="147">
        <f>IF(D231-F231&gt;0.005,MIN(D231-F231,Mortgage!$B$18+IF(MONTH(B231)=Mortgage!$B$20,Mortgage!$B$19,0)+SUMIFS(Mortgage!$E$6:$E$15,Mortgage!$D$6:$D$15,"&gt;="&amp;B231,Mortgage!$D$6:$D$15,"&lt;"&amp;EDATE(B231,1))+IF(Mortgage!$B$10="Bi-weekly (accelerated)",Mortgage!$H$8/12,0)),0)</f>
        <v/>
      </c>
      <c r="H231" s="147">
        <f>F231+G231</f>
        <v/>
      </c>
      <c r="I231" s="148">
        <f>D231-H231</f>
        <v/>
      </c>
      <c r="J231" s="147">
        <f>E231+F231+G231</f>
        <v/>
      </c>
      <c r="K231" s="147">
        <f>IF(AND(D231&gt;0.005,Mortgage!$H$7&gt;0.8,D231/Mortgage!$B$5&gt;Mortgage!$B$14),Mortgage!$H$5*Mortgage!$B$13/12,0)</f>
        <v/>
      </c>
      <c r="L231" s="147">
        <f>IF(D231&gt;0.005,Mortgage!$B$11/12*(1+Mortgage!$B$16)^(C231-1),0)</f>
        <v/>
      </c>
      <c r="M231" s="147">
        <f>IF(D231&gt;0.005,Mortgage!$B$12/12*(1+Mortgage!$B$16)^(C231-1),0)</f>
        <v/>
      </c>
      <c r="N231" s="147">
        <f>IF(D231&gt;0.005,Mortgage!$B$15,0)</f>
        <v/>
      </c>
      <c r="O231" s="147">
        <f>J231+K231+L231+M231+N231</f>
        <v/>
      </c>
      <c r="P231" s="147">
        <f>P230+E231</f>
        <v/>
      </c>
      <c r="Q231" s="147">
        <f>IF(D231&gt;0.005,Mortgage!$B$5*(1+Mortgage!$B$17)^(A231/12),"")</f>
        <v/>
      </c>
      <c r="R231" s="147">
        <f>IF(D231&gt;0.005,Q231-I231,"")</f>
        <v/>
      </c>
      <c r="S231" s="147">
        <f>IF(A231&gt;Mortgage!$B$8*12,0,IF(Mortgage!$B$7=0,MAX(0,Mortgage!$H$5-Mortgage!$H$8*A231),MAX(0,Mortgage!$H$5*(1+(Mortgage!$B$7/12))^A231-Mortgage!$H$8*((1+(Mortgage!$B$7/12))^A231-1)/(Mortgage!$B$7/12))))</f>
        <v/>
      </c>
      <c r="T231" s="149">
        <f>IF(D231&gt;0.005,I231/Mortgage!$B$5,"")</f>
        <v/>
      </c>
      <c r="U231">
        <f>IF(A231&gt;Mortgage!$B$8*12,NA(),B231)</f>
        <v/>
      </c>
      <c r="V231">
        <f>IF(D231&gt;0.005,I231,NA())</f>
        <v/>
      </c>
      <c r="W231">
        <f>IF(A231&gt;Mortgage!$B$8*12,NA(),S231)</f>
        <v/>
      </c>
    </row>
    <row r="232">
      <c r="A232" s="129" t="n">
        <v>227</v>
      </c>
      <c r="B232" s="146">
        <f>EDATE(Mortgage!$B$9,A232-1)</f>
        <v/>
      </c>
      <c r="C232" s="129">
        <f>INT((A232-1)/12)+1</f>
        <v/>
      </c>
      <c r="D232" s="147">
        <f>IF(N(I231)&gt;0.005,I231,0)</f>
        <v/>
      </c>
      <c r="E232" s="147">
        <f>IF(D232&gt;0.005,D232*Mortgage!$B$7/12,0)</f>
        <v/>
      </c>
      <c r="F232" s="147">
        <f>IF(D232&gt;0.005,MIN(Mortgage!$H$8-E232,D232),0)</f>
        <v/>
      </c>
      <c r="G232" s="147">
        <f>IF(D232-F232&gt;0.005,MIN(D232-F232,Mortgage!$B$18+IF(MONTH(B232)=Mortgage!$B$20,Mortgage!$B$19,0)+SUMIFS(Mortgage!$E$6:$E$15,Mortgage!$D$6:$D$15,"&gt;="&amp;B232,Mortgage!$D$6:$D$15,"&lt;"&amp;EDATE(B232,1))+IF(Mortgage!$B$10="Bi-weekly (accelerated)",Mortgage!$H$8/12,0)),0)</f>
        <v/>
      </c>
      <c r="H232" s="147">
        <f>F232+G232</f>
        <v/>
      </c>
      <c r="I232" s="148">
        <f>D232-H232</f>
        <v/>
      </c>
      <c r="J232" s="147">
        <f>E232+F232+G232</f>
        <v/>
      </c>
      <c r="K232" s="147">
        <f>IF(AND(D232&gt;0.005,Mortgage!$H$7&gt;0.8,D232/Mortgage!$B$5&gt;Mortgage!$B$14),Mortgage!$H$5*Mortgage!$B$13/12,0)</f>
        <v/>
      </c>
      <c r="L232" s="147">
        <f>IF(D232&gt;0.005,Mortgage!$B$11/12*(1+Mortgage!$B$16)^(C232-1),0)</f>
        <v/>
      </c>
      <c r="M232" s="147">
        <f>IF(D232&gt;0.005,Mortgage!$B$12/12*(1+Mortgage!$B$16)^(C232-1),0)</f>
        <v/>
      </c>
      <c r="N232" s="147">
        <f>IF(D232&gt;0.005,Mortgage!$B$15,0)</f>
        <v/>
      </c>
      <c r="O232" s="147">
        <f>J232+K232+L232+M232+N232</f>
        <v/>
      </c>
      <c r="P232" s="147">
        <f>P231+E232</f>
        <v/>
      </c>
      <c r="Q232" s="147">
        <f>IF(D232&gt;0.005,Mortgage!$B$5*(1+Mortgage!$B$17)^(A232/12),"")</f>
        <v/>
      </c>
      <c r="R232" s="147">
        <f>IF(D232&gt;0.005,Q232-I232,"")</f>
        <v/>
      </c>
      <c r="S232" s="147">
        <f>IF(A232&gt;Mortgage!$B$8*12,0,IF(Mortgage!$B$7=0,MAX(0,Mortgage!$H$5-Mortgage!$H$8*A232),MAX(0,Mortgage!$H$5*(1+(Mortgage!$B$7/12))^A232-Mortgage!$H$8*((1+(Mortgage!$B$7/12))^A232-1)/(Mortgage!$B$7/12))))</f>
        <v/>
      </c>
      <c r="T232" s="149">
        <f>IF(D232&gt;0.005,I232/Mortgage!$B$5,"")</f>
        <v/>
      </c>
      <c r="U232">
        <f>IF(A232&gt;Mortgage!$B$8*12,NA(),B232)</f>
        <v/>
      </c>
      <c r="V232">
        <f>IF(D232&gt;0.005,I232,NA())</f>
        <v/>
      </c>
      <c r="W232">
        <f>IF(A232&gt;Mortgage!$B$8*12,NA(),S232)</f>
        <v/>
      </c>
    </row>
    <row r="233">
      <c r="A233" s="129" t="n">
        <v>228</v>
      </c>
      <c r="B233" s="146">
        <f>EDATE(Mortgage!$B$9,A233-1)</f>
        <v/>
      </c>
      <c r="C233" s="129">
        <f>INT((A233-1)/12)+1</f>
        <v/>
      </c>
      <c r="D233" s="147">
        <f>IF(N(I232)&gt;0.005,I232,0)</f>
        <v/>
      </c>
      <c r="E233" s="147">
        <f>IF(D233&gt;0.005,D233*Mortgage!$B$7/12,0)</f>
        <v/>
      </c>
      <c r="F233" s="147">
        <f>IF(D233&gt;0.005,MIN(Mortgage!$H$8-E233,D233),0)</f>
        <v/>
      </c>
      <c r="G233" s="147">
        <f>IF(D233-F233&gt;0.005,MIN(D233-F233,Mortgage!$B$18+IF(MONTH(B233)=Mortgage!$B$20,Mortgage!$B$19,0)+SUMIFS(Mortgage!$E$6:$E$15,Mortgage!$D$6:$D$15,"&gt;="&amp;B233,Mortgage!$D$6:$D$15,"&lt;"&amp;EDATE(B233,1))+IF(Mortgage!$B$10="Bi-weekly (accelerated)",Mortgage!$H$8/12,0)),0)</f>
        <v/>
      </c>
      <c r="H233" s="147">
        <f>F233+G233</f>
        <v/>
      </c>
      <c r="I233" s="148">
        <f>D233-H233</f>
        <v/>
      </c>
      <c r="J233" s="147">
        <f>E233+F233+G233</f>
        <v/>
      </c>
      <c r="K233" s="147">
        <f>IF(AND(D233&gt;0.005,Mortgage!$H$7&gt;0.8,D233/Mortgage!$B$5&gt;Mortgage!$B$14),Mortgage!$H$5*Mortgage!$B$13/12,0)</f>
        <v/>
      </c>
      <c r="L233" s="147">
        <f>IF(D233&gt;0.005,Mortgage!$B$11/12*(1+Mortgage!$B$16)^(C233-1),0)</f>
        <v/>
      </c>
      <c r="M233" s="147">
        <f>IF(D233&gt;0.005,Mortgage!$B$12/12*(1+Mortgage!$B$16)^(C233-1),0)</f>
        <v/>
      </c>
      <c r="N233" s="147">
        <f>IF(D233&gt;0.005,Mortgage!$B$15,0)</f>
        <v/>
      </c>
      <c r="O233" s="147">
        <f>J233+K233+L233+M233+N233</f>
        <v/>
      </c>
      <c r="P233" s="147">
        <f>P232+E233</f>
        <v/>
      </c>
      <c r="Q233" s="147">
        <f>IF(D233&gt;0.005,Mortgage!$B$5*(1+Mortgage!$B$17)^(A233/12),"")</f>
        <v/>
      </c>
      <c r="R233" s="147">
        <f>IF(D233&gt;0.005,Q233-I233,"")</f>
        <v/>
      </c>
      <c r="S233" s="147">
        <f>IF(A233&gt;Mortgage!$B$8*12,0,IF(Mortgage!$B$7=0,MAX(0,Mortgage!$H$5-Mortgage!$H$8*A233),MAX(0,Mortgage!$H$5*(1+(Mortgage!$B$7/12))^A233-Mortgage!$H$8*((1+(Mortgage!$B$7/12))^A233-1)/(Mortgage!$B$7/12))))</f>
        <v/>
      </c>
      <c r="T233" s="149">
        <f>IF(D233&gt;0.005,I233/Mortgage!$B$5,"")</f>
        <v/>
      </c>
      <c r="U233">
        <f>IF(A233&gt;Mortgage!$B$8*12,NA(),B233)</f>
        <v/>
      </c>
      <c r="V233">
        <f>IF(D233&gt;0.005,I233,NA())</f>
        <v/>
      </c>
      <c r="W233">
        <f>IF(A233&gt;Mortgage!$B$8*12,NA(),S233)</f>
        <v/>
      </c>
    </row>
    <row r="234">
      <c r="A234" s="129" t="n">
        <v>229</v>
      </c>
      <c r="B234" s="146">
        <f>EDATE(Mortgage!$B$9,A234-1)</f>
        <v/>
      </c>
      <c r="C234" s="129">
        <f>INT((A234-1)/12)+1</f>
        <v/>
      </c>
      <c r="D234" s="147">
        <f>IF(N(I233)&gt;0.005,I233,0)</f>
        <v/>
      </c>
      <c r="E234" s="147">
        <f>IF(D234&gt;0.005,D234*Mortgage!$B$7/12,0)</f>
        <v/>
      </c>
      <c r="F234" s="147">
        <f>IF(D234&gt;0.005,MIN(Mortgage!$H$8-E234,D234),0)</f>
        <v/>
      </c>
      <c r="G234" s="147">
        <f>IF(D234-F234&gt;0.005,MIN(D234-F234,Mortgage!$B$18+IF(MONTH(B234)=Mortgage!$B$20,Mortgage!$B$19,0)+SUMIFS(Mortgage!$E$6:$E$15,Mortgage!$D$6:$D$15,"&gt;="&amp;B234,Mortgage!$D$6:$D$15,"&lt;"&amp;EDATE(B234,1))+IF(Mortgage!$B$10="Bi-weekly (accelerated)",Mortgage!$H$8/12,0)),0)</f>
        <v/>
      </c>
      <c r="H234" s="147">
        <f>F234+G234</f>
        <v/>
      </c>
      <c r="I234" s="148">
        <f>D234-H234</f>
        <v/>
      </c>
      <c r="J234" s="147">
        <f>E234+F234+G234</f>
        <v/>
      </c>
      <c r="K234" s="147">
        <f>IF(AND(D234&gt;0.005,Mortgage!$H$7&gt;0.8,D234/Mortgage!$B$5&gt;Mortgage!$B$14),Mortgage!$H$5*Mortgage!$B$13/12,0)</f>
        <v/>
      </c>
      <c r="L234" s="147">
        <f>IF(D234&gt;0.005,Mortgage!$B$11/12*(1+Mortgage!$B$16)^(C234-1),0)</f>
        <v/>
      </c>
      <c r="M234" s="147">
        <f>IF(D234&gt;0.005,Mortgage!$B$12/12*(1+Mortgage!$B$16)^(C234-1),0)</f>
        <v/>
      </c>
      <c r="N234" s="147">
        <f>IF(D234&gt;0.005,Mortgage!$B$15,0)</f>
        <v/>
      </c>
      <c r="O234" s="147">
        <f>J234+K234+L234+M234+N234</f>
        <v/>
      </c>
      <c r="P234" s="147">
        <f>P233+E234</f>
        <v/>
      </c>
      <c r="Q234" s="147">
        <f>IF(D234&gt;0.005,Mortgage!$B$5*(1+Mortgage!$B$17)^(A234/12),"")</f>
        <v/>
      </c>
      <c r="R234" s="147">
        <f>IF(D234&gt;0.005,Q234-I234,"")</f>
        <v/>
      </c>
      <c r="S234" s="147">
        <f>IF(A234&gt;Mortgage!$B$8*12,0,IF(Mortgage!$B$7=0,MAX(0,Mortgage!$H$5-Mortgage!$H$8*A234),MAX(0,Mortgage!$H$5*(1+(Mortgage!$B$7/12))^A234-Mortgage!$H$8*((1+(Mortgage!$B$7/12))^A234-1)/(Mortgage!$B$7/12))))</f>
        <v/>
      </c>
      <c r="T234" s="149">
        <f>IF(D234&gt;0.005,I234/Mortgage!$B$5,"")</f>
        <v/>
      </c>
      <c r="U234">
        <f>IF(A234&gt;Mortgage!$B$8*12,NA(),B234)</f>
        <v/>
      </c>
      <c r="V234">
        <f>IF(D234&gt;0.005,I234,NA())</f>
        <v/>
      </c>
      <c r="W234">
        <f>IF(A234&gt;Mortgage!$B$8*12,NA(),S234)</f>
        <v/>
      </c>
    </row>
    <row r="235">
      <c r="A235" s="129" t="n">
        <v>230</v>
      </c>
      <c r="B235" s="146">
        <f>EDATE(Mortgage!$B$9,A235-1)</f>
        <v/>
      </c>
      <c r="C235" s="129">
        <f>INT((A235-1)/12)+1</f>
        <v/>
      </c>
      <c r="D235" s="147">
        <f>IF(N(I234)&gt;0.005,I234,0)</f>
        <v/>
      </c>
      <c r="E235" s="147">
        <f>IF(D235&gt;0.005,D235*Mortgage!$B$7/12,0)</f>
        <v/>
      </c>
      <c r="F235" s="147">
        <f>IF(D235&gt;0.005,MIN(Mortgage!$H$8-E235,D235),0)</f>
        <v/>
      </c>
      <c r="G235" s="147">
        <f>IF(D235-F235&gt;0.005,MIN(D235-F235,Mortgage!$B$18+IF(MONTH(B235)=Mortgage!$B$20,Mortgage!$B$19,0)+SUMIFS(Mortgage!$E$6:$E$15,Mortgage!$D$6:$D$15,"&gt;="&amp;B235,Mortgage!$D$6:$D$15,"&lt;"&amp;EDATE(B235,1))+IF(Mortgage!$B$10="Bi-weekly (accelerated)",Mortgage!$H$8/12,0)),0)</f>
        <v/>
      </c>
      <c r="H235" s="147">
        <f>F235+G235</f>
        <v/>
      </c>
      <c r="I235" s="148">
        <f>D235-H235</f>
        <v/>
      </c>
      <c r="J235" s="147">
        <f>E235+F235+G235</f>
        <v/>
      </c>
      <c r="K235" s="147">
        <f>IF(AND(D235&gt;0.005,Mortgage!$H$7&gt;0.8,D235/Mortgage!$B$5&gt;Mortgage!$B$14),Mortgage!$H$5*Mortgage!$B$13/12,0)</f>
        <v/>
      </c>
      <c r="L235" s="147">
        <f>IF(D235&gt;0.005,Mortgage!$B$11/12*(1+Mortgage!$B$16)^(C235-1),0)</f>
        <v/>
      </c>
      <c r="M235" s="147">
        <f>IF(D235&gt;0.005,Mortgage!$B$12/12*(1+Mortgage!$B$16)^(C235-1),0)</f>
        <v/>
      </c>
      <c r="N235" s="147">
        <f>IF(D235&gt;0.005,Mortgage!$B$15,0)</f>
        <v/>
      </c>
      <c r="O235" s="147">
        <f>J235+K235+L235+M235+N235</f>
        <v/>
      </c>
      <c r="P235" s="147">
        <f>P234+E235</f>
        <v/>
      </c>
      <c r="Q235" s="147">
        <f>IF(D235&gt;0.005,Mortgage!$B$5*(1+Mortgage!$B$17)^(A235/12),"")</f>
        <v/>
      </c>
      <c r="R235" s="147">
        <f>IF(D235&gt;0.005,Q235-I235,"")</f>
        <v/>
      </c>
      <c r="S235" s="147">
        <f>IF(A235&gt;Mortgage!$B$8*12,0,IF(Mortgage!$B$7=0,MAX(0,Mortgage!$H$5-Mortgage!$H$8*A235),MAX(0,Mortgage!$H$5*(1+(Mortgage!$B$7/12))^A235-Mortgage!$H$8*((1+(Mortgage!$B$7/12))^A235-1)/(Mortgage!$B$7/12))))</f>
        <v/>
      </c>
      <c r="T235" s="149">
        <f>IF(D235&gt;0.005,I235/Mortgage!$B$5,"")</f>
        <v/>
      </c>
      <c r="U235">
        <f>IF(A235&gt;Mortgage!$B$8*12,NA(),B235)</f>
        <v/>
      </c>
      <c r="V235">
        <f>IF(D235&gt;0.005,I235,NA())</f>
        <v/>
      </c>
      <c r="W235">
        <f>IF(A235&gt;Mortgage!$B$8*12,NA(),S235)</f>
        <v/>
      </c>
    </row>
    <row r="236">
      <c r="A236" s="129" t="n">
        <v>231</v>
      </c>
      <c r="B236" s="146">
        <f>EDATE(Mortgage!$B$9,A236-1)</f>
        <v/>
      </c>
      <c r="C236" s="129">
        <f>INT((A236-1)/12)+1</f>
        <v/>
      </c>
      <c r="D236" s="147">
        <f>IF(N(I235)&gt;0.005,I235,0)</f>
        <v/>
      </c>
      <c r="E236" s="147">
        <f>IF(D236&gt;0.005,D236*Mortgage!$B$7/12,0)</f>
        <v/>
      </c>
      <c r="F236" s="147">
        <f>IF(D236&gt;0.005,MIN(Mortgage!$H$8-E236,D236),0)</f>
        <v/>
      </c>
      <c r="G236" s="147">
        <f>IF(D236-F236&gt;0.005,MIN(D236-F236,Mortgage!$B$18+IF(MONTH(B236)=Mortgage!$B$20,Mortgage!$B$19,0)+SUMIFS(Mortgage!$E$6:$E$15,Mortgage!$D$6:$D$15,"&gt;="&amp;B236,Mortgage!$D$6:$D$15,"&lt;"&amp;EDATE(B236,1))+IF(Mortgage!$B$10="Bi-weekly (accelerated)",Mortgage!$H$8/12,0)),0)</f>
        <v/>
      </c>
      <c r="H236" s="147">
        <f>F236+G236</f>
        <v/>
      </c>
      <c r="I236" s="148">
        <f>D236-H236</f>
        <v/>
      </c>
      <c r="J236" s="147">
        <f>E236+F236+G236</f>
        <v/>
      </c>
      <c r="K236" s="147">
        <f>IF(AND(D236&gt;0.005,Mortgage!$H$7&gt;0.8,D236/Mortgage!$B$5&gt;Mortgage!$B$14),Mortgage!$H$5*Mortgage!$B$13/12,0)</f>
        <v/>
      </c>
      <c r="L236" s="147">
        <f>IF(D236&gt;0.005,Mortgage!$B$11/12*(1+Mortgage!$B$16)^(C236-1),0)</f>
        <v/>
      </c>
      <c r="M236" s="147">
        <f>IF(D236&gt;0.005,Mortgage!$B$12/12*(1+Mortgage!$B$16)^(C236-1),0)</f>
        <v/>
      </c>
      <c r="N236" s="147">
        <f>IF(D236&gt;0.005,Mortgage!$B$15,0)</f>
        <v/>
      </c>
      <c r="O236" s="147">
        <f>J236+K236+L236+M236+N236</f>
        <v/>
      </c>
      <c r="P236" s="147">
        <f>P235+E236</f>
        <v/>
      </c>
      <c r="Q236" s="147">
        <f>IF(D236&gt;0.005,Mortgage!$B$5*(1+Mortgage!$B$17)^(A236/12),"")</f>
        <v/>
      </c>
      <c r="R236" s="147">
        <f>IF(D236&gt;0.005,Q236-I236,"")</f>
        <v/>
      </c>
      <c r="S236" s="147">
        <f>IF(A236&gt;Mortgage!$B$8*12,0,IF(Mortgage!$B$7=0,MAX(0,Mortgage!$H$5-Mortgage!$H$8*A236),MAX(0,Mortgage!$H$5*(1+(Mortgage!$B$7/12))^A236-Mortgage!$H$8*((1+(Mortgage!$B$7/12))^A236-1)/(Mortgage!$B$7/12))))</f>
        <v/>
      </c>
      <c r="T236" s="149">
        <f>IF(D236&gt;0.005,I236/Mortgage!$B$5,"")</f>
        <v/>
      </c>
      <c r="U236">
        <f>IF(A236&gt;Mortgage!$B$8*12,NA(),B236)</f>
        <v/>
      </c>
      <c r="V236">
        <f>IF(D236&gt;0.005,I236,NA())</f>
        <v/>
      </c>
      <c r="W236">
        <f>IF(A236&gt;Mortgage!$B$8*12,NA(),S236)</f>
        <v/>
      </c>
    </row>
    <row r="237">
      <c r="A237" s="129" t="n">
        <v>232</v>
      </c>
      <c r="B237" s="146">
        <f>EDATE(Mortgage!$B$9,A237-1)</f>
        <v/>
      </c>
      <c r="C237" s="129">
        <f>INT((A237-1)/12)+1</f>
        <v/>
      </c>
      <c r="D237" s="147">
        <f>IF(N(I236)&gt;0.005,I236,0)</f>
        <v/>
      </c>
      <c r="E237" s="147">
        <f>IF(D237&gt;0.005,D237*Mortgage!$B$7/12,0)</f>
        <v/>
      </c>
      <c r="F237" s="147">
        <f>IF(D237&gt;0.005,MIN(Mortgage!$H$8-E237,D237),0)</f>
        <v/>
      </c>
      <c r="G237" s="147">
        <f>IF(D237-F237&gt;0.005,MIN(D237-F237,Mortgage!$B$18+IF(MONTH(B237)=Mortgage!$B$20,Mortgage!$B$19,0)+SUMIFS(Mortgage!$E$6:$E$15,Mortgage!$D$6:$D$15,"&gt;="&amp;B237,Mortgage!$D$6:$D$15,"&lt;"&amp;EDATE(B237,1))+IF(Mortgage!$B$10="Bi-weekly (accelerated)",Mortgage!$H$8/12,0)),0)</f>
        <v/>
      </c>
      <c r="H237" s="147">
        <f>F237+G237</f>
        <v/>
      </c>
      <c r="I237" s="148">
        <f>D237-H237</f>
        <v/>
      </c>
      <c r="J237" s="147">
        <f>E237+F237+G237</f>
        <v/>
      </c>
      <c r="K237" s="147">
        <f>IF(AND(D237&gt;0.005,Mortgage!$H$7&gt;0.8,D237/Mortgage!$B$5&gt;Mortgage!$B$14),Mortgage!$H$5*Mortgage!$B$13/12,0)</f>
        <v/>
      </c>
      <c r="L237" s="147">
        <f>IF(D237&gt;0.005,Mortgage!$B$11/12*(1+Mortgage!$B$16)^(C237-1),0)</f>
        <v/>
      </c>
      <c r="M237" s="147">
        <f>IF(D237&gt;0.005,Mortgage!$B$12/12*(1+Mortgage!$B$16)^(C237-1),0)</f>
        <v/>
      </c>
      <c r="N237" s="147">
        <f>IF(D237&gt;0.005,Mortgage!$B$15,0)</f>
        <v/>
      </c>
      <c r="O237" s="147">
        <f>J237+K237+L237+M237+N237</f>
        <v/>
      </c>
      <c r="P237" s="147">
        <f>P236+E237</f>
        <v/>
      </c>
      <c r="Q237" s="147">
        <f>IF(D237&gt;0.005,Mortgage!$B$5*(1+Mortgage!$B$17)^(A237/12),"")</f>
        <v/>
      </c>
      <c r="R237" s="147">
        <f>IF(D237&gt;0.005,Q237-I237,"")</f>
        <v/>
      </c>
      <c r="S237" s="147">
        <f>IF(A237&gt;Mortgage!$B$8*12,0,IF(Mortgage!$B$7=0,MAX(0,Mortgage!$H$5-Mortgage!$H$8*A237),MAX(0,Mortgage!$H$5*(1+(Mortgage!$B$7/12))^A237-Mortgage!$H$8*((1+(Mortgage!$B$7/12))^A237-1)/(Mortgage!$B$7/12))))</f>
        <v/>
      </c>
      <c r="T237" s="149">
        <f>IF(D237&gt;0.005,I237/Mortgage!$B$5,"")</f>
        <v/>
      </c>
      <c r="U237">
        <f>IF(A237&gt;Mortgage!$B$8*12,NA(),B237)</f>
        <v/>
      </c>
      <c r="V237">
        <f>IF(D237&gt;0.005,I237,NA())</f>
        <v/>
      </c>
      <c r="W237">
        <f>IF(A237&gt;Mortgage!$B$8*12,NA(),S237)</f>
        <v/>
      </c>
    </row>
    <row r="238">
      <c r="A238" s="129" t="n">
        <v>233</v>
      </c>
      <c r="B238" s="146">
        <f>EDATE(Mortgage!$B$9,A238-1)</f>
        <v/>
      </c>
      <c r="C238" s="129">
        <f>INT((A238-1)/12)+1</f>
        <v/>
      </c>
      <c r="D238" s="147">
        <f>IF(N(I237)&gt;0.005,I237,0)</f>
        <v/>
      </c>
      <c r="E238" s="147">
        <f>IF(D238&gt;0.005,D238*Mortgage!$B$7/12,0)</f>
        <v/>
      </c>
      <c r="F238" s="147">
        <f>IF(D238&gt;0.005,MIN(Mortgage!$H$8-E238,D238),0)</f>
        <v/>
      </c>
      <c r="G238" s="147">
        <f>IF(D238-F238&gt;0.005,MIN(D238-F238,Mortgage!$B$18+IF(MONTH(B238)=Mortgage!$B$20,Mortgage!$B$19,0)+SUMIFS(Mortgage!$E$6:$E$15,Mortgage!$D$6:$D$15,"&gt;="&amp;B238,Mortgage!$D$6:$D$15,"&lt;"&amp;EDATE(B238,1))+IF(Mortgage!$B$10="Bi-weekly (accelerated)",Mortgage!$H$8/12,0)),0)</f>
        <v/>
      </c>
      <c r="H238" s="147">
        <f>F238+G238</f>
        <v/>
      </c>
      <c r="I238" s="148">
        <f>D238-H238</f>
        <v/>
      </c>
      <c r="J238" s="147">
        <f>E238+F238+G238</f>
        <v/>
      </c>
      <c r="K238" s="147">
        <f>IF(AND(D238&gt;0.005,Mortgage!$H$7&gt;0.8,D238/Mortgage!$B$5&gt;Mortgage!$B$14),Mortgage!$H$5*Mortgage!$B$13/12,0)</f>
        <v/>
      </c>
      <c r="L238" s="147">
        <f>IF(D238&gt;0.005,Mortgage!$B$11/12*(1+Mortgage!$B$16)^(C238-1),0)</f>
        <v/>
      </c>
      <c r="M238" s="147">
        <f>IF(D238&gt;0.005,Mortgage!$B$12/12*(1+Mortgage!$B$16)^(C238-1),0)</f>
        <v/>
      </c>
      <c r="N238" s="147">
        <f>IF(D238&gt;0.005,Mortgage!$B$15,0)</f>
        <v/>
      </c>
      <c r="O238" s="147">
        <f>J238+K238+L238+M238+N238</f>
        <v/>
      </c>
      <c r="P238" s="147">
        <f>P237+E238</f>
        <v/>
      </c>
      <c r="Q238" s="147">
        <f>IF(D238&gt;0.005,Mortgage!$B$5*(1+Mortgage!$B$17)^(A238/12),"")</f>
        <v/>
      </c>
      <c r="R238" s="147">
        <f>IF(D238&gt;0.005,Q238-I238,"")</f>
        <v/>
      </c>
      <c r="S238" s="147">
        <f>IF(A238&gt;Mortgage!$B$8*12,0,IF(Mortgage!$B$7=0,MAX(0,Mortgage!$H$5-Mortgage!$H$8*A238),MAX(0,Mortgage!$H$5*(1+(Mortgage!$B$7/12))^A238-Mortgage!$H$8*((1+(Mortgage!$B$7/12))^A238-1)/(Mortgage!$B$7/12))))</f>
        <v/>
      </c>
      <c r="T238" s="149">
        <f>IF(D238&gt;0.005,I238/Mortgage!$B$5,"")</f>
        <v/>
      </c>
      <c r="U238">
        <f>IF(A238&gt;Mortgage!$B$8*12,NA(),B238)</f>
        <v/>
      </c>
      <c r="V238">
        <f>IF(D238&gt;0.005,I238,NA())</f>
        <v/>
      </c>
      <c r="W238">
        <f>IF(A238&gt;Mortgage!$B$8*12,NA(),S238)</f>
        <v/>
      </c>
    </row>
    <row r="239">
      <c r="A239" s="129" t="n">
        <v>234</v>
      </c>
      <c r="B239" s="146">
        <f>EDATE(Mortgage!$B$9,A239-1)</f>
        <v/>
      </c>
      <c r="C239" s="129">
        <f>INT((A239-1)/12)+1</f>
        <v/>
      </c>
      <c r="D239" s="147">
        <f>IF(N(I238)&gt;0.005,I238,0)</f>
        <v/>
      </c>
      <c r="E239" s="147">
        <f>IF(D239&gt;0.005,D239*Mortgage!$B$7/12,0)</f>
        <v/>
      </c>
      <c r="F239" s="147">
        <f>IF(D239&gt;0.005,MIN(Mortgage!$H$8-E239,D239),0)</f>
        <v/>
      </c>
      <c r="G239" s="147">
        <f>IF(D239-F239&gt;0.005,MIN(D239-F239,Mortgage!$B$18+IF(MONTH(B239)=Mortgage!$B$20,Mortgage!$B$19,0)+SUMIFS(Mortgage!$E$6:$E$15,Mortgage!$D$6:$D$15,"&gt;="&amp;B239,Mortgage!$D$6:$D$15,"&lt;"&amp;EDATE(B239,1))+IF(Mortgage!$B$10="Bi-weekly (accelerated)",Mortgage!$H$8/12,0)),0)</f>
        <v/>
      </c>
      <c r="H239" s="147">
        <f>F239+G239</f>
        <v/>
      </c>
      <c r="I239" s="148">
        <f>D239-H239</f>
        <v/>
      </c>
      <c r="J239" s="147">
        <f>E239+F239+G239</f>
        <v/>
      </c>
      <c r="K239" s="147">
        <f>IF(AND(D239&gt;0.005,Mortgage!$H$7&gt;0.8,D239/Mortgage!$B$5&gt;Mortgage!$B$14),Mortgage!$H$5*Mortgage!$B$13/12,0)</f>
        <v/>
      </c>
      <c r="L239" s="147">
        <f>IF(D239&gt;0.005,Mortgage!$B$11/12*(1+Mortgage!$B$16)^(C239-1),0)</f>
        <v/>
      </c>
      <c r="M239" s="147">
        <f>IF(D239&gt;0.005,Mortgage!$B$12/12*(1+Mortgage!$B$16)^(C239-1),0)</f>
        <v/>
      </c>
      <c r="N239" s="147">
        <f>IF(D239&gt;0.005,Mortgage!$B$15,0)</f>
        <v/>
      </c>
      <c r="O239" s="147">
        <f>J239+K239+L239+M239+N239</f>
        <v/>
      </c>
      <c r="P239" s="147">
        <f>P238+E239</f>
        <v/>
      </c>
      <c r="Q239" s="147">
        <f>IF(D239&gt;0.005,Mortgage!$B$5*(1+Mortgage!$B$17)^(A239/12),"")</f>
        <v/>
      </c>
      <c r="R239" s="147">
        <f>IF(D239&gt;0.005,Q239-I239,"")</f>
        <v/>
      </c>
      <c r="S239" s="147">
        <f>IF(A239&gt;Mortgage!$B$8*12,0,IF(Mortgage!$B$7=0,MAX(0,Mortgage!$H$5-Mortgage!$H$8*A239),MAX(0,Mortgage!$H$5*(1+(Mortgage!$B$7/12))^A239-Mortgage!$H$8*((1+(Mortgage!$B$7/12))^A239-1)/(Mortgage!$B$7/12))))</f>
        <v/>
      </c>
      <c r="T239" s="149">
        <f>IF(D239&gt;0.005,I239/Mortgage!$B$5,"")</f>
        <v/>
      </c>
      <c r="U239">
        <f>IF(A239&gt;Mortgage!$B$8*12,NA(),B239)</f>
        <v/>
      </c>
      <c r="V239">
        <f>IF(D239&gt;0.005,I239,NA())</f>
        <v/>
      </c>
      <c r="W239">
        <f>IF(A239&gt;Mortgage!$B$8*12,NA(),S239)</f>
        <v/>
      </c>
    </row>
    <row r="240">
      <c r="A240" s="129" t="n">
        <v>235</v>
      </c>
      <c r="B240" s="146">
        <f>EDATE(Mortgage!$B$9,A240-1)</f>
        <v/>
      </c>
      <c r="C240" s="129">
        <f>INT((A240-1)/12)+1</f>
        <v/>
      </c>
      <c r="D240" s="147">
        <f>IF(N(I239)&gt;0.005,I239,0)</f>
        <v/>
      </c>
      <c r="E240" s="147">
        <f>IF(D240&gt;0.005,D240*Mortgage!$B$7/12,0)</f>
        <v/>
      </c>
      <c r="F240" s="147">
        <f>IF(D240&gt;0.005,MIN(Mortgage!$H$8-E240,D240),0)</f>
        <v/>
      </c>
      <c r="G240" s="147">
        <f>IF(D240-F240&gt;0.005,MIN(D240-F240,Mortgage!$B$18+IF(MONTH(B240)=Mortgage!$B$20,Mortgage!$B$19,0)+SUMIFS(Mortgage!$E$6:$E$15,Mortgage!$D$6:$D$15,"&gt;="&amp;B240,Mortgage!$D$6:$D$15,"&lt;"&amp;EDATE(B240,1))+IF(Mortgage!$B$10="Bi-weekly (accelerated)",Mortgage!$H$8/12,0)),0)</f>
        <v/>
      </c>
      <c r="H240" s="147">
        <f>F240+G240</f>
        <v/>
      </c>
      <c r="I240" s="148">
        <f>D240-H240</f>
        <v/>
      </c>
      <c r="J240" s="147">
        <f>E240+F240+G240</f>
        <v/>
      </c>
      <c r="K240" s="147">
        <f>IF(AND(D240&gt;0.005,Mortgage!$H$7&gt;0.8,D240/Mortgage!$B$5&gt;Mortgage!$B$14),Mortgage!$H$5*Mortgage!$B$13/12,0)</f>
        <v/>
      </c>
      <c r="L240" s="147">
        <f>IF(D240&gt;0.005,Mortgage!$B$11/12*(1+Mortgage!$B$16)^(C240-1),0)</f>
        <v/>
      </c>
      <c r="M240" s="147">
        <f>IF(D240&gt;0.005,Mortgage!$B$12/12*(1+Mortgage!$B$16)^(C240-1),0)</f>
        <v/>
      </c>
      <c r="N240" s="147">
        <f>IF(D240&gt;0.005,Mortgage!$B$15,0)</f>
        <v/>
      </c>
      <c r="O240" s="147">
        <f>J240+K240+L240+M240+N240</f>
        <v/>
      </c>
      <c r="P240" s="147">
        <f>P239+E240</f>
        <v/>
      </c>
      <c r="Q240" s="147">
        <f>IF(D240&gt;0.005,Mortgage!$B$5*(1+Mortgage!$B$17)^(A240/12),"")</f>
        <v/>
      </c>
      <c r="R240" s="147">
        <f>IF(D240&gt;0.005,Q240-I240,"")</f>
        <v/>
      </c>
      <c r="S240" s="147">
        <f>IF(A240&gt;Mortgage!$B$8*12,0,IF(Mortgage!$B$7=0,MAX(0,Mortgage!$H$5-Mortgage!$H$8*A240),MAX(0,Mortgage!$H$5*(1+(Mortgage!$B$7/12))^A240-Mortgage!$H$8*((1+(Mortgage!$B$7/12))^A240-1)/(Mortgage!$B$7/12))))</f>
        <v/>
      </c>
      <c r="T240" s="149">
        <f>IF(D240&gt;0.005,I240/Mortgage!$B$5,"")</f>
        <v/>
      </c>
      <c r="U240">
        <f>IF(A240&gt;Mortgage!$B$8*12,NA(),B240)</f>
        <v/>
      </c>
      <c r="V240">
        <f>IF(D240&gt;0.005,I240,NA())</f>
        <v/>
      </c>
      <c r="W240">
        <f>IF(A240&gt;Mortgage!$B$8*12,NA(),S240)</f>
        <v/>
      </c>
    </row>
    <row r="241">
      <c r="A241" s="129" t="n">
        <v>236</v>
      </c>
      <c r="B241" s="146">
        <f>EDATE(Mortgage!$B$9,A241-1)</f>
        <v/>
      </c>
      <c r="C241" s="129">
        <f>INT((A241-1)/12)+1</f>
        <v/>
      </c>
      <c r="D241" s="147">
        <f>IF(N(I240)&gt;0.005,I240,0)</f>
        <v/>
      </c>
      <c r="E241" s="147">
        <f>IF(D241&gt;0.005,D241*Mortgage!$B$7/12,0)</f>
        <v/>
      </c>
      <c r="F241" s="147">
        <f>IF(D241&gt;0.005,MIN(Mortgage!$H$8-E241,D241),0)</f>
        <v/>
      </c>
      <c r="G241" s="147">
        <f>IF(D241-F241&gt;0.005,MIN(D241-F241,Mortgage!$B$18+IF(MONTH(B241)=Mortgage!$B$20,Mortgage!$B$19,0)+SUMIFS(Mortgage!$E$6:$E$15,Mortgage!$D$6:$D$15,"&gt;="&amp;B241,Mortgage!$D$6:$D$15,"&lt;"&amp;EDATE(B241,1))+IF(Mortgage!$B$10="Bi-weekly (accelerated)",Mortgage!$H$8/12,0)),0)</f>
        <v/>
      </c>
      <c r="H241" s="147">
        <f>F241+G241</f>
        <v/>
      </c>
      <c r="I241" s="148">
        <f>D241-H241</f>
        <v/>
      </c>
      <c r="J241" s="147">
        <f>E241+F241+G241</f>
        <v/>
      </c>
      <c r="K241" s="147">
        <f>IF(AND(D241&gt;0.005,Mortgage!$H$7&gt;0.8,D241/Mortgage!$B$5&gt;Mortgage!$B$14),Mortgage!$H$5*Mortgage!$B$13/12,0)</f>
        <v/>
      </c>
      <c r="L241" s="147">
        <f>IF(D241&gt;0.005,Mortgage!$B$11/12*(1+Mortgage!$B$16)^(C241-1),0)</f>
        <v/>
      </c>
      <c r="M241" s="147">
        <f>IF(D241&gt;0.005,Mortgage!$B$12/12*(1+Mortgage!$B$16)^(C241-1),0)</f>
        <v/>
      </c>
      <c r="N241" s="147">
        <f>IF(D241&gt;0.005,Mortgage!$B$15,0)</f>
        <v/>
      </c>
      <c r="O241" s="147">
        <f>J241+K241+L241+M241+N241</f>
        <v/>
      </c>
      <c r="P241" s="147">
        <f>P240+E241</f>
        <v/>
      </c>
      <c r="Q241" s="147">
        <f>IF(D241&gt;0.005,Mortgage!$B$5*(1+Mortgage!$B$17)^(A241/12),"")</f>
        <v/>
      </c>
      <c r="R241" s="147">
        <f>IF(D241&gt;0.005,Q241-I241,"")</f>
        <v/>
      </c>
      <c r="S241" s="147">
        <f>IF(A241&gt;Mortgage!$B$8*12,0,IF(Mortgage!$B$7=0,MAX(0,Mortgage!$H$5-Mortgage!$H$8*A241),MAX(0,Mortgage!$H$5*(1+(Mortgage!$B$7/12))^A241-Mortgage!$H$8*((1+(Mortgage!$B$7/12))^A241-1)/(Mortgage!$B$7/12))))</f>
        <v/>
      </c>
      <c r="T241" s="149">
        <f>IF(D241&gt;0.005,I241/Mortgage!$B$5,"")</f>
        <v/>
      </c>
      <c r="U241">
        <f>IF(A241&gt;Mortgage!$B$8*12,NA(),B241)</f>
        <v/>
      </c>
      <c r="V241">
        <f>IF(D241&gt;0.005,I241,NA())</f>
        <v/>
      </c>
      <c r="W241">
        <f>IF(A241&gt;Mortgage!$B$8*12,NA(),S241)</f>
        <v/>
      </c>
    </row>
    <row r="242">
      <c r="A242" s="129" t="n">
        <v>237</v>
      </c>
      <c r="B242" s="146">
        <f>EDATE(Mortgage!$B$9,A242-1)</f>
        <v/>
      </c>
      <c r="C242" s="129">
        <f>INT((A242-1)/12)+1</f>
        <v/>
      </c>
      <c r="D242" s="147">
        <f>IF(N(I241)&gt;0.005,I241,0)</f>
        <v/>
      </c>
      <c r="E242" s="147">
        <f>IF(D242&gt;0.005,D242*Mortgage!$B$7/12,0)</f>
        <v/>
      </c>
      <c r="F242" s="147">
        <f>IF(D242&gt;0.005,MIN(Mortgage!$H$8-E242,D242),0)</f>
        <v/>
      </c>
      <c r="G242" s="147">
        <f>IF(D242-F242&gt;0.005,MIN(D242-F242,Mortgage!$B$18+IF(MONTH(B242)=Mortgage!$B$20,Mortgage!$B$19,0)+SUMIFS(Mortgage!$E$6:$E$15,Mortgage!$D$6:$D$15,"&gt;="&amp;B242,Mortgage!$D$6:$D$15,"&lt;"&amp;EDATE(B242,1))+IF(Mortgage!$B$10="Bi-weekly (accelerated)",Mortgage!$H$8/12,0)),0)</f>
        <v/>
      </c>
      <c r="H242" s="147">
        <f>F242+G242</f>
        <v/>
      </c>
      <c r="I242" s="148">
        <f>D242-H242</f>
        <v/>
      </c>
      <c r="J242" s="147">
        <f>E242+F242+G242</f>
        <v/>
      </c>
      <c r="K242" s="147">
        <f>IF(AND(D242&gt;0.005,Mortgage!$H$7&gt;0.8,D242/Mortgage!$B$5&gt;Mortgage!$B$14),Mortgage!$H$5*Mortgage!$B$13/12,0)</f>
        <v/>
      </c>
      <c r="L242" s="147">
        <f>IF(D242&gt;0.005,Mortgage!$B$11/12*(1+Mortgage!$B$16)^(C242-1),0)</f>
        <v/>
      </c>
      <c r="M242" s="147">
        <f>IF(D242&gt;0.005,Mortgage!$B$12/12*(1+Mortgage!$B$16)^(C242-1),0)</f>
        <v/>
      </c>
      <c r="N242" s="147">
        <f>IF(D242&gt;0.005,Mortgage!$B$15,0)</f>
        <v/>
      </c>
      <c r="O242" s="147">
        <f>J242+K242+L242+M242+N242</f>
        <v/>
      </c>
      <c r="P242" s="147">
        <f>P241+E242</f>
        <v/>
      </c>
      <c r="Q242" s="147">
        <f>IF(D242&gt;0.005,Mortgage!$B$5*(1+Mortgage!$B$17)^(A242/12),"")</f>
        <v/>
      </c>
      <c r="R242" s="147">
        <f>IF(D242&gt;0.005,Q242-I242,"")</f>
        <v/>
      </c>
      <c r="S242" s="147">
        <f>IF(A242&gt;Mortgage!$B$8*12,0,IF(Mortgage!$B$7=0,MAX(0,Mortgage!$H$5-Mortgage!$H$8*A242),MAX(0,Mortgage!$H$5*(1+(Mortgage!$B$7/12))^A242-Mortgage!$H$8*((1+(Mortgage!$B$7/12))^A242-1)/(Mortgage!$B$7/12))))</f>
        <v/>
      </c>
      <c r="T242" s="149">
        <f>IF(D242&gt;0.005,I242/Mortgage!$B$5,"")</f>
        <v/>
      </c>
      <c r="U242">
        <f>IF(A242&gt;Mortgage!$B$8*12,NA(),B242)</f>
        <v/>
      </c>
      <c r="V242">
        <f>IF(D242&gt;0.005,I242,NA())</f>
        <v/>
      </c>
      <c r="W242">
        <f>IF(A242&gt;Mortgage!$B$8*12,NA(),S242)</f>
        <v/>
      </c>
    </row>
    <row r="243">
      <c r="A243" s="129" t="n">
        <v>238</v>
      </c>
      <c r="B243" s="146">
        <f>EDATE(Mortgage!$B$9,A243-1)</f>
        <v/>
      </c>
      <c r="C243" s="129">
        <f>INT((A243-1)/12)+1</f>
        <v/>
      </c>
      <c r="D243" s="147">
        <f>IF(N(I242)&gt;0.005,I242,0)</f>
        <v/>
      </c>
      <c r="E243" s="147">
        <f>IF(D243&gt;0.005,D243*Mortgage!$B$7/12,0)</f>
        <v/>
      </c>
      <c r="F243" s="147">
        <f>IF(D243&gt;0.005,MIN(Mortgage!$H$8-E243,D243),0)</f>
        <v/>
      </c>
      <c r="G243" s="147">
        <f>IF(D243-F243&gt;0.005,MIN(D243-F243,Mortgage!$B$18+IF(MONTH(B243)=Mortgage!$B$20,Mortgage!$B$19,0)+SUMIFS(Mortgage!$E$6:$E$15,Mortgage!$D$6:$D$15,"&gt;="&amp;B243,Mortgage!$D$6:$D$15,"&lt;"&amp;EDATE(B243,1))+IF(Mortgage!$B$10="Bi-weekly (accelerated)",Mortgage!$H$8/12,0)),0)</f>
        <v/>
      </c>
      <c r="H243" s="147">
        <f>F243+G243</f>
        <v/>
      </c>
      <c r="I243" s="148">
        <f>D243-H243</f>
        <v/>
      </c>
      <c r="J243" s="147">
        <f>E243+F243+G243</f>
        <v/>
      </c>
      <c r="K243" s="147">
        <f>IF(AND(D243&gt;0.005,Mortgage!$H$7&gt;0.8,D243/Mortgage!$B$5&gt;Mortgage!$B$14),Mortgage!$H$5*Mortgage!$B$13/12,0)</f>
        <v/>
      </c>
      <c r="L243" s="147">
        <f>IF(D243&gt;0.005,Mortgage!$B$11/12*(1+Mortgage!$B$16)^(C243-1),0)</f>
        <v/>
      </c>
      <c r="M243" s="147">
        <f>IF(D243&gt;0.005,Mortgage!$B$12/12*(1+Mortgage!$B$16)^(C243-1),0)</f>
        <v/>
      </c>
      <c r="N243" s="147">
        <f>IF(D243&gt;0.005,Mortgage!$B$15,0)</f>
        <v/>
      </c>
      <c r="O243" s="147">
        <f>J243+K243+L243+M243+N243</f>
        <v/>
      </c>
      <c r="P243" s="147">
        <f>P242+E243</f>
        <v/>
      </c>
      <c r="Q243" s="147">
        <f>IF(D243&gt;0.005,Mortgage!$B$5*(1+Mortgage!$B$17)^(A243/12),"")</f>
        <v/>
      </c>
      <c r="R243" s="147">
        <f>IF(D243&gt;0.005,Q243-I243,"")</f>
        <v/>
      </c>
      <c r="S243" s="147">
        <f>IF(A243&gt;Mortgage!$B$8*12,0,IF(Mortgage!$B$7=0,MAX(0,Mortgage!$H$5-Mortgage!$H$8*A243),MAX(0,Mortgage!$H$5*(1+(Mortgage!$B$7/12))^A243-Mortgage!$H$8*((1+(Mortgage!$B$7/12))^A243-1)/(Mortgage!$B$7/12))))</f>
        <v/>
      </c>
      <c r="T243" s="149">
        <f>IF(D243&gt;0.005,I243/Mortgage!$B$5,"")</f>
        <v/>
      </c>
      <c r="U243">
        <f>IF(A243&gt;Mortgage!$B$8*12,NA(),B243)</f>
        <v/>
      </c>
      <c r="V243">
        <f>IF(D243&gt;0.005,I243,NA())</f>
        <v/>
      </c>
      <c r="W243">
        <f>IF(A243&gt;Mortgage!$B$8*12,NA(),S243)</f>
        <v/>
      </c>
    </row>
    <row r="244">
      <c r="A244" s="129" t="n">
        <v>239</v>
      </c>
      <c r="B244" s="146">
        <f>EDATE(Mortgage!$B$9,A244-1)</f>
        <v/>
      </c>
      <c r="C244" s="129">
        <f>INT((A244-1)/12)+1</f>
        <v/>
      </c>
      <c r="D244" s="147">
        <f>IF(N(I243)&gt;0.005,I243,0)</f>
        <v/>
      </c>
      <c r="E244" s="147">
        <f>IF(D244&gt;0.005,D244*Mortgage!$B$7/12,0)</f>
        <v/>
      </c>
      <c r="F244" s="147">
        <f>IF(D244&gt;0.005,MIN(Mortgage!$H$8-E244,D244),0)</f>
        <v/>
      </c>
      <c r="G244" s="147">
        <f>IF(D244-F244&gt;0.005,MIN(D244-F244,Mortgage!$B$18+IF(MONTH(B244)=Mortgage!$B$20,Mortgage!$B$19,0)+SUMIFS(Mortgage!$E$6:$E$15,Mortgage!$D$6:$D$15,"&gt;="&amp;B244,Mortgage!$D$6:$D$15,"&lt;"&amp;EDATE(B244,1))+IF(Mortgage!$B$10="Bi-weekly (accelerated)",Mortgage!$H$8/12,0)),0)</f>
        <v/>
      </c>
      <c r="H244" s="147">
        <f>F244+G244</f>
        <v/>
      </c>
      <c r="I244" s="148">
        <f>D244-H244</f>
        <v/>
      </c>
      <c r="J244" s="147">
        <f>E244+F244+G244</f>
        <v/>
      </c>
      <c r="K244" s="147">
        <f>IF(AND(D244&gt;0.005,Mortgage!$H$7&gt;0.8,D244/Mortgage!$B$5&gt;Mortgage!$B$14),Mortgage!$H$5*Mortgage!$B$13/12,0)</f>
        <v/>
      </c>
      <c r="L244" s="147">
        <f>IF(D244&gt;0.005,Mortgage!$B$11/12*(1+Mortgage!$B$16)^(C244-1),0)</f>
        <v/>
      </c>
      <c r="M244" s="147">
        <f>IF(D244&gt;0.005,Mortgage!$B$12/12*(1+Mortgage!$B$16)^(C244-1),0)</f>
        <v/>
      </c>
      <c r="N244" s="147">
        <f>IF(D244&gt;0.005,Mortgage!$B$15,0)</f>
        <v/>
      </c>
      <c r="O244" s="147">
        <f>J244+K244+L244+M244+N244</f>
        <v/>
      </c>
      <c r="P244" s="147">
        <f>P243+E244</f>
        <v/>
      </c>
      <c r="Q244" s="147">
        <f>IF(D244&gt;0.005,Mortgage!$B$5*(1+Mortgage!$B$17)^(A244/12),"")</f>
        <v/>
      </c>
      <c r="R244" s="147">
        <f>IF(D244&gt;0.005,Q244-I244,"")</f>
        <v/>
      </c>
      <c r="S244" s="147">
        <f>IF(A244&gt;Mortgage!$B$8*12,0,IF(Mortgage!$B$7=0,MAX(0,Mortgage!$H$5-Mortgage!$H$8*A244),MAX(0,Mortgage!$H$5*(1+(Mortgage!$B$7/12))^A244-Mortgage!$H$8*((1+(Mortgage!$B$7/12))^A244-1)/(Mortgage!$B$7/12))))</f>
        <v/>
      </c>
      <c r="T244" s="149">
        <f>IF(D244&gt;0.005,I244/Mortgage!$B$5,"")</f>
        <v/>
      </c>
      <c r="U244">
        <f>IF(A244&gt;Mortgage!$B$8*12,NA(),B244)</f>
        <v/>
      </c>
      <c r="V244">
        <f>IF(D244&gt;0.005,I244,NA())</f>
        <v/>
      </c>
      <c r="W244">
        <f>IF(A244&gt;Mortgage!$B$8*12,NA(),S244)</f>
        <v/>
      </c>
    </row>
    <row r="245">
      <c r="A245" s="129" t="n">
        <v>240</v>
      </c>
      <c r="B245" s="146">
        <f>EDATE(Mortgage!$B$9,A245-1)</f>
        <v/>
      </c>
      <c r="C245" s="129">
        <f>INT((A245-1)/12)+1</f>
        <v/>
      </c>
      <c r="D245" s="147">
        <f>IF(N(I244)&gt;0.005,I244,0)</f>
        <v/>
      </c>
      <c r="E245" s="147">
        <f>IF(D245&gt;0.005,D245*Mortgage!$B$7/12,0)</f>
        <v/>
      </c>
      <c r="F245" s="147">
        <f>IF(D245&gt;0.005,MIN(Mortgage!$H$8-E245,D245),0)</f>
        <v/>
      </c>
      <c r="G245" s="147">
        <f>IF(D245-F245&gt;0.005,MIN(D245-F245,Mortgage!$B$18+IF(MONTH(B245)=Mortgage!$B$20,Mortgage!$B$19,0)+SUMIFS(Mortgage!$E$6:$E$15,Mortgage!$D$6:$D$15,"&gt;="&amp;B245,Mortgage!$D$6:$D$15,"&lt;"&amp;EDATE(B245,1))+IF(Mortgage!$B$10="Bi-weekly (accelerated)",Mortgage!$H$8/12,0)),0)</f>
        <v/>
      </c>
      <c r="H245" s="147">
        <f>F245+G245</f>
        <v/>
      </c>
      <c r="I245" s="148">
        <f>D245-H245</f>
        <v/>
      </c>
      <c r="J245" s="147">
        <f>E245+F245+G245</f>
        <v/>
      </c>
      <c r="K245" s="147">
        <f>IF(AND(D245&gt;0.005,Mortgage!$H$7&gt;0.8,D245/Mortgage!$B$5&gt;Mortgage!$B$14),Mortgage!$H$5*Mortgage!$B$13/12,0)</f>
        <v/>
      </c>
      <c r="L245" s="147">
        <f>IF(D245&gt;0.005,Mortgage!$B$11/12*(1+Mortgage!$B$16)^(C245-1),0)</f>
        <v/>
      </c>
      <c r="M245" s="147">
        <f>IF(D245&gt;0.005,Mortgage!$B$12/12*(1+Mortgage!$B$16)^(C245-1),0)</f>
        <v/>
      </c>
      <c r="N245" s="147">
        <f>IF(D245&gt;0.005,Mortgage!$B$15,0)</f>
        <v/>
      </c>
      <c r="O245" s="147">
        <f>J245+K245+L245+M245+N245</f>
        <v/>
      </c>
      <c r="P245" s="147">
        <f>P244+E245</f>
        <v/>
      </c>
      <c r="Q245" s="147">
        <f>IF(D245&gt;0.005,Mortgage!$B$5*(1+Mortgage!$B$17)^(A245/12),"")</f>
        <v/>
      </c>
      <c r="R245" s="147">
        <f>IF(D245&gt;0.005,Q245-I245,"")</f>
        <v/>
      </c>
      <c r="S245" s="147">
        <f>IF(A245&gt;Mortgage!$B$8*12,0,IF(Mortgage!$B$7=0,MAX(0,Mortgage!$H$5-Mortgage!$H$8*A245),MAX(0,Mortgage!$H$5*(1+(Mortgage!$B$7/12))^A245-Mortgage!$H$8*((1+(Mortgage!$B$7/12))^A245-1)/(Mortgage!$B$7/12))))</f>
        <v/>
      </c>
      <c r="T245" s="149">
        <f>IF(D245&gt;0.005,I245/Mortgage!$B$5,"")</f>
        <v/>
      </c>
      <c r="U245">
        <f>IF(A245&gt;Mortgage!$B$8*12,NA(),B245)</f>
        <v/>
      </c>
      <c r="V245">
        <f>IF(D245&gt;0.005,I245,NA())</f>
        <v/>
      </c>
      <c r="W245">
        <f>IF(A245&gt;Mortgage!$B$8*12,NA(),S245)</f>
        <v/>
      </c>
    </row>
    <row r="246">
      <c r="A246" s="129" t="n">
        <v>241</v>
      </c>
      <c r="B246" s="146">
        <f>EDATE(Mortgage!$B$9,A246-1)</f>
        <v/>
      </c>
      <c r="C246" s="129">
        <f>INT((A246-1)/12)+1</f>
        <v/>
      </c>
      <c r="D246" s="147">
        <f>IF(N(I245)&gt;0.005,I245,0)</f>
        <v/>
      </c>
      <c r="E246" s="147">
        <f>IF(D246&gt;0.005,D246*Mortgage!$B$7/12,0)</f>
        <v/>
      </c>
      <c r="F246" s="147">
        <f>IF(D246&gt;0.005,MIN(Mortgage!$H$8-E246,D246),0)</f>
        <v/>
      </c>
      <c r="G246" s="147">
        <f>IF(D246-F246&gt;0.005,MIN(D246-F246,Mortgage!$B$18+IF(MONTH(B246)=Mortgage!$B$20,Mortgage!$B$19,0)+SUMIFS(Mortgage!$E$6:$E$15,Mortgage!$D$6:$D$15,"&gt;="&amp;B246,Mortgage!$D$6:$D$15,"&lt;"&amp;EDATE(B246,1))+IF(Mortgage!$B$10="Bi-weekly (accelerated)",Mortgage!$H$8/12,0)),0)</f>
        <v/>
      </c>
      <c r="H246" s="147">
        <f>F246+G246</f>
        <v/>
      </c>
      <c r="I246" s="148">
        <f>D246-H246</f>
        <v/>
      </c>
      <c r="J246" s="147">
        <f>E246+F246+G246</f>
        <v/>
      </c>
      <c r="K246" s="147">
        <f>IF(AND(D246&gt;0.005,Mortgage!$H$7&gt;0.8,D246/Mortgage!$B$5&gt;Mortgage!$B$14),Mortgage!$H$5*Mortgage!$B$13/12,0)</f>
        <v/>
      </c>
      <c r="L246" s="147">
        <f>IF(D246&gt;0.005,Mortgage!$B$11/12*(1+Mortgage!$B$16)^(C246-1),0)</f>
        <v/>
      </c>
      <c r="M246" s="147">
        <f>IF(D246&gt;0.005,Mortgage!$B$12/12*(1+Mortgage!$B$16)^(C246-1),0)</f>
        <v/>
      </c>
      <c r="N246" s="147">
        <f>IF(D246&gt;0.005,Mortgage!$B$15,0)</f>
        <v/>
      </c>
      <c r="O246" s="147">
        <f>J246+K246+L246+M246+N246</f>
        <v/>
      </c>
      <c r="P246" s="147">
        <f>P245+E246</f>
        <v/>
      </c>
      <c r="Q246" s="147">
        <f>IF(D246&gt;0.005,Mortgage!$B$5*(1+Mortgage!$B$17)^(A246/12),"")</f>
        <v/>
      </c>
      <c r="R246" s="147">
        <f>IF(D246&gt;0.005,Q246-I246,"")</f>
        <v/>
      </c>
      <c r="S246" s="147">
        <f>IF(A246&gt;Mortgage!$B$8*12,0,IF(Mortgage!$B$7=0,MAX(0,Mortgage!$H$5-Mortgage!$H$8*A246),MAX(0,Mortgage!$H$5*(1+(Mortgage!$B$7/12))^A246-Mortgage!$H$8*((1+(Mortgage!$B$7/12))^A246-1)/(Mortgage!$B$7/12))))</f>
        <v/>
      </c>
      <c r="T246" s="149">
        <f>IF(D246&gt;0.005,I246/Mortgage!$B$5,"")</f>
        <v/>
      </c>
      <c r="U246">
        <f>IF(A246&gt;Mortgage!$B$8*12,NA(),B246)</f>
        <v/>
      </c>
      <c r="V246">
        <f>IF(D246&gt;0.005,I246,NA())</f>
        <v/>
      </c>
      <c r="W246">
        <f>IF(A246&gt;Mortgage!$B$8*12,NA(),S246)</f>
        <v/>
      </c>
    </row>
    <row r="247">
      <c r="A247" s="129" t="n">
        <v>242</v>
      </c>
      <c r="B247" s="146">
        <f>EDATE(Mortgage!$B$9,A247-1)</f>
        <v/>
      </c>
      <c r="C247" s="129">
        <f>INT((A247-1)/12)+1</f>
        <v/>
      </c>
      <c r="D247" s="147">
        <f>IF(N(I246)&gt;0.005,I246,0)</f>
        <v/>
      </c>
      <c r="E247" s="147">
        <f>IF(D247&gt;0.005,D247*Mortgage!$B$7/12,0)</f>
        <v/>
      </c>
      <c r="F247" s="147">
        <f>IF(D247&gt;0.005,MIN(Mortgage!$H$8-E247,D247),0)</f>
        <v/>
      </c>
      <c r="G247" s="147">
        <f>IF(D247-F247&gt;0.005,MIN(D247-F247,Mortgage!$B$18+IF(MONTH(B247)=Mortgage!$B$20,Mortgage!$B$19,0)+SUMIFS(Mortgage!$E$6:$E$15,Mortgage!$D$6:$D$15,"&gt;="&amp;B247,Mortgage!$D$6:$D$15,"&lt;"&amp;EDATE(B247,1))+IF(Mortgage!$B$10="Bi-weekly (accelerated)",Mortgage!$H$8/12,0)),0)</f>
        <v/>
      </c>
      <c r="H247" s="147">
        <f>F247+G247</f>
        <v/>
      </c>
      <c r="I247" s="148">
        <f>D247-H247</f>
        <v/>
      </c>
      <c r="J247" s="147">
        <f>E247+F247+G247</f>
        <v/>
      </c>
      <c r="K247" s="147">
        <f>IF(AND(D247&gt;0.005,Mortgage!$H$7&gt;0.8,D247/Mortgage!$B$5&gt;Mortgage!$B$14),Mortgage!$H$5*Mortgage!$B$13/12,0)</f>
        <v/>
      </c>
      <c r="L247" s="147">
        <f>IF(D247&gt;0.005,Mortgage!$B$11/12*(1+Mortgage!$B$16)^(C247-1),0)</f>
        <v/>
      </c>
      <c r="M247" s="147">
        <f>IF(D247&gt;0.005,Mortgage!$B$12/12*(1+Mortgage!$B$16)^(C247-1),0)</f>
        <v/>
      </c>
      <c r="N247" s="147">
        <f>IF(D247&gt;0.005,Mortgage!$B$15,0)</f>
        <v/>
      </c>
      <c r="O247" s="147">
        <f>J247+K247+L247+M247+N247</f>
        <v/>
      </c>
      <c r="P247" s="147">
        <f>P246+E247</f>
        <v/>
      </c>
      <c r="Q247" s="147">
        <f>IF(D247&gt;0.005,Mortgage!$B$5*(1+Mortgage!$B$17)^(A247/12),"")</f>
        <v/>
      </c>
      <c r="R247" s="147">
        <f>IF(D247&gt;0.005,Q247-I247,"")</f>
        <v/>
      </c>
      <c r="S247" s="147">
        <f>IF(A247&gt;Mortgage!$B$8*12,0,IF(Mortgage!$B$7=0,MAX(0,Mortgage!$H$5-Mortgage!$H$8*A247),MAX(0,Mortgage!$H$5*(1+(Mortgage!$B$7/12))^A247-Mortgage!$H$8*((1+(Mortgage!$B$7/12))^A247-1)/(Mortgage!$B$7/12))))</f>
        <v/>
      </c>
      <c r="T247" s="149">
        <f>IF(D247&gt;0.005,I247/Mortgage!$B$5,"")</f>
        <v/>
      </c>
      <c r="U247">
        <f>IF(A247&gt;Mortgage!$B$8*12,NA(),B247)</f>
        <v/>
      </c>
      <c r="V247">
        <f>IF(D247&gt;0.005,I247,NA())</f>
        <v/>
      </c>
      <c r="W247">
        <f>IF(A247&gt;Mortgage!$B$8*12,NA(),S247)</f>
        <v/>
      </c>
    </row>
    <row r="248">
      <c r="A248" s="129" t="n">
        <v>243</v>
      </c>
      <c r="B248" s="146">
        <f>EDATE(Mortgage!$B$9,A248-1)</f>
        <v/>
      </c>
      <c r="C248" s="129">
        <f>INT((A248-1)/12)+1</f>
        <v/>
      </c>
      <c r="D248" s="147">
        <f>IF(N(I247)&gt;0.005,I247,0)</f>
        <v/>
      </c>
      <c r="E248" s="147">
        <f>IF(D248&gt;0.005,D248*Mortgage!$B$7/12,0)</f>
        <v/>
      </c>
      <c r="F248" s="147">
        <f>IF(D248&gt;0.005,MIN(Mortgage!$H$8-E248,D248),0)</f>
        <v/>
      </c>
      <c r="G248" s="147">
        <f>IF(D248-F248&gt;0.005,MIN(D248-F248,Mortgage!$B$18+IF(MONTH(B248)=Mortgage!$B$20,Mortgage!$B$19,0)+SUMIFS(Mortgage!$E$6:$E$15,Mortgage!$D$6:$D$15,"&gt;="&amp;B248,Mortgage!$D$6:$D$15,"&lt;"&amp;EDATE(B248,1))+IF(Mortgage!$B$10="Bi-weekly (accelerated)",Mortgage!$H$8/12,0)),0)</f>
        <v/>
      </c>
      <c r="H248" s="147">
        <f>F248+G248</f>
        <v/>
      </c>
      <c r="I248" s="148">
        <f>D248-H248</f>
        <v/>
      </c>
      <c r="J248" s="147">
        <f>E248+F248+G248</f>
        <v/>
      </c>
      <c r="K248" s="147">
        <f>IF(AND(D248&gt;0.005,Mortgage!$H$7&gt;0.8,D248/Mortgage!$B$5&gt;Mortgage!$B$14),Mortgage!$H$5*Mortgage!$B$13/12,0)</f>
        <v/>
      </c>
      <c r="L248" s="147">
        <f>IF(D248&gt;0.005,Mortgage!$B$11/12*(1+Mortgage!$B$16)^(C248-1),0)</f>
        <v/>
      </c>
      <c r="M248" s="147">
        <f>IF(D248&gt;0.005,Mortgage!$B$12/12*(1+Mortgage!$B$16)^(C248-1),0)</f>
        <v/>
      </c>
      <c r="N248" s="147">
        <f>IF(D248&gt;0.005,Mortgage!$B$15,0)</f>
        <v/>
      </c>
      <c r="O248" s="147">
        <f>J248+K248+L248+M248+N248</f>
        <v/>
      </c>
      <c r="P248" s="147">
        <f>P247+E248</f>
        <v/>
      </c>
      <c r="Q248" s="147">
        <f>IF(D248&gt;0.005,Mortgage!$B$5*(1+Mortgage!$B$17)^(A248/12),"")</f>
        <v/>
      </c>
      <c r="R248" s="147">
        <f>IF(D248&gt;0.005,Q248-I248,"")</f>
        <v/>
      </c>
      <c r="S248" s="147">
        <f>IF(A248&gt;Mortgage!$B$8*12,0,IF(Mortgage!$B$7=0,MAX(0,Mortgage!$H$5-Mortgage!$H$8*A248),MAX(0,Mortgage!$H$5*(1+(Mortgage!$B$7/12))^A248-Mortgage!$H$8*((1+(Mortgage!$B$7/12))^A248-1)/(Mortgage!$B$7/12))))</f>
        <v/>
      </c>
      <c r="T248" s="149">
        <f>IF(D248&gt;0.005,I248/Mortgage!$B$5,"")</f>
        <v/>
      </c>
      <c r="U248">
        <f>IF(A248&gt;Mortgage!$B$8*12,NA(),B248)</f>
        <v/>
      </c>
      <c r="V248">
        <f>IF(D248&gt;0.005,I248,NA())</f>
        <v/>
      </c>
      <c r="W248">
        <f>IF(A248&gt;Mortgage!$B$8*12,NA(),S248)</f>
        <v/>
      </c>
    </row>
    <row r="249">
      <c r="A249" s="129" t="n">
        <v>244</v>
      </c>
      <c r="B249" s="146">
        <f>EDATE(Mortgage!$B$9,A249-1)</f>
        <v/>
      </c>
      <c r="C249" s="129">
        <f>INT((A249-1)/12)+1</f>
        <v/>
      </c>
      <c r="D249" s="147">
        <f>IF(N(I248)&gt;0.005,I248,0)</f>
        <v/>
      </c>
      <c r="E249" s="147">
        <f>IF(D249&gt;0.005,D249*Mortgage!$B$7/12,0)</f>
        <v/>
      </c>
      <c r="F249" s="147">
        <f>IF(D249&gt;0.005,MIN(Mortgage!$H$8-E249,D249),0)</f>
        <v/>
      </c>
      <c r="G249" s="147">
        <f>IF(D249-F249&gt;0.005,MIN(D249-F249,Mortgage!$B$18+IF(MONTH(B249)=Mortgage!$B$20,Mortgage!$B$19,0)+SUMIFS(Mortgage!$E$6:$E$15,Mortgage!$D$6:$D$15,"&gt;="&amp;B249,Mortgage!$D$6:$D$15,"&lt;"&amp;EDATE(B249,1))+IF(Mortgage!$B$10="Bi-weekly (accelerated)",Mortgage!$H$8/12,0)),0)</f>
        <v/>
      </c>
      <c r="H249" s="147">
        <f>F249+G249</f>
        <v/>
      </c>
      <c r="I249" s="148">
        <f>D249-H249</f>
        <v/>
      </c>
      <c r="J249" s="147">
        <f>E249+F249+G249</f>
        <v/>
      </c>
      <c r="K249" s="147">
        <f>IF(AND(D249&gt;0.005,Mortgage!$H$7&gt;0.8,D249/Mortgage!$B$5&gt;Mortgage!$B$14),Mortgage!$H$5*Mortgage!$B$13/12,0)</f>
        <v/>
      </c>
      <c r="L249" s="147">
        <f>IF(D249&gt;0.005,Mortgage!$B$11/12*(1+Mortgage!$B$16)^(C249-1),0)</f>
        <v/>
      </c>
      <c r="M249" s="147">
        <f>IF(D249&gt;0.005,Mortgage!$B$12/12*(1+Mortgage!$B$16)^(C249-1),0)</f>
        <v/>
      </c>
      <c r="N249" s="147">
        <f>IF(D249&gt;0.005,Mortgage!$B$15,0)</f>
        <v/>
      </c>
      <c r="O249" s="147">
        <f>J249+K249+L249+M249+N249</f>
        <v/>
      </c>
      <c r="P249" s="147">
        <f>P248+E249</f>
        <v/>
      </c>
      <c r="Q249" s="147">
        <f>IF(D249&gt;0.005,Mortgage!$B$5*(1+Mortgage!$B$17)^(A249/12),"")</f>
        <v/>
      </c>
      <c r="R249" s="147">
        <f>IF(D249&gt;0.005,Q249-I249,"")</f>
        <v/>
      </c>
      <c r="S249" s="147">
        <f>IF(A249&gt;Mortgage!$B$8*12,0,IF(Mortgage!$B$7=0,MAX(0,Mortgage!$H$5-Mortgage!$H$8*A249),MAX(0,Mortgage!$H$5*(1+(Mortgage!$B$7/12))^A249-Mortgage!$H$8*((1+(Mortgage!$B$7/12))^A249-1)/(Mortgage!$B$7/12))))</f>
        <v/>
      </c>
      <c r="T249" s="149">
        <f>IF(D249&gt;0.005,I249/Mortgage!$B$5,"")</f>
        <v/>
      </c>
      <c r="U249">
        <f>IF(A249&gt;Mortgage!$B$8*12,NA(),B249)</f>
        <v/>
      </c>
      <c r="V249">
        <f>IF(D249&gt;0.005,I249,NA())</f>
        <v/>
      </c>
      <c r="W249">
        <f>IF(A249&gt;Mortgage!$B$8*12,NA(),S249)</f>
        <v/>
      </c>
    </row>
    <row r="250">
      <c r="A250" s="129" t="n">
        <v>245</v>
      </c>
      <c r="B250" s="146">
        <f>EDATE(Mortgage!$B$9,A250-1)</f>
        <v/>
      </c>
      <c r="C250" s="129">
        <f>INT((A250-1)/12)+1</f>
        <v/>
      </c>
      <c r="D250" s="147">
        <f>IF(N(I249)&gt;0.005,I249,0)</f>
        <v/>
      </c>
      <c r="E250" s="147">
        <f>IF(D250&gt;0.005,D250*Mortgage!$B$7/12,0)</f>
        <v/>
      </c>
      <c r="F250" s="147">
        <f>IF(D250&gt;0.005,MIN(Mortgage!$H$8-E250,D250),0)</f>
        <v/>
      </c>
      <c r="G250" s="147">
        <f>IF(D250-F250&gt;0.005,MIN(D250-F250,Mortgage!$B$18+IF(MONTH(B250)=Mortgage!$B$20,Mortgage!$B$19,0)+SUMIFS(Mortgage!$E$6:$E$15,Mortgage!$D$6:$D$15,"&gt;="&amp;B250,Mortgage!$D$6:$D$15,"&lt;"&amp;EDATE(B250,1))+IF(Mortgage!$B$10="Bi-weekly (accelerated)",Mortgage!$H$8/12,0)),0)</f>
        <v/>
      </c>
      <c r="H250" s="147">
        <f>F250+G250</f>
        <v/>
      </c>
      <c r="I250" s="148">
        <f>D250-H250</f>
        <v/>
      </c>
      <c r="J250" s="147">
        <f>E250+F250+G250</f>
        <v/>
      </c>
      <c r="K250" s="147">
        <f>IF(AND(D250&gt;0.005,Mortgage!$H$7&gt;0.8,D250/Mortgage!$B$5&gt;Mortgage!$B$14),Mortgage!$H$5*Mortgage!$B$13/12,0)</f>
        <v/>
      </c>
      <c r="L250" s="147">
        <f>IF(D250&gt;0.005,Mortgage!$B$11/12*(1+Mortgage!$B$16)^(C250-1),0)</f>
        <v/>
      </c>
      <c r="M250" s="147">
        <f>IF(D250&gt;0.005,Mortgage!$B$12/12*(1+Mortgage!$B$16)^(C250-1),0)</f>
        <v/>
      </c>
      <c r="N250" s="147">
        <f>IF(D250&gt;0.005,Mortgage!$B$15,0)</f>
        <v/>
      </c>
      <c r="O250" s="147">
        <f>J250+K250+L250+M250+N250</f>
        <v/>
      </c>
      <c r="P250" s="147">
        <f>P249+E250</f>
        <v/>
      </c>
      <c r="Q250" s="147">
        <f>IF(D250&gt;0.005,Mortgage!$B$5*(1+Mortgage!$B$17)^(A250/12),"")</f>
        <v/>
      </c>
      <c r="R250" s="147">
        <f>IF(D250&gt;0.005,Q250-I250,"")</f>
        <v/>
      </c>
      <c r="S250" s="147">
        <f>IF(A250&gt;Mortgage!$B$8*12,0,IF(Mortgage!$B$7=0,MAX(0,Mortgage!$H$5-Mortgage!$H$8*A250),MAX(0,Mortgage!$H$5*(1+(Mortgage!$B$7/12))^A250-Mortgage!$H$8*((1+(Mortgage!$B$7/12))^A250-1)/(Mortgage!$B$7/12))))</f>
        <v/>
      </c>
      <c r="T250" s="149">
        <f>IF(D250&gt;0.005,I250/Mortgage!$B$5,"")</f>
        <v/>
      </c>
      <c r="U250">
        <f>IF(A250&gt;Mortgage!$B$8*12,NA(),B250)</f>
        <v/>
      </c>
      <c r="V250">
        <f>IF(D250&gt;0.005,I250,NA())</f>
        <v/>
      </c>
      <c r="W250">
        <f>IF(A250&gt;Mortgage!$B$8*12,NA(),S250)</f>
        <v/>
      </c>
    </row>
    <row r="251">
      <c r="A251" s="129" t="n">
        <v>246</v>
      </c>
      <c r="B251" s="146">
        <f>EDATE(Mortgage!$B$9,A251-1)</f>
        <v/>
      </c>
      <c r="C251" s="129">
        <f>INT((A251-1)/12)+1</f>
        <v/>
      </c>
      <c r="D251" s="147">
        <f>IF(N(I250)&gt;0.005,I250,0)</f>
        <v/>
      </c>
      <c r="E251" s="147">
        <f>IF(D251&gt;0.005,D251*Mortgage!$B$7/12,0)</f>
        <v/>
      </c>
      <c r="F251" s="147">
        <f>IF(D251&gt;0.005,MIN(Mortgage!$H$8-E251,D251),0)</f>
        <v/>
      </c>
      <c r="G251" s="147">
        <f>IF(D251-F251&gt;0.005,MIN(D251-F251,Mortgage!$B$18+IF(MONTH(B251)=Mortgage!$B$20,Mortgage!$B$19,0)+SUMIFS(Mortgage!$E$6:$E$15,Mortgage!$D$6:$D$15,"&gt;="&amp;B251,Mortgage!$D$6:$D$15,"&lt;"&amp;EDATE(B251,1))+IF(Mortgage!$B$10="Bi-weekly (accelerated)",Mortgage!$H$8/12,0)),0)</f>
        <v/>
      </c>
      <c r="H251" s="147">
        <f>F251+G251</f>
        <v/>
      </c>
      <c r="I251" s="148">
        <f>D251-H251</f>
        <v/>
      </c>
      <c r="J251" s="147">
        <f>E251+F251+G251</f>
        <v/>
      </c>
      <c r="K251" s="147">
        <f>IF(AND(D251&gt;0.005,Mortgage!$H$7&gt;0.8,D251/Mortgage!$B$5&gt;Mortgage!$B$14),Mortgage!$H$5*Mortgage!$B$13/12,0)</f>
        <v/>
      </c>
      <c r="L251" s="147">
        <f>IF(D251&gt;0.005,Mortgage!$B$11/12*(1+Mortgage!$B$16)^(C251-1),0)</f>
        <v/>
      </c>
      <c r="M251" s="147">
        <f>IF(D251&gt;0.005,Mortgage!$B$12/12*(1+Mortgage!$B$16)^(C251-1),0)</f>
        <v/>
      </c>
      <c r="N251" s="147">
        <f>IF(D251&gt;0.005,Mortgage!$B$15,0)</f>
        <v/>
      </c>
      <c r="O251" s="147">
        <f>J251+K251+L251+M251+N251</f>
        <v/>
      </c>
      <c r="P251" s="147">
        <f>P250+E251</f>
        <v/>
      </c>
      <c r="Q251" s="147">
        <f>IF(D251&gt;0.005,Mortgage!$B$5*(1+Mortgage!$B$17)^(A251/12),"")</f>
        <v/>
      </c>
      <c r="R251" s="147">
        <f>IF(D251&gt;0.005,Q251-I251,"")</f>
        <v/>
      </c>
      <c r="S251" s="147">
        <f>IF(A251&gt;Mortgage!$B$8*12,0,IF(Mortgage!$B$7=0,MAX(0,Mortgage!$H$5-Mortgage!$H$8*A251),MAX(0,Mortgage!$H$5*(1+(Mortgage!$B$7/12))^A251-Mortgage!$H$8*((1+(Mortgage!$B$7/12))^A251-1)/(Mortgage!$B$7/12))))</f>
        <v/>
      </c>
      <c r="T251" s="149">
        <f>IF(D251&gt;0.005,I251/Mortgage!$B$5,"")</f>
        <v/>
      </c>
      <c r="U251">
        <f>IF(A251&gt;Mortgage!$B$8*12,NA(),B251)</f>
        <v/>
      </c>
      <c r="V251">
        <f>IF(D251&gt;0.005,I251,NA())</f>
        <v/>
      </c>
      <c r="W251">
        <f>IF(A251&gt;Mortgage!$B$8*12,NA(),S251)</f>
        <v/>
      </c>
    </row>
    <row r="252">
      <c r="A252" s="129" t="n">
        <v>247</v>
      </c>
      <c r="B252" s="146">
        <f>EDATE(Mortgage!$B$9,A252-1)</f>
        <v/>
      </c>
      <c r="C252" s="129">
        <f>INT((A252-1)/12)+1</f>
        <v/>
      </c>
      <c r="D252" s="147">
        <f>IF(N(I251)&gt;0.005,I251,0)</f>
        <v/>
      </c>
      <c r="E252" s="147">
        <f>IF(D252&gt;0.005,D252*Mortgage!$B$7/12,0)</f>
        <v/>
      </c>
      <c r="F252" s="147">
        <f>IF(D252&gt;0.005,MIN(Mortgage!$H$8-E252,D252),0)</f>
        <v/>
      </c>
      <c r="G252" s="147">
        <f>IF(D252-F252&gt;0.005,MIN(D252-F252,Mortgage!$B$18+IF(MONTH(B252)=Mortgage!$B$20,Mortgage!$B$19,0)+SUMIFS(Mortgage!$E$6:$E$15,Mortgage!$D$6:$D$15,"&gt;="&amp;B252,Mortgage!$D$6:$D$15,"&lt;"&amp;EDATE(B252,1))+IF(Mortgage!$B$10="Bi-weekly (accelerated)",Mortgage!$H$8/12,0)),0)</f>
        <v/>
      </c>
      <c r="H252" s="147">
        <f>F252+G252</f>
        <v/>
      </c>
      <c r="I252" s="148">
        <f>D252-H252</f>
        <v/>
      </c>
      <c r="J252" s="147">
        <f>E252+F252+G252</f>
        <v/>
      </c>
      <c r="K252" s="147">
        <f>IF(AND(D252&gt;0.005,Mortgage!$H$7&gt;0.8,D252/Mortgage!$B$5&gt;Mortgage!$B$14),Mortgage!$H$5*Mortgage!$B$13/12,0)</f>
        <v/>
      </c>
      <c r="L252" s="147">
        <f>IF(D252&gt;0.005,Mortgage!$B$11/12*(1+Mortgage!$B$16)^(C252-1),0)</f>
        <v/>
      </c>
      <c r="M252" s="147">
        <f>IF(D252&gt;0.005,Mortgage!$B$12/12*(1+Mortgage!$B$16)^(C252-1),0)</f>
        <v/>
      </c>
      <c r="N252" s="147">
        <f>IF(D252&gt;0.005,Mortgage!$B$15,0)</f>
        <v/>
      </c>
      <c r="O252" s="147">
        <f>J252+K252+L252+M252+N252</f>
        <v/>
      </c>
      <c r="P252" s="147">
        <f>P251+E252</f>
        <v/>
      </c>
      <c r="Q252" s="147">
        <f>IF(D252&gt;0.005,Mortgage!$B$5*(1+Mortgage!$B$17)^(A252/12),"")</f>
        <v/>
      </c>
      <c r="R252" s="147">
        <f>IF(D252&gt;0.005,Q252-I252,"")</f>
        <v/>
      </c>
      <c r="S252" s="147">
        <f>IF(A252&gt;Mortgage!$B$8*12,0,IF(Mortgage!$B$7=0,MAX(0,Mortgage!$H$5-Mortgage!$H$8*A252),MAX(0,Mortgage!$H$5*(1+(Mortgage!$B$7/12))^A252-Mortgage!$H$8*((1+(Mortgage!$B$7/12))^A252-1)/(Mortgage!$B$7/12))))</f>
        <v/>
      </c>
      <c r="T252" s="149">
        <f>IF(D252&gt;0.005,I252/Mortgage!$B$5,"")</f>
        <v/>
      </c>
      <c r="U252">
        <f>IF(A252&gt;Mortgage!$B$8*12,NA(),B252)</f>
        <v/>
      </c>
      <c r="V252">
        <f>IF(D252&gt;0.005,I252,NA())</f>
        <v/>
      </c>
      <c r="W252">
        <f>IF(A252&gt;Mortgage!$B$8*12,NA(),S252)</f>
        <v/>
      </c>
    </row>
    <row r="253">
      <c r="A253" s="129" t="n">
        <v>248</v>
      </c>
      <c r="B253" s="146">
        <f>EDATE(Mortgage!$B$9,A253-1)</f>
        <v/>
      </c>
      <c r="C253" s="129">
        <f>INT((A253-1)/12)+1</f>
        <v/>
      </c>
      <c r="D253" s="147">
        <f>IF(N(I252)&gt;0.005,I252,0)</f>
        <v/>
      </c>
      <c r="E253" s="147">
        <f>IF(D253&gt;0.005,D253*Mortgage!$B$7/12,0)</f>
        <v/>
      </c>
      <c r="F253" s="147">
        <f>IF(D253&gt;0.005,MIN(Mortgage!$H$8-E253,D253),0)</f>
        <v/>
      </c>
      <c r="G253" s="147">
        <f>IF(D253-F253&gt;0.005,MIN(D253-F253,Mortgage!$B$18+IF(MONTH(B253)=Mortgage!$B$20,Mortgage!$B$19,0)+SUMIFS(Mortgage!$E$6:$E$15,Mortgage!$D$6:$D$15,"&gt;="&amp;B253,Mortgage!$D$6:$D$15,"&lt;"&amp;EDATE(B253,1))+IF(Mortgage!$B$10="Bi-weekly (accelerated)",Mortgage!$H$8/12,0)),0)</f>
        <v/>
      </c>
      <c r="H253" s="147">
        <f>F253+G253</f>
        <v/>
      </c>
      <c r="I253" s="148">
        <f>D253-H253</f>
        <v/>
      </c>
      <c r="J253" s="147">
        <f>E253+F253+G253</f>
        <v/>
      </c>
      <c r="K253" s="147">
        <f>IF(AND(D253&gt;0.005,Mortgage!$H$7&gt;0.8,D253/Mortgage!$B$5&gt;Mortgage!$B$14),Mortgage!$H$5*Mortgage!$B$13/12,0)</f>
        <v/>
      </c>
      <c r="L253" s="147">
        <f>IF(D253&gt;0.005,Mortgage!$B$11/12*(1+Mortgage!$B$16)^(C253-1),0)</f>
        <v/>
      </c>
      <c r="M253" s="147">
        <f>IF(D253&gt;0.005,Mortgage!$B$12/12*(1+Mortgage!$B$16)^(C253-1),0)</f>
        <v/>
      </c>
      <c r="N253" s="147">
        <f>IF(D253&gt;0.005,Mortgage!$B$15,0)</f>
        <v/>
      </c>
      <c r="O253" s="147">
        <f>J253+K253+L253+M253+N253</f>
        <v/>
      </c>
      <c r="P253" s="147">
        <f>P252+E253</f>
        <v/>
      </c>
      <c r="Q253" s="147">
        <f>IF(D253&gt;0.005,Mortgage!$B$5*(1+Mortgage!$B$17)^(A253/12),"")</f>
        <v/>
      </c>
      <c r="R253" s="147">
        <f>IF(D253&gt;0.005,Q253-I253,"")</f>
        <v/>
      </c>
      <c r="S253" s="147">
        <f>IF(A253&gt;Mortgage!$B$8*12,0,IF(Mortgage!$B$7=0,MAX(0,Mortgage!$H$5-Mortgage!$H$8*A253),MAX(0,Mortgage!$H$5*(1+(Mortgage!$B$7/12))^A253-Mortgage!$H$8*((1+(Mortgage!$B$7/12))^A253-1)/(Mortgage!$B$7/12))))</f>
        <v/>
      </c>
      <c r="T253" s="149">
        <f>IF(D253&gt;0.005,I253/Mortgage!$B$5,"")</f>
        <v/>
      </c>
      <c r="U253">
        <f>IF(A253&gt;Mortgage!$B$8*12,NA(),B253)</f>
        <v/>
      </c>
      <c r="V253">
        <f>IF(D253&gt;0.005,I253,NA())</f>
        <v/>
      </c>
      <c r="W253">
        <f>IF(A253&gt;Mortgage!$B$8*12,NA(),S253)</f>
        <v/>
      </c>
    </row>
    <row r="254">
      <c r="A254" s="129" t="n">
        <v>249</v>
      </c>
      <c r="B254" s="146">
        <f>EDATE(Mortgage!$B$9,A254-1)</f>
        <v/>
      </c>
      <c r="C254" s="129">
        <f>INT((A254-1)/12)+1</f>
        <v/>
      </c>
      <c r="D254" s="147">
        <f>IF(N(I253)&gt;0.005,I253,0)</f>
        <v/>
      </c>
      <c r="E254" s="147">
        <f>IF(D254&gt;0.005,D254*Mortgage!$B$7/12,0)</f>
        <v/>
      </c>
      <c r="F254" s="147">
        <f>IF(D254&gt;0.005,MIN(Mortgage!$H$8-E254,D254),0)</f>
        <v/>
      </c>
      <c r="G254" s="147">
        <f>IF(D254-F254&gt;0.005,MIN(D254-F254,Mortgage!$B$18+IF(MONTH(B254)=Mortgage!$B$20,Mortgage!$B$19,0)+SUMIFS(Mortgage!$E$6:$E$15,Mortgage!$D$6:$D$15,"&gt;="&amp;B254,Mortgage!$D$6:$D$15,"&lt;"&amp;EDATE(B254,1))+IF(Mortgage!$B$10="Bi-weekly (accelerated)",Mortgage!$H$8/12,0)),0)</f>
        <v/>
      </c>
      <c r="H254" s="147">
        <f>F254+G254</f>
        <v/>
      </c>
      <c r="I254" s="148">
        <f>D254-H254</f>
        <v/>
      </c>
      <c r="J254" s="147">
        <f>E254+F254+G254</f>
        <v/>
      </c>
      <c r="K254" s="147">
        <f>IF(AND(D254&gt;0.005,Mortgage!$H$7&gt;0.8,D254/Mortgage!$B$5&gt;Mortgage!$B$14),Mortgage!$H$5*Mortgage!$B$13/12,0)</f>
        <v/>
      </c>
      <c r="L254" s="147">
        <f>IF(D254&gt;0.005,Mortgage!$B$11/12*(1+Mortgage!$B$16)^(C254-1),0)</f>
        <v/>
      </c>
      <c r="M254" s="147">
        <f>IF(D254&gt;0.005,Mortgage!$B$12/12*(1+Mortgage!$B$16)^(C254-1),0)</f>
        <v/>
      </c>
      <c r="N254" s="147">
        <f>IF(D254&gt;0.005,Mortgage!$B$15,0)</f>
        <v/>
      </c>
      <c r="O254" s="147">
        <f>J254+K254+L254+M254+N254</f>
        <v/>
      </c>
      <c r="P254" s="147">
        <f>P253+E254</f>
        <v/>
      </c>
      <c r="Q254" s="147">
        <f>IF(D254&gt;0.005,Mortgage!$B$5*(1+Mortgage!$B$17)^(A254/12),"")</f>
        <v/>
      </c>
      <c r="R254" s="147">
        <f>IF(D254&gt;0.005,Q254-I254,"")</f>
        <v/>
      </c>
      <c r="S254" s="147">
        <f>IF(A254&gt;Mortgage!$B$8*12,0,IF(Mortgage!$B$7=0,MAX(0,Mortgage!$H$5-Mortgage!$H$8*A254),MAX(0,Mortgage!$H$5*(1+(Mortgage!$B$7/12))^A254-Mortgage!$H$8*((1+(Mortgage!$B$7/12))^A254-1)/(Mortgage!$B$7/12))))</f>
        <v/>
      </c>
      <c r="T254" s="149">
        <f>IF(D254&gt;0.005,I254/Mortgage!$B$5,"")</f>
        <v/>
      </c>
      <c r="U254">
        <f>IF(A254&gt;Mortgage!$B$8*12,NA(),B254)</f>
        <v/>
      </c>
      <c r="V254">
        <f>IF(D254&gt;0.005,I254,NA())</f>
        <v/>
      </c>
      <c r="W254">
        <f>IF(A254&gt;Mortgage!$B$8*12,NA(),S254)</f>
        <v/>
      </c>
    </row>
    <row r="255">
      <c r="A255" s="129" t="n">
        <v>250</v>
      </c>
      <c r="B255" s="146">
        <f>EDATE(Mortgage!$B$9,A255-1)</f>
        <v/>
      </c>
      <c r="C255" s="129">
        <f>INT((A255-1)/12)+1</f>
        <v/>
      </c>
      <c r="D255" s="147">
        <f>IF(N(I254)&gt;0.005,I254,0)</f>
        <v/>
      </c>
      <c r="E255" s="147">
        <f>IF(D255&gt;0.005,D255*Mortgage!$B$7/12,0)</f>
        <v/>
      </c>
      <c r="F255" s="147">
        <f>IF(D255&gt;0.005,MIN(Mortgage!$H$8-E255,D255),0)</f>
        <v/>
      </c>
      <c r="G255" s="147">
        <f>IF(D255-F255&gt;0.005,MIN(D255-F255,Mortgage!$B$18+IF(MONTH(B255)=Mortgage!$B$20,Mortgage!$B$19,0)+SUMIFS(Mortgage!$E$6:$E$15,Mortgage!$D$6:$D$15,"&gt;="&amp;B255,Mortgage!$D$6:$D$15,"&lt;"&amp;EDATE(B255,1))+IF(Mortgage!$B$10="Bi-weekly (accelerated)",Mortgage!$H$8/12,0)),0)</f>
        <v/>
      </c>
      <c r="H255" s="147">
        <f>F255+G255</f>
        <v/>
      </c>
      <c r="I255" s="148">
        <f>D255-H255</f>
        <v/>
      </c>
      <c r="J255" s="147">
        <f>E255+F255+G255</f>
        <v/>
      </c>
      <c r="K255" s="147">
        <f>IF(AND(D255&gt;0.005,Mortgage!$H$7&gt;0.8,D255/Mortgage!$B$5&gt;Mortgage!$B$14),Mortgage!$H$5*Mortgage!$B$13/12,0)</f>
        <v/>
      </c>
      <c r="L255" s="147">
        <f>IF(D255&gt;0.005,Mortgage!$B$11/12*(1+Mortgage!$B$16)^(C255-1),0)</f>
        <v/>
      </c>
      <c r="M255" s="147">
        <f>IF(D255&gt;0.005,Mortgage!$B$12/12*(1+Mortgage!$B$16)^(C255-1),0)</f>
        <v/>
      </c>
      <c r="N255" s="147">
        <f>IF(D255&gt;0.005,Mortgage!$B$15,0)</f>
        <v/>
      </c>
      <c r="O255" s="147">
        <f>J255+K255+L255+M255+N255</f>
        <v/>
      </c>
      <c r="P255" s="147">
        <f>P254+E255</f>
        <v/>
      </c>
      <c r="Q255" s="147">
        <f>IF(D255&gt;0.005,Mortgage!$B$5*(1+Mortgage!$B$17)^(A255/12),"")</f>
        <v/>
      </c>
      <c r="R255" s="147">
        <f>IF(D255&gt;0.005,Q255-I255,"")</f>
        <v/>
      </c>
      <c r="S255" s="147">
        <f>IF(A255&gt;Mortgage!$B$8*12,0,IF(Mortgage!$B$7=0,MAX(0,Mortgage!$H$5-Mortgage!$H$8*A255),MAX(0,Mortgage!$H$5*(1+(Mortgage!$B$7/12))^A255-Mortgage!$H$8*((1+(Mortgage!$B$7/12))^A255-1)/(Mortgage!$B$7/12))))</f>
        <v/>
      </c>
      <c r="T255" s="149">
        <f>IF(D255&gt;0.005,I255/Mortgage!$B$5,"")</f>
        <v/>
      </c>
      <c r="U255">
        <f>IF(A255&gt;Mortgage!$B$8*12,NA(),B255)</f>
        <v/>
      </c>
      <c r="V255">
        <f>IF(D255&gt;0.005,I255,NA())</f>
        <v/>
      </c>
      <c r="W255">
        <f>IF(A255&gt;Mortgage!$B$8*12,NA(),S255)</f>
        <v/>
      </c>
    </row>
    <row r="256">
      <c r="A256" s="129" t="n">
        <v>251</v>
      </c>
      <c r="B256" s="146">
        <f>EDATE(Mortgage!$B$9,A256-1)</f>
        <v/>
      </c>
      <c r="C256" s="129">
        <f>INT((A256-1)/12)+1</f>
        <v/>
      </c>
      <c r="D256" s="147">
        <f>IF(N(I255)&gt;0.005,I255,0)</f>
        <v/>
      </c>
      <c r="E256" s="147">
        <f>IF(D256&gt;0.005,D256*Mortgage!$B$7/12,0)</f>
        <v/>
      </c>
      <c r="F256" s="147">
        <f>IF(D256&gt;0.005,MIN(Mortgage!$H$8-E256,D256),0)</f>
        <v/>
      </c>
      <c r="G256" s="147">
        <f>IF(D256-F256&gt;0.005,MIN(D256-F256,Mortgage!$B$18+IF(MONTH(B256)=Mortgage!$B$20,Mortgage!$B$19,0)+SUMIFS(Mortgage!$E$6:$E$15,Mortgage!$D$6:$D$15,"&gt;="&amp;B256,Mortgage!$D$6:$D$15,"&lt;"&amp;EDATE(B256,1))+IF(Mortgage!$B$10="Bi-weekly (accelerated)",Mortgage!$H$8/12,0)),0)</f>
        <v/>
      </c>
      <c r="H256" s="147">
        <f>F256+G256</f>
        <v/>
      </c>
      <c r="I256" s="148">
        <f>D256-H256</f>
        <v/>
      </c>
      <c r="J256" s="147">
        <f>E256+F256+G256</f>
        <v/>
      </c>
      <c r="K256" s="147">
        <f>IF(AND(D256&gt;0.005,Mortgage!$H$7&gt;0.8,D256/Mortgage!$B$5&gt;Mortgage!$B$14),Mortgage!$H$5*Mortgage!$B$13/12,0)</f>
        <v/>
      </c>
      <c r="L256" s="147">
        <f>IF(D256&gt;0.005,Mortgage!$B$11/12*(1+Mortgage!$B$16)^(C256-1),0)</f>
        <v/>
      </c>
      <c r="M256" s="147">
        <f>IF(D256&gt;0.005,Mortgage!$B$12/12*(1+Mortgage!$B$16)^(C256-1),0)</f>
        <v/>
      </c>
      <c r="N256" s="147">
        <f>IF(D256&gt;0.005,Mortgage!$B$15,0)</f>
        <v/>
      </c>
      <c r="O256" s="147">
        <f>J256+K256+L256+M256+N256</f>
        <v/>
      </c>
      <c r="P256" s="147">
        <f>P255+E256</f>
        <v/>
      </c>
      <c r="Q256" s="147">
        <f>IF(D256&gt;0.005,Mortgage!$B$5*(1+Mortgage!$B$17)^(A256/12),"")</f>
        <v/>
      </c>
      <c r="R256" s="147">
        <f>IF(D256&gt;0.005,Q256-I256,"")</f>
        <v/>
      </c>
      <c r="S256" s="147">
        <f>IF(A256&gt;Mortgage!$B$8*12,0,IF(Mortgage!$B$7=0,MAX(0,Mortgage!$H$5-Mortgage!$H$8*A256),MAX(0,Mortgage!$H$5*(1+(Mortgage!$B$7/12))^A256-Mortgage!$H$8*((1+(Mortgage!$B$7/12))^A256-1)/(Mortgage!$B$7/12))))</f>
        <v/>
      </c>
      <c r="T256" s="149">
        <f>IF(D256&gt;0.005,I256/Mortgage!$B$5,"")</f>
        <v/>
      </c>
      <c r="U256">
        <f>IF(A256&gt;Mortgage!$B$8*12,NA(),B256)</f>
        <v/>
      </c>
      <c r="V256">
        <f>IF(D256&gt;0.005,I256,NA())</f>
        <v/>
      </c>
      <c r="W256">
        <f>IF(A256&gt;Mortgage!$B$8*12,NA(),S256)</f>
        <v/>
      </c>
    </row>
    <row r="257">
      <c r="A257" s="129" t="n">
        <v>252</v>
      </c>
      <c r="B257" s="146">
        <f>EDATE(Mortgage!$B$9,A257-1)</f>
        <v/>
      </c>
      <c r="C257" s="129">
        <f>INT((A257-1)/12)+1</f>
        <v/>
      </c>
      <c r="D257" s="147">
        <f>IF(N(I256)&gt;0.005,I256,0)</f>
        <v/>
      </c>
      <c r="E257" s="147">
        <f>IF(D257&gt;0.005,D257*Mortgage!$B$7/12,0)</f>
        <v/>
      </c>
      <c r="F257" s="147">
        <f>IF(D257&gt;0.005,MIN(Mortgage!$H$8-E257,D257),0)</f>
        <v/>
      </c>
      <c r="G257" s="147">
        <f>IF(D257-F257&gt;0.005,MIN(D257-F257,Mortgage!$B$18+IF(MONTH(B257)=Mortgage!$B$20,Mortgage!$B$19,0)+SUMIFS(Mortgage!$E$6:$E$15,Mortgage!$D$6:$D$15,"&gt;="&amp;B257,Mortgage!$D$6:$D$15,"&lt;"&amp;EDATE(B257,1))+IF(Mortgage!$B$10="Bi-weekly (accelerated)",Mortgage!$H$8/12,0)),0)</f>
        <v/>
      </c>
      <c r="H257" s="147">
        <f>F257+G257</f>
        <v/>
      </c>
      <c r="I257" s="148">
        <f>D257-H257</f>
        <v/>
      </c>
      <c r="J257" s="147">
        <f>E257+F257+G257</f>
        <v/>
      </c>
      <c r="K257" s="147">
        <f>IF(AND(D257&gt;0.005,Mortgage!$H$7&gt;0.8,D257/Mortgage!$B$5&gt;Mortgage!$B$14),Mortgage!$H$5*Mortgage!$B$13/12,0)</f>
        <v/>
      </c>
      <c r="L257" s="147">
        <f>IF(D257&gt;0.005,Mortgage!$B$11/12*(1+Mortgage!$B$16)^(C257-1),0)</f>
        <v/>
      </c>
      <c r="M257" s="147">
        <f>IF(D257&gt;0.005,Mortgage!$B$12/12*(1+Mortgage!$B$16)^(C257-1),0)</f>
        <v/>
      </c>
      <c r="N257" s="147">
        <f>IF(D257&gt;0.005,Mortgage!$B$15,0)</f>
        <v/>
      </c>
      <c r="O257" s="147">
        <f>J257+K257+L257+M257+N257</f>
        <v/>
      </c>
      <c r="P257" s="147">
        <f>P256+E257</f>
        <v/>
      </c>
      <c r="Q257" s="147">
        <f>IF(D257&gt;0.005,Mortgage!$B$5*(1+Mortgage!$B$17)^(A257/12),"")</f>
        <v/>
      </c>
      <c r="R257" s="147">
        <f>IF(D257&gt;0.005,Q257-I257,"")</f>
        <v/>
      </c>
      <c r="S257" s="147">
        <f>IF(A257&gt;Mortgage!$B$8*12,0,IF(Mortgage!$B$7=0,MAX(0,Mortgage!$H$5-Mortgage!$H$8*A257),MAX(0,Mortgage!$H$5*(1+(Mortgage!$B$7/12))^A257-Mortgage!$H$8*((1+(Mortgage!$B$7/12))^A257-1)/(Mortgage!$B$7/12))))</f>
        <v/>
      </c>
      <c r="T257" s="149">
        <f>IF(D257&gt;0.005,I257/Mortgage!$B$5,"")</f>
        <v/>
      </c>
      <c r="U257">
        <f>IF(A257&gt;Mortgage!$B$8*12,NA(),B257)</f>
        <v/>
      </c>
      <c r="V257">
        <f>IF(D257&gt;0.005,I257,NA())</f>
        <v/>
      </c>
      <c r="W257">
        <f>IF(A257&gt;Mortgage!$B$8*12,NA(),S257)</f>
        <v/>
      </c>
    </row>
    <row r="258">
      <c r="A258" s="129" t="n">
        <v>253</v>
      </c>
      <c r="B258" s="146">
        <f>EDATE(Mortgage!$B$9,A258-1)</f>
        <v/>
      </c>
      <c r="C258" s="129">
        <f>INT((A258-1)/12)+1</f>
        <v/>
      </c>
      <c r="D258" s="147">
        <f>IF(N(I257)&gt;0.005,I257,0)</f>
        <v/>
      </c>
      <c r="E258" s="147">
        <f>IF(D258&gt;0.005,D258*Mortgage!$B$7/12,0)</f>
        <v/>
      </c>
      <c r="F258" s="147">
        <f>IF(D258&gt;0.005,MIN(Mortgage!$H$8-E258,D258),0)</f>
        <v/>
      </c>
      <c r="G258" s="147">
        <f>IF(D258-F258&gt;0.005,MIN(D258-F258,Mortgage!$B$18+IF(MONTH(B258)=Mortgage!$B$20,Mortgage!$B$19,0)+SUMIFS(Mortgage!$E$6:$E$15,Mortgage!$D$6:$D$15,"&gt;="&amp;B258,Mortgage!$D$6:$D$15,"&lt;"&amp;EDATE(B258,1))+IF(Mortgage!$B$10="Bi-weekly (accelerated)",Mortgage!$H$8/12,0)),0)</f>
        <v/>
      </c>
      <c r="H258" s="147">
        <f>F258+G258</f>
        <v/>
      </c>
      <c r="I258" s="148">
        <f>D258-H258</f>
        <v/>
      </c>
      <c r="J258" s="147">
        <f>E258+F258+G258</f>
        <v/>
      </c>
      <c r="K258" s="147">
        <f>IF(AND(D258&gt;0.005,Mortgage!$H$7&gt;0.8,D258/Mortgage!$B$5&gt;Mortgage!$B$14),Mortgage!$H$5*Mortgage!$B$13/12,0)</f>
        <v/>
      </c>
      <c r="L258" s="147">
        <f>IF(D258&gt;0.005,Mortgage!$B$11/12*(1+Mortgage!$B$16)^(C258-1),0)</f>
        <v/>
      </c>
      <c r="M258" s="147">
        <f>IF(D258&gt;0.005,Mortgage!$B$12/12*(1+Mortgage!$B$16)^(C258-1),0)</f>
        <v/>
      </c>
      <c r="N258" s="147">
        <f>IF(D258&gt;0.005,Mortgage!$B$15,0)</f>
        <v/>
      </c>
      <c r="O258" s="147">
        <f>J258+K258+L258+M258+N258</f>
        <v/>
      </c>
      <c r="P258" s="147">
        <f>P257+E258</f>
        <v/>
      </c>
      <c r="Q258" s="147">
        <f>IF(D258&gt;0.005,Mortgage!$B$5*(1+Mortgage!$B$17)^(A258/12),"")</f>
        <v/>
      </c>
      <c r="R258" s="147">
        <f>IF(D258&gt;0.005,Q258-I258,"")</f>
        <v/>
      </c>
      <c r="S258" s="147">
        <f>IF(A258&gt;Mortgage!$B$8*12,0,IF(Mortgage!$B$7=0,MAX(0,Mortgage!$H$5-Mortgage!$H$8*A258),MAX(0,Mortgage!$H$5*(1+(Mortgage!$B$7/12))^A258-Mortgage!$H$8*((1+(Mortgage!$B$7/12))^A258-1)/(Mortgage!$B$7/12))))</f>
        <v/>
      </c>
      <c r="T258" s="149">
        <f>IF(D258&gt;0.005,I258/Mortgage!$B$5,"")</f>
        <v/>
      </c>
      <c r="U258">
        <f>IF(A258&gt;Mortgage!$B$8*12,NA(),B258)</f>
        <v/>
      </c>
      <c r="V258">
        <f>IF(D258&gt;0.005,I258,NA())</f>
        <v/>
      </c>
      <c r="W258">
        <f>IF(A258&gt;Mortgage!$B$8*12,NA(),S258)</f>
        <v/>
      </c>
    </row>
    <row r="259">
      <c r="A259" s="129" t="n">
        <v>254</v>
      </c>
      <c r="B259" s="146">
        <f>EDATE(Mortgage!$B$9,A259-1)</f>
        <v/>
      </c>
      <c r="C259" s="129">
        <f>INT((A259-1)/12)+1</f>
        <v/>
      </c>
      <c r="D259" s="147">
        <f>IF(N(I258)&gt;0.005,I258,0)</f>
        <v/>
      </c>
      <c r="E259" s="147">
        <f>IF(D259&gt;0.005,D259*Mortgage!$B$7/12,0)</f>
        <v/>
      </c>
      <c r="F259" s="147">
        <f>IF(D259&gt;0.005,MIN(Mortgage!$H$8-E259,D259),0)</f>
        <v/>
      </c>
      <c r="G259" s="147">
        <f>IF(D259-F259&gt;0.005,MIN(D259-F259,Mortgage!$B$18+IF(MONTH(B259)=Mortgage!$B$20,Mortgage!$B$19,0)+SUMIFS(Mortgage!$E$6:$E$15,Mortgage!$D$6:$D$15,"&gt;="&amp;B259,Mortgage!$D$6:$D$15,"&lt;"&amp;EDATE(B259,1))+IF(Mortgage!$B$10="Bi-weekly (accelerated)",Mortgage!$H$8/12,0)),0)</f>
        <v/>
      </c>
      <c r="H259" s="147">
        <f>F259+G259</f>
        <v/>
      </c>
      <c r="I259" s="148">
        <f>D259-H259</f>
        <v/>
      </c>
      <c r="J259" s="147">
        <f>E259+F259+G259</f>
        <v/>
      </c>
      <c r="K259" s="147">
        <f>IF(AND(D259&gt;0.005,Mortgage!$H$7&gt;0.8,D259/Mortgage!$B$5&gt;Mortgage!$B$14),Mortgage!$H$5*Mortgage!$B$13/12,0)</f>
        <v/>
      </c>
      <c r="L259" s="147">
        <f>IF(D259&gt;0.005,Mortgage!$B$11/12*(1+Mortgage!$B$16)^(C259-1),0)</f>
        <v/>
      </c>
      <c r="M259" s="147">
        <f>IF(D259&gt;0.005,Mortgage!$B$12/12*(1+Mortgage!$B$16)^(C259-1),0)</f>
        <v/>
      </c>
      <c r="N259" s="147">
        <f>IF(D259&gt;0.005,Mortgage!$B$15,0)</f>
        <v/>
      </c>
      <c r="O259" s="147">
        <f>J259+K259+L259+M259+N259</f>
        <v/>
      </c>
      <c r="P259" s="147">
        <f>P258+E259</f>
        <v/>
      </c>
      <c r="Q259" s="147">
        <f>IF(D259&gt;0.005,Mortgage!$B$5*(1+Mortgage!$B$17)^(A259/12),"")</f>
        <v/>
      </c>
      <c r="R259" s="147">
        <f>IF(D259&gt;0.005,Q259-I259,"")</f>
        <v/>
      </c>
      <c r="S259" s="147">
        <f>IF(A259&gt;Mortgage!$B$8*12,0,IF(Mortgage!$B$7=0,MAX(0,Mortgage!$H$5-Mortgage!$H$8*A259),MAX(0,Mortgage!$H$5*(1+(Mortgage!$B$7/12))^A259-Mortgage!$H$8*((1+(Mortgage!$B$7/12))^A259-1)/(Mortgage!$B$7/12))))</f>
        <v/>
      </c>
      <c r="T259" s="149">
        <f>IF(D259&gt;0.005,I259/Mortgage!$B$5,"")</f>
        <v/>
      </c>
      <c r="U259">
        <f>IF(A259&gt;Mortgage!$B$8*12,NA(),B259)</f>
        <v/>
      </c>
      <c r="V259">
        <f>IF(D259&gt;0.005,I259,NA())</f>
        <v/>
      </c>
      <c r="W259">
        <f>IF(A259&gt;Mortgage!$B$8*12,NA(),S259)</f>
        <v/>
      </c>
    </row>
    <row r="260">
      <c r="A260" s="129" t="n">
        <v>255</v>
      </c>
      <c r="B260" s="146">
        <f>EDATE(Mortgage!$B$9,A260-1)</f>
        <v/>
      </c>
      <c r="C260" s="129">
        <f>INT((A260-1)/12)+1</f>
        <v/>
      </c>
      <c r="D260" s="147">
        <f>IF(N(I259)&gt;0.005,I259,0)</f>
        <v/>
      </c>
      <c r="E260" s="147">
        <f>IF(D260&gt;0.005,D260*Mortgage!$B$7/12,0)</f>
        <v/>
      </c>
      <c r="F260" s="147">
        <f>IF(D260&gt;0.005,MIN(Mortgage!$H$8-E260,D260),0)</f>
        <v/>
      </c>
      <c r="G260" s="147">
        <f>IF(D260-F260&gt;0.005,MIN(D260-F260,Mortgage!$B$18+IF(MONTH(B260)=Mortgage!$B$20,Mortgage!$B$19,0)+SUMIFS(Mortgage!$E$6:$E$15,Mortgage!$D$6:$D$15,"&gt;="&amp;B260,Mortgage!$D$6:$D$15,"&lt;"&amp;EDATE(B260,1))+IF(Mortgage!$B$10="Bi-weekly (accelerated)",Mortgage!$H$8/12,0)),0)</f>
        <v/>
      </c>
      <c r="H260" s="147">
        <f>F260+G260</f>
        <v/>
      </c>
      <c r="I260" s="148">
        <f>D260-H260</f>
        <v/>
      </c>
      <c r="J260" s="147">
        <f>E260+F260+G260</f>
        <v/>
      </c>
      <c r="K260" s="147">
        <f>IF(AND(D260&gt;0.005,Mortgage!$H$7&gt;0.8,D260/Mortgage!$B$5&gt;Mortgage!$B$14),Mortgage!$H$5*Mortgage!$B$13/12,0)</f>
        <v/>
      </c>
      <c r="L260" s="147">
        <f>IF(D260&gt;0.005,Mortgage!$B$11/12*(1+Mortgage!$B$16)^(C260-1),0)</f>
        <v/>
      </c>
      <c r="M260" s="147">
        <f>IF(D260&gt;0.005,Mortgage!$B$12/12*(1+Mortgage!$B$16)^(C260-1),0)</f>
        <v/>
      </c>
      <c r="N260" s="147">
        <f>IF(D260&gt;0.005,Mortgage!$B$15,0)</f>
        <v/>
      </c>
      <c r="O260" s="147">
        <f>J260+K260+L260+M260+N260</f>
        <v/>
      </c>
      <c r="P260" s="147">
        <f>P259+E260</f>
        <v/>
      </c>
      <c r="Q260" s="147">
        <f>IF(D260&gt;0.005,Mortgage!$B$5*(1+Mortgage!$B$17)^(A260/12),"")</f>
        <v/>
      </c>
      <c r="R260" s="147">
        <f>IF(D260&gt;0.005,Q260-I260,"")</f>
        <v/>
      </c>
      <c r="S260" s="147">
        <f>IF(A260&gt;Mortgage!$B$8*12,0,IF(Mortgage!$B$7=0,MAX(0,Mortgage!$H$5-Mortgage!$H$8*A260),MAX(0,Mortgage!$H$5*(1+(Mortgage!$B$7/12))^A260-Mortgage!$H$8*((1+(Mortgage!$B$7/12))^A260-1)/(Mortgage!$B$7/12))))</f>
        <v/>
      </c>
      <c r="T260" s="149">
        <f>IF(D260&gt;0.005,I260/Mortgage!$B$5,"")</f>
        <v/>
      </c>
      <c r="U260">
        <f>IF(A260&gt;Mortgage!$B$8*12,NA(),B260)</f>
        <v/>
      </c>
      <c r="V260">
        <f>IF(D260&gt;0.005,I260,NA())</f>
        <v/>
      </c>
      <c r="W260">
        <f>IF(A260&gt;Mortgage!$B$8*12,NA(),S260)</f>
        <v/>
      </c>
    </row>
    <row r="261">
      <c r="A261" s="129" t="n">
        <v>256</v>
      </c>
      <c r="B261" s="146">
        <f>EDATE(Mortgage!$B$9,A261-1)</f>
        <v/>
      </c>
      <c r="C261" s="129">
        <f>INT((A261-1)/12)+1</f>
        <v/>
      </c>
      <c r="D261" s="147">
        <f>IF(N(I260)&gt;0.005,I260,0)</f>
        <v/>
      </c>
      <c r="E261" s="147">
        <f>IF(D261&gt;0.005,D261*Mortgage!$B$7/12,0)</f>
        <v/>
      </c>
      <c r="F261" s="147">
        <f>IF(D261&gt;0.005,MIN(Mortgage!$H$8-E261,D261),0)</f>
        <v/>
      </c>
      <c r="G261" s="147">
        <f>IF(D261-F261&gt;0.005,MIN(D261-F261,Mortgage!$B$18+IF(MONTH(B261)=Mortgage!$B$20,Mortgage!$B$19,0)+SUMIFS(Mortgage!$E$6:$E$15,Mortgage!$D$6:$D$15,"&gt;="&amp;B261,Mortgage!$D$6:$D$15,"&lt;"&amp;EDATE(B261,1))+IF(Mortgage!$B$10="Bi-weekly (accelerated)",Mortgage!$H$8/12,0)),0)</f>
        <v/>
      </c>
      <c r="H261" s="147">
        <f>F261+G261</f>
        <v/>
      </c>
      <c r="I261" s="148">
        <f>D261-H261</f>
        <v/>
      </c>
      <c r="J261" s="147">
        <f>E261+F261+G261</f>
        <v/>
      </c>
      <c r="K261" s="147">
        <f>IF(AND(D261&gt;0.005,Mortgage!$H$7&gt;0.8,D261/Mortgage!$B$5&gt;Mortgage!$B$14),Mortgage!$H$5*Mortgage!$B$13/12,0)</f>
        <v/>
      </c>
      <c r="L261" s="147">
        <f>IF(D261&gt;0.005,Mortgage!$B$11/12*(1+Mortgage!$B$16)^(C261-1),0)</f>
        <v/>
      </c>
      <c r="M261" s="147">
        <f>IF(D261&gt;0.005,Mortgage!$B$12/12*(1+Mortgage!$B$16)^(C261-1),0)</f>
        <v/>
      </c>
      <c r="N261" s="147">
        <f>IF(D261&gt;0.005,Mortgage!$B$15,0)</f>
        <v/>
      </c>
      <c r="O261" s="147">
        <f>J261+K261+L261+M261+N261</f>
        <v/>
      </c>
      <c r="P261" s="147">
        <f>P260+E261</f>
        <v/>
      </c>
      <c r="Q261" s="147">
        <f>IF(D261&gt;0.005,Mortgage!$B$5*(1+Mortgage!$B$17)^(A261/12),"")</f>
        <v/>
      </c>
      <c r="R261" s="147">
        <f>IF(D261&gt;0.005,Q261-I261,"")</f>
        <v/>
      </c>
      <c r="S261" s="147">
        <f>IF(A261&gt;Mortgage!$B$8*12,0,IF(Mortgage!$B$7=0,MAX(0,Mortgage!$H$5-Mortgage!$H$8*A261),MAX(0,Mortgage!$H$5*(1+(Mortgage!$B$7/12))^A261-Mortgage!$H$8*((1+(Mortgage!$B$7/12))^A261-1)/(Mortgage!$B$7/12))))</f>
        <v/>
      </c>
      <c r="T261" s="149">
        <f>IF(D261&gt;0.005,I261/Mortgage!$B$5,"")</f>
        <v/>
      </c>
      <c r="U261">
        <f>IF(A261&gt;Mortgage!$B$8*12,NA(),B261)</f>
        <v/>
      </c>
      <c r="V261">
        <f>IF(D261&gt;0.005,I261,NA())</f>
        <v/>
      </c>
      <c r="W261">
        <f>IF(A261&gt;Mortgage!$B$8*12,NA(),S261)</f>
        <v/>
      </c>
    </row>
    <row r="262">
      <c r="A262" s="129" t="n">
        <v>257</v>
      </c>
      <c r="B262" s="146">
        <f>EDATE(Mortgage!$B$9,A262-1)</f>
        <v/>
      </c>
      <c r="C262" s="129">
        <f>INT((A262-1)/12)+1</f>
        <v/>
      </c>
      <c r="D262" s="147">
        <f>IF(N(I261)&gt;0.005,I261,0)</f>
        <v/>
      </c>
      <c r="E262" s="147">
        <f>IF(D262&gt;0.005,D262*Mortgage!$B$7/12,0)</f>
        <v/>
      </c>
      <c r="F262" s="147">
        <f>IF(D262&gt;0.005,MIN(Mortgage!$H$8-E262,D262),0)</f>
        <v/>
      </c>
      <c r="G262" s="147">
        <f>IF(D262-F262&gt;0.005,MIN(D262-F262,Mortgage!$B$18+IF(MONTH(B262)=Mortgage!$B$20,Mortgage!$B$19,0)+SUMIFS(Mortgage!$E$6:$E$15,Mortgage!$D$6:$D$15,"&gt;="&amp;B262,Mortgage!$D$6:$D$15,"&lt;"&amp;EDATE(B262,1))+IF(Mortgage!$B$10="Bi-weekly (accelerated)",Mortgage!$H$8/12,0)),0)</f>
        <v/>
      </c>
      <c r="H262" s="147">
        <f>F262+G262</f>
        <v/>
      </c>
      <c r="I262" s="148">
        <f>D262-H262</f>
        <v/>
      </c>
      <c r="J262" s="147">
        <f>E262+F262+G262</f>
        <v/>
      </c>
      <c r="K262" s="147">
        <f>IF(AND(D262&gt;0.005,Mortgage!$H$7&gt;0.8,D262/Mortgage!$B$5&gt;Mortgage!$B$14),Mortgage!$H$5*Mortgage!$B$13/12,0)</f>
        <v/>
      </c>
      <c r="L262" s="147">
        <f>IF(D262&gt;0.005,Mortgage!$B$11/12*(1+Mortgage!$B$16)^(C262-1),0)</f>
        <v/>
      </c>
      <c r="M262" s="147">
        <f>IF(D262&gt;0.005,Mortgage!$B$12/12*(1+Mortgage!$B$16)^(C262-1),0)</f>
        <v/>
      </c>
      <c r="N262" s="147">
        <f>IF(D262&gt;0.005,Mortgage!$B$15,0)</f>
        <v/>
      </c>
      <c r="O262" s="147">
        <f>J262+K262+L262+M262+N262</f>
        <v/>
      </c>
      <c r="P262" s="147">
        <f>P261+E262</f>
        <v/>
      </c>
      <c r="Q262" s="147">
        <f>IF(D262&gt;0.005,Mortgage!$B$5*(1+Mortgage!$B$17)^(A262/12),"")</f>
        <v/>
      </c>
      <c r="R262" s="147">
        <f>IF(D262&gt;0.005,Q262-I262,"")</f>
        <v/>
      </c>
      <c r="S262" s="147">
        <f>IF(A262&gt;Mortgage!$B$8*12,0,IF(Mortgage!$B$7=0,MAX(0,Mortgage!$H$5-Mortgage!$H$8*A262),MAX(0,Mortgage!$H$5*(1+(Mortgage!$B$7/12))^A262-Mortgage!$H$8*((1+(Mortgage!$B$7/12))^A262-1)/(Mortgage!$B$7/12))))</f>
        <v/>
      </c>
      <c r="T262" s="149">
        <f>IF(D262&gt;0.005,I262/Mortgage!$B$5,"")</f>
        <v/>
      </c>
      <c r="U262">
        <f>IF(A262&gt;Mortgage!$B$8*12,NA(),B262)</f>
        <v/>
      </c>
      <c r="V262">
        <f>IF(D262&gt;0.005,I262,NA())</f>
        <v/>
      </c>
      <c r="W262">
        <f>IF(A262&gt;Mortgage!$B$8*12,NA(),S262)</f>
        <v/>
      </c>
    </row>
    <row r="263">
      <c r="A263" s="129" t="n">
        <v>258</v>
      </c>
      <c r="B263" s="146">
        <f>EDATE(Mortgage!$B$9,A263-1)</f>
        <v/>
      </c>
      <c r="C263" s="129">
        <f>INT((A263-1)/12)+1</f>
        <v/>
      </c>
      <c r="D263" s="147">
        <f>IF(N(I262)&gt;0.005,I262,0)</f>
        <v/>
      </c>
      <c r="E263" s="147">
        <f>IF(D263&gt;0.005,D263*Mortgage!$B$7/12,0)</f>
        <v/>
      </c>
      <c r="F263" s="147">
        <f>IF(D263&gt;0.005,MIN(Mortgage!$H$8-E263,D263),0)</f>
        <v/>
      </c>
      <c r="G263" s="147">
        <f>IF(D263-F263&gt;0.005,MIN(D263-F263,Mortgage!$B$18+IF(MONTH(B263)=Mortgage!$B$20,Mortgage!$B$19,0)+SUMIFS(Mortgage!$E$6:$E$15,Mortgage!$D$6:$D$15,"&gt;="&amp;B263,Mortgage!$D$6:$D$15,"&lt;"&amp;EDATE(B263,1))+IF(Mortgage!$B$10="Bi-weekly (accelerated)",Mortgage!$H$8/12,0)),0)</f>
        <v/>
      </c>
      <c r="H263" s="147">
        <f>F263+G263</f>
        <v/>
      </c>
      <c r="I263" s="148">
        <f>D263-H263</f>
        <v/>
      </c>
      <c r="J263" s="147">
        <f>E263+F263+G263</f>
        <v/>
      </c>
      <c r="K263" s="147">
        <f>IF(AND(D263&gt;0.005,Mortgage!$H$7&gt;0.8,D263/Mortgage!$B$5&gt;Mortgage!$B$14),Mortgage!$H$5*Mortgage!$B$13/12,0)</f>
        <v/>
      </c>
      <c r="L263" s="147">
        <f>IF(D263&gt;0.005,Mortgage!$B$11/12*(1+Mortgage!$B$16)^(C263-1),0)</f>
        <v/>
      </c>
      <c r="M263" s="147">
        <f>IF(D263&gt;0.005,Mortgage!$B$12/12*(1+Mortgage!$B$16)^(C263-1),0)</f>
        <v/>
      </c>
      <c r="N263" s="147">
        <f>IF(D263&gt;0.005,Mortgage!$B$15,0)</f>
        <v/>
      </c>
      <c r="O263" s="147">
        <f>J263+K263+L263+M263+N263</f>
        <v/>
      </c>
      <c r="P263" s="147">
        <f>P262+E263</f>
        <v/>
      </c>
      <c r="Q263" s="147">
        <f>IF(D263&gt;0.005,Mortgage!$B$5*(1+Mortgage!$B$17)^(A263/12),"")</f>
        <v/>
      </c>
      <c r="R263" s="147">
        <f>IF(D263&gt;0.005,Q263-I263,"")</f>
        <v/>
      </c>
      <c r="S263" s="147">
        <f>IF(A263&gt;Mortgage!$B$8*12,0,IF(Mortgage!$B$7=0,MAX(0,Mortgage!$H$5-Mortgage!$H$8*A263),MAX(0,Mortgage!$H$5*(1+(Mortgage!$B$7/12))^A263-Mortgage!$H$8*((1+(Mortgage!$B$7/12))^A263-1)/(Mortgage!$B$7/12))))</f>
        <v/>
      </c>
      <c r="T263" s="149">
        <f>IF(D263&gt;0.005,I263/Mortgage!$B$5,"")</f>
        <v/>
      </c>
      <c r="U263">
        <f>IF(A263&gt;Mortgage!$B$8*12,NA(),B263)</f>
        <v/>
      </c>
      <c r="V263">
        <f>IF(D263&gt;0.005,I263,NA())</f>
        <v/>
      </c>
      <c r="W263">
        <f>IF(A263&gt;Mortgage!$B$8*12,NA(),S263)</f>
        <v/>
      </c>
    </row>
    <row r="264">
      <c r="A264" s="129" t="n">
        <v>259</v>
      </c>
      <c r="B264" s="146">
        <f>EDATE(Mortgage!$B$9,A264-1)</f>
        <v/>
      </c>
      <c r="C264" s="129">
        <f>INT((A264-1)/12)+1</f>
        <v/>
      </c>
      <c r="D264" s="147">
        <f>IF(N(I263)&gt;0.005,I263,0)</f>
        <v/>
      </c>
      <c r="E264" s="147">
        <f>IF(D264&gt;0.005,D264*Mortgage!$B$7/12,0)</f>
        <v/>
      </c>
      <c r="F264" s="147">
        <f>IF(D264&gt;0.005,MIN(Mortgage!$H$8-E264,D264),0)</f>
        <v/>
      </c>
      <c r="G264" s="147">
        <f>IF(D264-F264&gt;0.005,MIN(D264-F264,Mortgage!$B$18+IF(MONTH(B264)=Mortgage!$B$20,Mortgage!$B$19,0)+SUMIFS(Mortgage!$E$6:$E$15,Mortgage!$D$6:$D$15,"&gt;="&amp;B264,Mortgage!$D$6:$D$15,"&lt;"&amp;EDATE(B264,1))+IF(Mortgage!$B$10="Bi-weekly (accelerated)",Mortgage!$H$8/12,0)),0)</f>
        <v/>
      </c>
      <c r="H264" s="147">
        <f>F264+G264</f>
        <v/>
      </c>
      <c r="I264" s="148">
        <f>D264-H264</f>
        <v/>
      </c>
      <c r="J264" s="147">
        <f>E264+F264+G264</f>
        <v/>
      </c>
      <c r="K264" s="147">
        <f>IF(AND(D264&gt;0.005,Mortgage!$H$7&gt;0.8,D264/Mortgage!$B$5&gt;Mortgage!$B$14),Mortgage!$H$5*Mortgage!$B$13/12,0)</f>
        <v/>
      </c>
      <c r="L264" s="147">
        <f>IF(D264&gt;0.005,Mortgage!$B$11/12*(1+Mortgage!$B$16)^(C264-1),0)</f>
        <v/>
      </c>
      <c r="M264" s="147">
        <f>IF(D264&gt;0.005,Mortgage!$B$12/12*(1+Mortgage!$B$16)^(C264-1),0)</f>
        <v/>
      </c>
      <c r="N264" s="147">
        <f>IF(D264&gt;0.005,Mortgage!$B$15,0)</f>
        <v/>
      </c>
      <c r="O264" s="147">
        <f>J264+K264+L264+M264+N264</f>
        <v/>
      </c>
      <c r="P264" s="147">
        <f>P263+E264</f>
        <v/>
      </c>
      <c r="Q264" s="147">
        <f>IF(D264&gt;0.005,Mortgage!$B$5*(1+Mortgage!$B$17)^(A264/12),"")</f>
        <v/>
      </c>
      <c r="R264" s="147">
        <f>IF(D264&gt;0.005,Q264-I264,"")</f>
        <v/>
      </c>
      <c r="S264" s="147">
        <f>IF(A264&gt;Mortgage!$B$8*12,0,IF(Mortgage!$B$7=0,MAX(0,Mortgage!$H$5-Mortgage!$H$8*A264),MAX(0,Mortgage!$H$5*(1+(Mortgage!$B$7/12))^A264-Mortgage!$H$8*((1+(Mortgage!$B$7/12))^A264-1)/(Mortgage!$B$7/12))))</f>
        <v/>
      </c>
      <c r="T264" s="149">
        <f>IF(D264&gt;0.005,I264/Mortgage!$B$5,"")</f>
        <v/>
      </c>
      <c r="U264">
        <f>IF(A264&gt;Mortgage!$B$8*12,NA(),B264)</f>
        <v/>
      </c>
      <c r="V264">
        <f>IF(D264&gt;0.005,I264,NA())</f>
        <v/>
      </c>
      <c r="W264">
        <f>IF(A264&gt;Mortgage!$B$8*12,NA(),S264)</f>
        <v/>
      </c>
    </row>
    <row r="265">
      <c r="A265" s="129" t="n">
        <v>260</v>
      </c>
      <c r="B265" s="146">
        <f>EDATE(Mortgage!$B$9,A265-1)</f>
        <v/>
      </c>
      <c r="C265" s="129">
        <f>INT((A265-1)/12)+1</f>
        <v/>
      </c>
      <c r="D265" s="147">
        <f>IF(N(I264)&gt;0.005,I264,0)</f>
        <v/>
      </c>
      <c r="E265" s="147">
        <f>IF(D265&gt;0.005,D265*Mortgage!$B$7/12,0)</f>
        <v/>
      </c>
      <c r="F265" s="147">
        <f>IF(D265&gt;0.005,MIN(Mortgage!$H$8-E265,D265),0)</f>
        <v/>
      </c>
      <c r="G265" s="147">
        <f>IF(D265-F265&gt;0.005,MIN(D265-F265,Mortgage!$B$18+IF(MONTH(B265)=Mortgage!$B$20,Mortgage!$B$19,0)+SUMIFS(Mortgage!$E$6:$E$15,Mortgage!$D$6:$D$15,"&gt;="&amp;B265,Mortgage!$D$6:$D$15,"&lt;"&amp;EDATE(B265,1))+IF(Mortgage!$B$10="Bi-weekly (accelerated)",Mortgage!$H$8/12,0)),0)</f>
        <v/>
      </c>
      <c r="H265" s="147">
        <f>F265+G265</f>
        <v/>
      </c>
      <c r="I265" s="148">
        <f>D265-H265</f>
        <v/>
      </c>
      <c r="J265" s="147">
        <f>E265+F265+G265</f>
        <v/>
      </c>
      <c r="K265" s="147">
        <f>IF(AND(D265&gt;0.005,Mortgage!$H$7&gt;0.8,D265/Mortgage!$B$5&gt;Mortgage!$B$14),Mortgage!$H$5*Mortgage!$B$13/12,0)</f>
        <v/>
      </c>
      <c r="L265" s="147">
        <f>IF(D265&gt;0.005,Mortgage!$B$11/12*(1+Mortgage!$B$16)^(C265-1),0)</f>
        <v/>
      </c>
      <c r="M265" s="147">
        <f>IF(D265&gt;0.005,Mortgage!$B$12/12*(1+Mortgage!$B$16)^(C265-1),0)</f>
        <v/>
      </c>
      <c r="N265" s="147">
        <f>IF(D265&gt;0.005,Mortgage!$B$15,0)</f>
        <v/>
      </c>
      <c r="O265" s="147">
        <f>J265+K265+L265+M265+N265</f>
        <v/>
      </c>
      <c r="P265" s="147">
        <f>P264+E265</f>
        <v/>
      </c>
      <c r="Q265" s="147">
        <f>IF(D265&gt;0.005,Mortgage!$B$5*(1+Mortgage!$B$17)^(A265/12),"")</f>
        <v/>
      </c>
      <c r="R265" s="147">
        <f>IF(D265&gt;0.005,Q265-I265,"")</f>
        <v/>
      </c>
      <c r="S265" s="147">
        <f>IF(A265&gt;Mortgage!$B$8*12,0,IF(Mortgage!$B$7=0,MAX(0,Mortgage!$H$5-Mortgage!$H$8*A265),MAX(0,Mortgage!$H$5*(1+(Mortgage!$B$7/12))^A265-Mortgage!$H$8*((1+(Mortgage!$B$7/12))^A265-1)/(Mortgage!$B$7/12))))</f>
        <v/>
      </c>
      <c r="T265" s="149">
        <f>IF(D265&gt;0.005,I265/Mortgage!$B$5,"")</f>
        <v/>
      </c>
      <c r="U265">
        <f>IF(A265&gt;Mortgage!$B$8*12,NA(),B265)</f>
        <v/>
      </c>
      <c r="V265">
        <f>IF(D265&gt;0.005,I265,NA())</f>
        <v/>
      </c>
      <c r="W265">
        <f>IF(A265&gt;Mortgage!$B$8*12,NA(),S265)</f>
        <v/>
      </c>
    </row>
    <row r="266">
      <c r="A266" s="129" t="n">
        <v>261</v>
      </c>
      <c r="B266" s="146">
        <f>EDATE(Mortgage!$B$9,A266-1)</f>
        <v/>
      </c>
      <c r="C266" s="129">
        <f>INT((A266-1)/12)+1</f>
        <v/>
      </c>
      <c r="D266" s="147">
        <f>IF(N(I265)&gt;0.005,I265,0)</f>
        <v/>
      </c>
      <c r="E266" s="147">
        <f>IF(D266&gt;0.005,D266*Mortgage!$B$7/12,0)</f>
        <v/>
      </c>
      <c r="F266" s="147">
        <f>IF(D266&gt;0.005,MIN(Mortgage!$H$8-E266,D266),0)</f>
        <v/>
      </c>
      <c r="G266" s="147">
        <f>IF(D266-F266&gt;0.005,MIN(D266-F266,Mortgage!$B$18+IF(MONTH(B266)=Mortgage!$B$20,Mortgage!$B$19,0)+SUMIFS(Mortgage!$E$6:$E$15,Mortgage!$D$6:$D$15,"&gt;="&amp;B266,Mortgage!$D$6:$D$15,"&lt;"&amp;EDATE(B266,1))+IF(Mortgage!$B$10="Bi-weekly (accelerated)",Mortgage!$H$8/12,0)),0)</f>
        <v/>
      </c>
      <c r="H266" s="147">
        <f>F266+G266</f>
        <v/>
      </c>
      <c r="I266" s="148">
        <f>D266-H266</f>
        <v/>
      </c>
      <c r="J266" s="147">
        <f>E266+F266+G266</f>
        <v/>
      </c>
      <c r="K266" s="147">
        <f>IF(AND(D266&gt;0.005,Mortgage!$H$7&gt;0.8,D266/Mortgage!$B$5&gt;Mortgage!$B$14),Mortgage!$H$5*Mortgage!$B$13/12,0)</f>
        <v/>
      </c>
      <c r="L266" s="147">
        <f>IF(D266&gt;0.005,Mortgage!$B$11/12*(1+Mortgage!$B$16)^(C266-1),0)</f>
        <v/>
      </c>
      <c r="M266" s="147">
        <f>IF(D266&gt;0.005,Mortgage!$B$12/12*(1+Mortgage!$B$16)^(C266-1),0)</f>
        <v/>
      </c>
      <c r="N266" s="147">
        <f>IF(D266&gt;0.005,Mortgage!$B$15,0)</f>
        <v/>
      </c>
      <c r="O266" s="147">
        <f>J266+K266+L266+M266+N266</f>
        <v/>
      </c>
      <c r="P266" s="147">
        <f>P265+E266</f>
        <v/>
      </c>
      <c r="Q266" s="147">
        <f>IF(D266&gt;0.005,Mortgage!$B$5*(1+Mortgage!$B$17)^(A266/12),"")</f>
        <v/>
      </c>
      <c r="R266" s="147">
        <f>IF(D266&gt;0.005,Q266-I266,"")</f>
        <v/>
      </c>
      <c r="S266" s="147">
        <f>IF(A266&gt;Mortgage!$B$8*12,0,IF(Mortgage!$B$7=0,MAX(0,Mortgage!$H$5-Mortgage!$H$8*A266),MAX(0,Mortgage!$H$5*(1+(Mortgage!$B$7/12))^A266-Mortgage!$H$8*((1+(Mortgage!$B$7/12))^A266-1)/(Mortgage!$B$7/12))))</f>
        <v/>
      </c>
      <c r="T266" s="149">
        <f>IF(D266&gt;0.005,I266/Mortgage!$B$5,"")</f>
        <v/>
      </c>
      <c r="U266">
        <f>IF(A266&gt;Mortgage!$B$8*12,NA(),B266)</f>
        <v/>
      </c>
      <c r="V266">
        <f>IF(D266&gt;0.005,I266,NA())</f>
        <v/>
      </c>
      <c r="W266">
        <f>IF(A266&gt;Mortgage!$B$8*12,NA(),S266)</f>
        <v/>
      </c>
    </row>
    <row r="267">
      <c r="A267" s="129" t="n">
        <v>262</v>
      </c>
      <c r="B267" s="146">
        <f>EDATE(Mortgage!$B$9,A267-1)</f>
        <v/>
      </c>
      <c r="C267" s="129">
        <f>INT((A267-1)/12)+1</f>
        <v/>
      </c>
      <c r="D267" s="147">
        <f>IF(N(I266)&gt;0.005,I266,0)</f>
        <v/>
      </c>
      <c r="E267" s="147">
        <f>IF(D267&gt;0.005,D267*Mortgage!$B$7/12,0)</f>
        <v/>
      </c>
      <c r="F267" s="147">
        <f>IF(D267&gt;0.005,MIN(Mortgage!$H$8-E267,D267),0)</f>
        <v/>
      </c>
      <c r="G267" s="147">
        <f>IF(D267-F267&gt;0.005,MIN(D267-F267,Mortgage!$B$18+IF(MONTH(B267)=Mortgage!$B$20,Mortgage!$B$19,0)+SUMIFS(Mortgage!$E$6:$E$15,Mortgage!$D$6:$D$15,"&gt;="&amp;B267,Mortgage!$D$6:$D$15,"&lt;"&amp;EDATE(B267,1))+IF(Mortgage!$B$10="Bi-weekly (accelerated)",Mortgage!$H$8/12,0)),0)</f>
        <v/>
      </c>
      <c r="H267" s="147">
        <f>F267+G267</f>
        <v/>
      </c>
      <c r="I267" s="148">
        <f>D267-H267</f>
        <v/>
      </c>
      <c r="J267" s="147">
        <f>E267+F267+G267</f>
        <v/>
      </c>
      <c r="K267" s="147">
        <f>IF(AND(D267&gt;0.005,Mortgage!$H$7&gt;0.8,D267/Mortgage!$B$5&gt;Mortgage!$B$14),Mortgage!$H$5*Mortgage!$B$13/12,0)</f>
        <v/>
      </c>
      <c r="L267" s="147">
        <f>IF(D267&gt;0.005,Mortgage!$B$11/12*(1+Mortgage!$B$16)^(C267-1),0)</f>
        <v/>
      </c>
      <c r="M267" s="147">
        <f>IF(D267&gt;0.005,Mortgage!$B$12/12*(1+Mortgage!$B$16)^(C267-1),0)</f>
        <v/>
      </c>
      <c r="N267" s="147">
        <f>IF(D267&gt;0.005,Mortgage!$B$15,0)</f>
        <v/>
      </c>
      <c r="O267" s="147">
        <f>J267+K267+L267+M267+N267</f>
        <v/>
      </c>
      <c r="P267" s="147">
        <f>P266+E267</f>
        <v/>
      </c>
      <c r="Q267" s="147">
        <f>IF(D267&gt;0.005,Mortgage!$B$5*(1+Mortgage!$B$17)^(A267/12),"")</f>
        <v/>
      </c>
      <c r="R267" s="147">
        <f>IF(D267&gt;0.005,Q267-I267,"")</f>
        <v/>
      </c>
      <c r="S267" s="147">
        <f>IF(A267&gt;Mortgage!$B$8*12,0,IF(Mortgage!$B$7=0,MAX(0,Mortgage!$H$5-Mortgage!$H$8*A267),MAX(0,Mortgage!$H$5*(1+(Mortgage!$B$7/12))^A267-Mortgage!$H$8*((1+(Mortgage!$B$7/12))^A267-1)/(Mortgage!$B$7/12))))</f>
        <v/>
      </c>
      <c r="T267" s="149">
        <f>IF(D267&gt;0.005,I267/Mortgage!$B$5,"")</f>
        <v/>
      </c>
      <c r="U267">
        <f>IF(A267&gt;Mortgage!$B$8*12,NA(),B267)</f>
        <v/>
      </c>
      <c r="V267">
        <f>IF(D267&gt;0.005,I267,NA())</f>
        <v/>
      </c>
      <c r="W267">
        <f>IF(A267&gt;Mortgage!$B$8*12,NA(),S267)</f>
        <v/>
      </c>
    </row>
    <row r="268">
      <c r="A268" s="129" t="n">
        <v>263</v>
      </c>
      <c r="B268" s="146">
        <f>EDATE(Mortgage!$B$9,A268-1)</f>
        <v/>
      </c>
      <c r="C268" s="129">
        <f>INT((A268-1)/12)+1</f>
        <v/>
      </c>
      <c r="D268" s="147">
        <f>IF(N(I267)&gt;0.005,I267,0)</f>
        <v/>
      </c>
      <c r="E268" s="147">
        <f>IF(D268&gt;0.005,D268*Mortgage!$B$7/12,0)</f>
        <v/>
      </c>
      <c r="F268" s="147">
        <f>IF(D268&gt;0.005,MIN(Mortgage!$H$8-E268,D268),0)</f>
        <v/>
      </c>
      <c r="G268" s="147">
        <f>IF(D268-F268&gt;0.005,MIN(D268-F268,Mortgage!$B$18+IF(MONTH(B268)=Mortgage!$B$20,Mortgage!$B$19,0)+SUMIFS(Mortgage!$E$6:$E$15,Mortgage!$D$6:$D$15,"&gt;="&amp;B268,Mortgage!$D$6:$D$15,"&lt;"&amp;EDATE(B268,1))+IF(Mortgage!$B$10="Bi-weekly (accelerated)",Mortgage!$H$8/12,0)),0)</f>
        <v/>
      </c>
      <c r="H268" s="147">
        <f>F268+G268</f>
        <v/>
      </c>
      <c r="I268" s="148">
        <f>D268-H268</f>
        <v/>
      </c>
      <c r="J268" s="147">
        <f>E268+F268+G268</f>
        <v/>
      </c>
      <c r="K268" s="147">
        <f>IF(AND(D268&gt;0.005,Mortgage!$H$7&gt;0.8,D268/Mortgage!$B$5&gt;Mortgage!$B$14),Mortgage!$H$5*Mortgage!$B$13/12,0)</f>
        <v/>
      </c>
      <c r="L268" s="147">
        <f>IF(D268&gt;0.005,Mortgage!$B$11/12*(1+Mortgage!$B$16)^(C268-1),0)</f>
        <v/>
      </c>
      <c r="M268" s="147">
        <f>IF(D268&gt;0.005,Mortgage!$B$12/12*(1+Mortgage!$B$16)^(C268-1),0)</f>
        <v/>
      </c>
      <c r="N268" s="147">
        <f>IF(D268&gt;0.005,Mortgage!$B$15,0)</f>
        <v/>
      </c>
      <c r="O268" s="147">
        <f>J268+K268+L268+M268+N268</f>
        <v/>
      </c>
      <c r="P268" s="147">
        <f>P267+E268</f>
        <v/>
      </c>
      <c r="Q268" s="147">
        <f>IF(D268&gt;0.005,Mortgage!$B$5*(1+Mortgage!$B$17)^(A268/12),"")</f>
        <v/>
      </c>
      <c r="R268" s="147">
        <f>IF(D268&gt;0.005,Q268-I268,"")</f>
        <v/>
      </c>
      <c r="S268" s="147">
        <f>IF(A268&gt;Mortgage!$B$8*12,0,IF(Mortgage!$B$7=0,MAX(0,Mortgage!$H$5-Mortgage!$H$8*A268),MAX(0,Mortgage!$H$5*(1+(Mortgage!$B$7/12))^A268-Mortgage!$H$8*((1+(Mortgage!$B$7/12))^A268-1)/(Mortgage!$B$7/12))))</f>
        <v/>
      </c>
      <c r="T268" s="149">
        <f>IF(D268&gt;0.005,I268/Mortgage!$B$5,"")</f>
        <v/>
      </c>
      <c r="U268">
        <f>IF(A268&gt;Mortgage!$B$8*12,NA(),B268)</f>
        <v/>
      </c>
      <c r="V268">
        <f>IF(D268&gt;0.005,I268,NA())</f>
        <v/>
      </c>
      <c r="W268">
        <f>IF(A268&gt;Mortgage!$B$8*12,NA(),S268)</f>
        <v/>
      </c>
    </row>
    <row r="269">
      <c r="A269" s="129" t="n">
        <v>264</v>
      </c>
      <c r="B269" s="146">
        <f>EDATE(Mortgage!$B$9,A269-1)</f>
        <v/>
      </c>
      <c r="C269" s="129">
        <f>INT((A269-1)/12)+1</f>
        <v/>
      </c>
      <c r="D269" s="147">
        <f>IF(N(I268)&gt;0.005,I268,0)</f>
        <v/>
      </c>
      <c r="E269" s="147">
        <f>IF(D269&gt;0.005,D269*Mortgage!$B$7/12,0)</f>
        <v/>
      </c>
      <c r="F269" s="147">
        <f>IF(D269&gt;0.005,MIN(Mortgage!$H$8-E269,D269),0)</f>
        <v/>
      </c>
      <c r="G269" s="147">
        <f>IF(D269-F269&gt;0.005,MIN(D269-F269,Mortgage!$B$18+IF(MONTH(B269)=Mortgage!$B$20,Mortgage!$B$19,0)+SUMIFS(Mortgage!$E$6:$E$15,Mortgage!$D$6:$D$15,"&gt;="&amp;B269,Mortgage!$D$6:$D$15,"&lt;"&amp;EDATE(B269,1))+IF(Mortgage!$B$10="Bi-weekly (accelerated)",Mortgage!$H$8/12,0)),0)</f>
        <v/>
      </c>
      <c r="H269" s="147">
        <f>F269+G269</f>
        <v/>
      </c>
      <c r="I269" s="148">
        <f>D269-H269</f>
        <v/>
      </c>
      <c r="J269" s="147">
        <f>E269+F269+G269</f>
        <v/>
      </c>
      <c r="K269" s="147">
        <f>IF(AND(D269&gt;0.005,Mortgage!$H$7&gt;0.8,D269/Mortgage!$B$5&gt;Mortgage!$B$14),Mortgage!$H$5*Mortgage!$B$13/12,0)</f>
        <v/>
      </c>
      <c r="L269" s="147">
        <f>IF(D269&gt;0.005,Mortgage!$B$11/12*(1+Mortgage!$B$16)^(C269-1),0)</f>
        <v/>
      </c>
      <c r="M269" s="147">
        <f>IF(D269&gt;0.005,Mortgage!$B$12/12*(1+Mortgage!$B$16)^(C269-1),0)</f>
        <v/>
      </c>
      <c r="N269" s="147">
        <f>IF(D269&gt;0.005,Mortgage!$B$15,0)</f>
        <v/>
      </c>
      <c r="O269" s="147">
        <f>J269+K269+L269+M269+N269</f>
        <v/>
      </c>
      <c r="P269" s="147">
        <f>P268+E269</f>
        <v/>
      </c>
      <c r="Q269" s="147">
        <f>IF(D269&gt;0.005,Mortgage!$B$5*(1+Mortgage!$B$17)^(A269/12),"")</f>
        <v/>
      </c>
      <c r="R269" s="147">
        <f>IF(D269&gt;0.005,Q269-I269,"")</f>
        <v/>
      </c>
      <c r="S269" s="147">
        <f>IF(A269&gt;Mortgage!$B$8*12,0,IF(Mortgage!$B$7=0,MAX(0,Mortgage!$H$5-Mortgage!$H$8*A269),MAX(0,Mortgage!$H$5*(1+(Mortgage!$B$7/12))^A269-Mortgage!$H$8*((1+(Mortgage!$B$7/12))^A269-1)/(Mortgage!$B$7/12))))</f>
        <v/>
      </c>
      <c r="T269" s="149">
        <f>IF(D269&gt;0.005,I269/Mortgage!$B$5,"")</f>
        <v/>
      </c>
      <c r="U269">
        <f>IF(A269&gt;Mortgage!$B$8*12,NA(),B269)</f>
        <v/>
      </c>
      <c r="V269">
        <f>IF(D269&gt;0.005,I269,NA())</f>
        <v/>
      </c>
      <c r="W269">
        <f>IF(A269&gt;Mortgage!$B$8*12,NA(),S269)</f>
        <v/>
      </c>
    </row>
    <row r="270">
      <c r="A270" s="129" t="n">
        <v>265</v>
      </c>
      <c r="B270" s="146">
        <f>EDATE(Mortgage!$B$9,A270-1)</f>
        <v/>
      </c>
      <c r="C270" s="129">
        <f>INT((A270-1)/12)+1</f>
        <v/>
      </c>
      <c r="D270" s="147">
        <f>IF(N(I269)&gt;0.005,I269,0)</f>
        <v/>
      </c>
      <c r="E270" s="147">
        <f>IF(D270&gt;0.005,D270*Mortgage!$B$7/12,0)</f>
        <v/>
      </c>
      <c r="F270" s="147">
        <f>IF(D270&gt;0.005,MIN(Mortgage!$H$8-E270,D270),0)</f>
        <v/>
      </c>
      <c r="G270" s="147">
        <f>IF(D270-F270&gt;0.005,MIN(D270-F270,Mortgage!$B$18+IF(MONTH(B270)=Mortgage!$B$20,Mortgage!$B$19,0)+SUMIFS(Mortgage!$E$6:$E$15,Mortgage!$D$6:$D$15,"&gt;="&amp;B270,Mortgage!$D$6:$D$15,"&lt;"&amp;EDATE(B270,1))+IF(Mortgage!$B$10="Bi-weekly (accelerated)",Mortgage!$H$8/12,0)),0)</f>
        <v/>
      </c>
      <c r="H270" s="147">
        <f>F270+G270</f>
        <v/>
      </c>
      <c r="I270" s="148">
        <f>D270-H270</f>
        <v/>
      </c>
      <c r="J270" s="147">
        <f>E270+F270+G270</f>
        <v/>
      </c>
      <c r="K270" s="147">
        <f>IF(AND(D270&gt;0.005,Mortgage!$H$7&gt;0.8,D270/Mortgage!$B$5&gt;Mortgage!$B$14),Mortgage!$H$5*Mortgage!$B$13/12,0)</f>
        <v/>
      </c>
      <c r="L270" s="147">
        <f>IF(D270&gt;0.005,Mortgage!$B$11/12*(1+Mortgage!$B$16)^(C270-1),0)</f>
        <v/>
      </c>
      <c r="M270" s="147">
        <f>IF(D270&gt;0.005,Mortgage!$B$12/12*(1+Mortgage!$B$16)^(C270-1),0)</f>
        <v/>
      </c>
      <c r="N270" s="147">
        <f>IF(D270&gt;0.005,Mortgage!$B$15,0)</f>
        <v/>
      </c>
      <c r="O270" s="147">
        <f>J270+K270+L270+M270+N270</f>
        <v/>
      </c>
      <c r="P270" s="147">
        <f>P269+E270</f>
        <v/>
      </c>
      <c r="Q270" s="147">
        <f>IF(D270&gt;0.005,Mortgage!$B$5*(1+Mortgage!$B$17)^(A270/12),"")</f>
        <v/>
      </c>
      <c r="R270" s="147">
        <f>IF(D270&gt;0.005,Q270-I270,"")</f>
        <v/>
      </c>
      <c r="S270" s="147">
        <f>IF(A270&gt;Mortgage!$B$8*12,0,IF(Mortgage!$B$7=0,MAX(0,Mortgage!$H$5-Mortgage!$H$8*A270),MAX(0,Mortgage!$H$5*(1+(Mortgage!$B$7/12))^A270-Mortgage!$H$8*((1+(Mortgage!$B$7/12))^A270-1)/(Mortgage!$B$7/12))))</f>
        <v/>
      </c>
      <c r="T270" s="149">
        <f>IF(D270&gt;0.005,I270/Mortgage!$B$5,"")</f>
        <v/>
      </c>
      <c r="U270">
        <f>IF(A270&gt;Mortgage!$B$8*12,NA(),B270)</f>
        <v/>
      </c>
      <c r="V270">
        <f>IF(D270&gt;0.005,I270,NA())</f>
        <v/>
      </c>
      <c r="W270">
        <f>IF(A270&gt;Mortgage!$B$8*12,NA(),S270)</f>
        <v/>
      </c>
    </row>
    <row r="271">
      <c r="A271" s="129" t="n">
        <v>266</v>
      </c>
      <c r="B271" s="146">
        <f>EDATE(Mortgage!$B$9,A271-1)</f>
        <v/>
      </c>
      <c r="C271" s="129">
        <f>INT((A271-1)/12)+1</f>
        <v/>
      </c>
      <c r="D271" s="147">
        <f>IF(N(I270)&gt;0.005,I270,0)</f>
        <v/>
      </c>
      <c r="E271" s="147">
        <f>IF(D271&gt;0.005,D271*Mortgage!$B$7/12,0)</f>
        <v/>
      </c>
      <c r="F271" s="147">
        <f>IF(D271&gt;0.005,MIN(Mortgage!$H$8-E271,D271),0)</f>
        <v/>
      </c>
      <c r="G271" s="147">
        <f>IF(D271-F271&gt;0.005,MIN(D271-F271,Mortgage!$B$18+IF(MONTH(B271)=Mortgage!$B$20,Mortgage!$B$19,0)+SUMIFS(Mortgage!$E$6:$E$15,Mortgage!$D$6:$D$15,"&gt;="&amp;B271,Mortgage!$D$6:$D$15,"&lt;"&amp;EDATE(B271,1))+IF(Mortgage!$B$10="Bi-weekly (accelerated)",Mortgage!$H$8/12,0)),0)</f>
        <v/>
      </c>
      <c r="H271" s="147">
        <f>F271+G271</f>
        <v/>
      </c>
      <c r="I271" s="148">
        <f>D271-H271</f>
        <v/>
      </c>
      <c r="J271" s="147">
        <f>E271+F271+G271</f>
        <v/>
      </c>
      <c r="K271" s="147">
        <f>IF(AND(D271&gt;0.005,Mortgage!$H$7&gt;0.8,D271/Mortgage!$B$5&gt;Mortgage!$B$14),Mortgage!$H$5*Mortgage!$B$13/12,0)</f>
        <v/>
      </c>
      <c r="L271" s="147">
        <f>IF(D271&gt;0.005,Mortgage!$B$11/12*(1+Mortgage!$B$16)^(C271-1),0)</f>
        <v/>
      </c>
      <c r="M271" s="147">
        <f>IF(D271&gt;0.005,Mortgage!$B$12/12*(1+Mortgage!$B$16)^(C271-1),0)</f>
        <v/>
      </c>
      <c r="N271" s="147">
        <f>IF(D271&gt;0.005,Mortgage!$B$15,0)</f>
        <v/>
      </c>
      <c r="O271" s="147">
        <f>J271+K271+L271+M271+N271</f>
        <v/>
      </c>
      <c r="P271" s="147">
        <f>P270+E271</f>
        <v/>
      </c>
      <c r="Q271" s="147">
        <f>IF(D271&gt;0.005,Mortgage!$B$5*(1+Mortgage!$B$17)^(A271/12),"")</f>
        <v/>
      </c>
      <c r="R271" s="147">
        <f>IF(D271&gt;0.005,Q271-I271,"")</f>
        <v/>
      </c>
      <c r="S271" s="147">
        <f>IF(A271&gt;Mortgage!$B$8*12,0,IF(Mortgage!$B$7=0,MAX(0,Mortgage!$H$5-Mortgage!$H$8*A271),MAX(0,Mortgage!$H$5*(1+(Mortgage!$B$7/12))^A271-Mortgage!$H$8*((1+(Mortgage!$B$7/12))^A271-1)/(Mortgage!$B$7/12))))</f>
        <v/>
      </c>
      <c r="T271" s="149">
        <f>IF(D271&gt;0.005,I271/Mortgage!$B$5,"")</f>
        <v/>
      </c>
      <c r="U271">
        <f>IF(A271&gt;Mortgage!$B$8*12,NA(),B271)</f>
        <v/>
      </c>
      <c r="V271">
        <f>IF(D271&gt;0.005,I271,NA())</f>
        <v/>
      </c>
      <c r="W271">
        <f>IF(A271&gt;Mortgage!$B$8*12,NA(),S271)</f>
        <v/>
      </c>
    </row>
    <row r="272">
      <c r="A272" s="129" t="n">
        <v>267</v>
      </c>
      <c r="B272" s="146">
        <f>EDATE(Mortgage!$B$9,A272-1)</f>
        <v/>
      </c>
      <c r="C272" s="129">
        <f>INT((A272-1)/12)+1</f>
        <v/>
      </c>
      <c r="D272" s="147">
        <f>IF(N(I271)&gt;0.005,I271,0)</f>
        <v/>
      </c>
      <c r="E272" s="147">
        <f>IF(D272&gt;0.005,D272*Mortgage!$B$7/12,0)</f>
        <v/>
      </c>
      <c r="F272" s="147">
        <f>IF(D272&gt;0.005,MIN(Mortgage!$H$8-E272,D272),0)</f>
        <v/>
      </c>
      <c r="G272" s="147">
        <f>IF(D272-F272&gt;0.005,MIN(D272-F272,Mortgage!$B$18+IF(MONTH(B272)=Mortgage!$B$20,Mortgage!$B$19,0)+SUMIFS(Mortgage!$E$6:$E$15,Mortgage!$D$6:$D$15,"&gt;="&amp;B272,Mortgage!$D$6:$D$15,"&lt;"&amp;EDATE(B272,1))+IF(Mortgage!$B$10="Bi-weekly (accelerated)",Mortgage!$H$8/12,0)),0)</f>
        <v/>
      </c>
      <c r="H272" s="147">
        <f>F272+G272</f>
        <v/>
      </c>
      <c r="I272" s="148">
        <f>D272-H272</f>
        <v/>
      </c>
      <c r="J272" s="147">
        <f>E272+F272+G272</f>
        <v/>
      </c>
      <c r="K272" s="147">
        <f>IF(AND(D272&gt;0.005,Mortgage!$H$7&gt;0.8,D272/Mortgage!$B$5&gt;Mortgage!$B$14),Mortgage!$H$5*Mortgage!$B$13/12,0)</f>
        <v/>
      </c>
      <c r="L272" s="147">
        <f>IF(D272&gt;0.005,Mortgage!$B$11/12*(1+Mortgage!$B$16)^(C272-1),0)</f>
        <v/>
      </c>
      <c r="M272" s="147">
        <f>IF(D272&gt;0.005,Mortgage!$B$12/12*(1+Mortgage!$B$16)^(C272-1),0)</f>
        <v/>
      </c>
      <c r="N272" s="147">
        <f>IF(D272&gt;0.005,Mortgage!$B$15,0)</f>
        <v/>
      </c>
      <c r="O272" s="147">
        <f>J272+K272+L272+M272+N272</f>
        <v/>
      </c>
      <c r="P272" s="147">
        <f>P271+E272</f>
        <v/>
      </c>
      <c r="Q272" s="147">
        <f>IF(D272&gt;0.005,Mortgage!$B$5*(1+Mortgage!$B$17)^(A272/12),"")</f>
        <v/>
      </c>
      <c r="R272" s="147">
        <f>IF(D272&gt;0.005,Q272-I272,"")</f>
        <v/>
      </c>
      <c r="S272" s="147">
        <f>IF(A272&gt;Mortgage!$B$8*12,0,IF(Mortgage!$B$7=0,MAX(0,Mortgage!$H$5-Mortgage!$H$8*A272),MAX(0,Mortgage!$H$5*(1+(Mortgage!$B$7/12))^A272-Mortgage!$H$8*((1+(Mortgage!$B$7/12))^A272-1)/(Mortgage!$B$7/12))))</f>
        <v/>
      </c>
      <c r="T272" s="149">
        <f>IF(D272&gt;0.005,I272/Mortgage!$B$5,"")</f>
        <v/>
      </c>
      <c r="U272">
        <f>IF(A272&gt;Mortgage!$B$8*12,NA(),B272)</f>
        <v/>
      </c>
      <c r="V272">
        <f>IF(D272&gt;0.005,I272,NA())</f>
        <v/>
      </c>
      <c r="W272">
        <f>IF(A272&gt;Mortgage!$B$8*12,NA(),S272)</f>
        <v/>
      </c>
    </row>
    <row r="273">
      <c r="A273" s="129" t="n">
        <v>268</v>
      </c>
      <c r="B273" s="146">
        <f>EDATE(Mortgage!$B$9,A273-1)</f>
        <v/>
      </c>
      <c r="C273" s="129">
        <f>INT((A273-1)/12)+1</f>
        <v/>
      </c>
      <c r="D273" s="147">
        <f>IF(N(I272)&gt;0.005,I272,0)</f>
        <v/>
      </c>
      <c r="E273" s="147">
        <f>IF(D273&gt;0.005,D273*Mortgage!$B$7/12,0)</f>
        <v/>
      </c>
      <c r="F273" s="147">
        <f>IF(D273&gt;0.005,MIN(Mortgage!$H$8-E273,D273),0)</f>
        <v/>
      </c>
      <c r="G273" s="147">
        <f>IF(D273-F273&gt;0.005,MIN(D273-F273,Mortgage!$B$18+IF(MONTH(B273)=Mortgage!$B$20,Mortgage!$B$19,0)+SUMIFS(Mortgage!$E$6:$E$15,Mortgage!$D$6:$D$15,"&gt;="&amp;B273,Mortgage!$D$6:$D$15,"&lt;"&amp;EDATE(B273,1))+IF(Mortgage!$B$10="Bi-weekly (accelerated)",Mortgage!$H$8/12,0)),0)</f>
        <v/>
      </c>
      <c r="H273" s="147">
        <f>F273+G273</f>
        <v/>
      </c>
      <c r="I273" s="148">
        <f>D273-H273</f>
        <v/>
      </c>
      <c r="J273" s="147">
        <f>E273+F273+G273</f>
        <v/>
      </c>
      <c r="K273" s="147">
        <f>IF(AND(D273&gt;0.005,Mortgage!$H$7&gt;0.8,D273/Mortgage!$B$5&gt;Mortgage!$B$14),Mortgage!$H$5*Mortgage!$B$13/12,0)</f>
        <v/>
      </c>
      <c r="L273" s="147">
        <f>IF(D273&gt;0.005,Mortgage!$B$11/12*(1+Mortgage!$B$16)^(C273-1),0)</f>
        <v/>
      </c>
      <c r="M273" s="147">
        <f>IF(D273&gt;0.005,Mortgage!$B$12/12*(1+Mortgage!$B$16)^(C273-1),0)</f>
        <v/>
      </c>
      <c r="N273" s="147">
        <f>IF(D273&gt;0.005,Mortgage!$B$15,0)</f>
        <v/>
      </c>
      <c r="O273" s="147">
        <f>J273+K273+L273+M273+N273</f>
        <v/>
      </c>
      <c r="P273" s="147">
        <f>P272+E273</f>
        <v/>
      </c>
      <c r="Q273" s="147">
        <f>IF(D273&gt;0.005,Mortgage!$B$5*(1+Mortgage!$B$17)^(A273/12),"")</f>
        <v/>
      </c>
      <c r="R273" s="147">
        <f>IF(D273&gt;0.005,Q273-I273,"")</f>
        <v/>
      </c>
      <c r="S273" s="147">
        <f>IF(A273&gt;Mortgage!$B$8*12,0,IF(Mortgage!$B$7=0,MAX(0,Mortgage!$H$5-Mortgage!$H$8*A273),MAX(0,Mortgage!$H$5*(1+(Mortgage!$B$7/12))^A273-Mortgage!$H$8*((1+(Mortgage!$B$7/12))^A273-1)/(Mortgage!$B$7/12))))</f>
        <v/>
      </c>
      <c r="T273" s="149">
        <f>IF(D273&gt;0.005,I273/Mortgage!$B$5,"")</f>
        <v/>
      </c>
      <c r="U273">
        <f>IF(A273&gt;Mortgage!$B$8*12,NA(),B273)</f>
        <v/>
      </c>
      <c r="V273">
        <f>IF(D273&gt;0.005,I273,NA())</f>
        <v/>
      </c>
      <c r="W273">
        <f>IF(A273&gt;Mortgage!$B$8*12,NA(),S273)</f>
        <v/>
      </c>
    </row>
    <row r="274">
      <c r="A274" s="129" t="n">
        <v>269</v>
      </c>
      <c r="B274" s="146">
        <f>EDATE(Mortgage!$B$9,A274-1)</f>
        <v/>
      </c>
      <c r="C274" s="129">
        <f>INT((A274-1)/12)+1</f>
        <v/>
      </c>
      <c r="D274" s="147">
        <f>IF(N(I273)&gt;0.005,I273,0)</f>
        <v/>
      </c>
      <c r="E274" s="147">
        <f>IF(D274&gt;0.005,D274*Mortgage!$B$7/12,0)</f>
        <v/>
      </c>
      <c r="F274" s="147">
        <f>IF(D274&gt;0.005,MIN(Mortgage!$H$8-E274,D274),0)</f>
        <v/>
      </c>
      <c r="G274" s="147">
        <f>IF(D274-F274&gt;0.005,MIN(D274-F274,Mortgage!$B$18+IF(MONTH(B274)=Mortgage!$B$20,Mortgage!$B$19,0)+SUMIFS(Mortgage!$E$6:$E$15,Mortgage!$D$6:$D$15,"&gt;="&amp;B274,Mortgage!$D$6:$D$15,"&lt;"&amp;EDATE(B274,1))+IF(Mortgage!$B$10="Bi-weekly (accelerated)",Mortgage!$H$8/12,0)),0)</f>
        <v/>
      </c>
      <c r="H274" s="147">
        <f>F274+G274</f>
        <v/>
      </c>
      <c r="I274" s="148">
        <f>D274-H274</f>
        <v/>
      </c>
      <c r="J274" s="147">
        <f>E274+F274+G274</f>
        <v/>
      </c>
      <c r="K274" s="147">
        <f>IF(AND(D274&gt;0.005,Mortgage!$H$7&gt;0.8,D274/Mortgage!$B$5&gt;Mortgage!$B$14),Mortgage!$H$5*Mortgage!$B$13/12,0)</f>
        <v/>
      </c>
      <c r="L274" s="147">
        <f>IF(D274&gt;0.005,Mortgage!$B$11/12*(1+Mortgage!$B$16)^(C274-1),0)</f>
        <v/>
      </c>
      <c r="M274" s="147">
        <f>IF(D274&gt;0.005,Mortgage!$B$12/12*(1+Mortgage!$B$16)^(C274-1),0)</f>
        <v/>
      </c>
      <c r="N274" s="147">
        <f>IF(D274&gt;0.005,Mortgage!$B$15,0)</f>
        <v/>
      </c>
      <c r="O274" s="147">
        <f>J274+K274+L274+M274+N274</f>
        <v/>
      </c>
      <c r="P274" s="147">
        <f>P273+E274</f>
        <v/>
      </c>
      <c r="Q274" s="147">
        <f>IF(D274&gt;0.005,Mortgage!$B$5*(1+Mortgage!$B$17)^(A274/12),"")</f>
        <v/>
      </c>
      <c r="R274" s="147">
        <f>IF(D274&gt;0.005,Q274-I274,"")</f>
        <v/>
      </c>
      <c r="S274" s="147">
        <f>IF(A274&gt;Mortgage!$B$8*12,0,IF(Mortgage!$B$7=0,MAX(0,Mortgage!$H$5-Mortgage!$H$8*A274),MAX(0,Mortgage!$H$5*(1+(Mortgage!$B$7/12))^A274-Mortgage!$H$8*((1+(Mortgage!$B$7/12))^A274-1)/(Mortgage!$B$7/12))))</f>
        <v/>
      </c>
      <c r="T274" s="149">
        <f>IF(D274&gt;0.005,I274/Mortgage!$B$5,"")</f>
        <v/>
      </c>
      <c r="U274">
        <f>IF(A274&gt;Mortgage!$B$8*12,NA(),B274)</f>
        <v/>
      </c>
      <c r="V274">
        <f>IF(D274&gt;0.005,I274,NA())</f>
        <v/>
      </c>
      <c r="W274">
        <f>IF(A274&gt;Mortgage!$B$8*12,NA(),S274)</f>
        <v/>
      </c>
    </row>
    <row r="275">
      <c r="A275" s="129" t="n">
        <v>270</v>
      </c>
      <c r="B275" s="146">
        <f>EDATE(Mortgage!$B$9,A275-1)</f>
        <v/>
      </c>
      <c r="C275" s="129">
        <f>INT((A275-1)/12)+1</f>
        <v/>
      </c>
      <c r="D275" s="147">
        <f>IF(N(I274)&gt;0.005,I274,0)</f>
        <v/>
      </c>
      <c r="E275" s="147">
        <f>IF(D275&gt;0.005,D275*Mortgage!$B$7/12,0)</f>
        <v/>
      </c>
      <c r="F275" s="147">
        <f>IF(D275&gt;0.005,MIN(Mortgage!$H$8-E275,D275),0)</f>
        <v/>
      </c>
      <c r="G275" s="147">
        <f>IF(D275-F275&gt;0.005,MIN(D275-F275,Mortgage!$B$18+IF(MONTH(B275)=Mortgage!$B$20,Mortgage!$B$19,0)+SUMIFS(Mortgage!$E$6:$E$15,Mortgage!$D$6:$D$15,"&gt;="&amp;B275,Mortgage!$D$6:$D$15,"&lt;"&amp;EDATE(B275,1))+IF(Mortgage!$B$10="Bi-weekly (accelerated)",Mortgage!$H$8/12,0)),0)</f>
        <v/>
      </c>
      <c r="H275" s="147">
        <f>F275+G275</f>
        <v/>
      </c>
      <c r="I275" s="148">
        <f>D275-H275</f>
        <v/>
      </c>
      <c r="J275" s="147">
        <f>E275+F275+G275</f>
        <v/>
      </c>
      <c r="K275" s="147">
        <f>IF(AND(D275&gt;0.005,Mortgage!$H$7&gt;0.8,D275/Mortgage!$B$5&gt;Mortgage!$B$14),Mortgage!$H$5*Mortgage!$B$13/12,0)</f>
        <v/>
      </c>
      <c r="L275" s="147">
        <f>IF(D275&gt;0.005,Mortgage!$B$11/12*(1+Mortgage!$B$16)^(C275-1),0)</f>
        <v/>
      </c>
      <c r="M275" s="147">
        <f>IF(D275&gt;0.005,Mortgage!$B$12/12*(1+Mortgage!$B$16)^(C275-1),0)</f>
        <v/>
      </c>
      <c r="N275" s="147">
        <f>IF(D275&gt;0.005,Mortgage!$B$15,0)</f>
        <v/>
      </c>
      <c r="O275" s="147">
        <f>J275+K275+L275+M275+N275</f>
        <v/>
      </c>
      <c r="P275" s="147">
        <f>P274+E275</f>
        <v/>
      </c>
      <c r="Q275" s="147">
        <f>IF(D275&gt;0.005,Mortgage!$B$5*(1+Mortgage!$B$17)^(A275/12),"")</f>
        <v/>
      </c>
      <c r="R275" s="147">
        <f>IF(D275&gt;0.005,Q275-I275,"")</f>
        <v/>
      </c>
      <c r="S275" s="147">
        <f>IF(A275&gt;Mortgage!$B$8*12,0,IF(Mortgage!$B$7=0,MAX(0,Mortgage!$H$5-Mortgage!$H$8*A275),MAX(0,Mortgage!$H$5*(1+(Mortgage!$B$7/12))^A275-Mortgage!$H$8*((1+(Mortgage!$B$7/12))^A275-1)/(Mortgage!$B$7/12))))</f>
        <v/>
      </c>
      <c r="T275" s="149">
        <f>IF(D275&gt;0.005,I275/Mortgage!$B$5,"")</f>
        <v/>
      </c>
      <c r="U275">
        <f>IF(A275&gt;Mortgage!$B$8*12,NA(),B275)</f>
        <v/>
      </c>
      <c r="V275">
        <f>IF(D275&gt;0.005,I275,NA())</f>
        <v/>
      </c>
      <c r="W275">
        <f>IF(A275&gt;Mortgage!$B$8*12,NA(),S275)</f>
        <v/>
      </c>
    </row>
    <row r="276">
      <c r="A276" s="129" t="n">
        <v>271</v>
      </c>
      <c r="B276" s="146">
        <f>EDATE(Mortgage!$B$9,A276-1)</f>
        <v/>
      </c>
      <c r="C276" s="129">
        <f>INT((A276-1)/12)+1</f>
        <v/>
      </c>
      <c r="D276" s="147">
        <f>IF(N(I275)&gt;0.005,I275,0)</f>
        <v/>
      </c>
      <c r="E276" s="147">
        <f>IF(D276&gt;0.005,D276*Mortgage!$B$7/12,0)</f>
        <v/>
      </c>
      <c r="F276" s="147">
        <f>IF(D276&gt;0.005,MIN(Mortgage!$H$8-E276,D276),0)</f>
        <v/>
      </c>
      <c r="G276" s="147">
        <f>IF(D276-F276&gt;0.005,MIN(D276-F276,Mortgage!$B$18+IF(MONTH(B276)=Mortgage!$B$20,Mortgage!$B$19,0)+SUMIFS(Mortgage!$E$6:$E$15,Mortgage!$D$6:$D$15,"&gt;="&amp;B276,Mortgage!$D$6:$D$15,"&lt;"&amp;EDATE(B276,1))+IF(Mortgage!$B$10="Bi-weekly (accelerated)",Mortgage!$H$8/12,0)),0)</f>
        <v/>
      </c>
      <c r="H276" s="147">
        <f>F276+G276</f>
        <v/>
      </c>
      <c r="I276" s="148">
        <f>D276-H276</f>
        <v/>
      </c>
      <c r="J276" s="147">
        <f>E276+F276+G276</f>
        <v/>
      </c>
      <c r="K276" s="147">
        <f>IF(AND(D276&gt;0.005,Mortgage!$H$7&gt;0.8,D276/Mortgage!$B$5&gt;Mortgage!$B$14),Mortgage!$H$5*Mortgage!$B$13/12,0)</f>
        <v/>
      </c>
      <c r="L276" s="147">
        <f>IF(D276&gt;0.005,Mortgage!$B$11/12*(1+Mortgage!$B$16)^(C276-1),0)</f>
        <v/>
      </c>
      <c r="M276" s="147">
        <f>IF(D276&gt;0.005,Mortgage!$B$12/12*(1+Mortgage!$B$16)^(C276-1),0)</f>
        <v/>
      </c>
      <c r="N276" s="147">
        <f>IF(D276&gt;0.005,Mortgage!$B$15,0)</f>
        <v/>
      </c>
      <c r="O276" s="147">
        <f>J276+K276+L276+M276+N276</f>
        <v/>
      </c>
      <c r="P276" s="147">
        <f>P275+E276</f>
        <v/>
      </c>
      <c r="Q276" s="147">
        <f>IF(D276&gt;0.005,Mortgage!$B$5*(1+Mortgage!$B$17)^(A276/12),"")</f>
        <v/>
      </c>
      <c r="R276" s="147">
        <f>IF(D276&gt;0.005,Q276-I276,"")</f>
        <v/>
      </c>
      <c r="S276" s="147">
        <f>IF(A276&gt;Mortgage!$B$8*12,0,IF(Mortgage!$B$7=0,MAX(0,Mortgage!$H$5-Mortgage!$H$8*A276),MAX(0,Mortgage!$H$5*(1+(Mortgage!$B$7/12))^A276-Mortgage!$H$8*((1+(Mortgage!$B$7/12))^A276-1)/(Mortgage!$B$7/12))))</f>
        <v/>
      </c>
      <c r="T276" s="149">
        <f>IF(D276&gt;0.005,I276/Mortgage!$B$5,"")</f>
        <v/>
      </c>
      <c r="U276">
        <f>IF(A276&gt;Mortgage!$B$8*12,NA(),B276)</f>
        <v/>
      </c>
      <c r="V276">
        <f>IF(D276&gt;0.005,I276,NA())</f>
        <v/>
      </c>
      <c r="W276">
        <f>IF(A276&gt;Mortgage!$B$8*12,NA(),S276)</f>
        <v/>
      </c>
    </row>
    <row r="277">
      <c r="A277" s="129" t="n">
        <v>272</v>
      </c>
      <c r="B277" s="146">
        <f>EDATE(Mortgage!$B$9,A277-1)</f>
        <v/>
      </c>
      <c r="C277" s="129">
        <f>INT((A277-1)/12)+1</f>
        <v/>
      </c>
      <c r="D277" s="147">
        <f>IF(N(I276)&gt;0.005,I276,0)</f>
        <v/>
      </c>
      <c r="E277" s="147">
        <f>IF(D277&gt;0.005,D277*Mortgage!$B$7/12,0)</f>
        <v/>
      </c>
      <c r="F277" s="147">
        <f>IF(D277&gt;0.005,MIN(Mortgage!$H$8-E277,D277),0)</f>
        <v/>
      </c>
      <c r="G277" s="147">
        <f>IF(D277-F277&gt;0.005,MIN(D277-F277,Mortgage!$B$18+IF(MONTH(B277)=Mortgage!$B$20,Mortgage!$B$19,0)+SUMIFS(Mortgage!$E$6:$E$15,Mortgage!$D$6:$D$15,"&gt;="&amp;B277,Mortgage!$D$6:$D$15,"&lt;"&amp;EDATE(B277,1))+IF(Mortgage!$B$10="Bi-weekly (accelerated)",Mortgage!$H$8/12,0)),0)</f>
        <v/>
      </c>
      <c r="H277" s="147">
        <f>F277+G277</f>
        <v/>
      </c>
      <c r="I277" s="148">
        <f>D277-H277</f>
        <v/>
      </c>
      <c r="J277" s="147">
        <f>E277+F277+G277</f>
        <v/>
      </c>
      <c r="K277" s="147">
        <f>IF(AND(D277&gt;0.005,Mortgage!$H$7&gt;0.8,D277/Mortgage!$B$5&gt;Mortgage!$B$14),Mortgage!$H$5*Mortgage!$B$13/12,0)</f>
        <v/>
      </c>
      <c r="L277" s="147">
        <f>IF(D277&gt;0.005,Mortgage!$B$11/12*(1+Mortgage!$B$16)^(C277-1),0)</f>
        <v/>
      </c>
      <c r="M277" s="147">
        <f>IF(D277&gt;0.005,Mortgage!$B$12/12*(1+Mortgage!$B$16)^(C277-1),0)</f>
        <v/>
      </c>
      <c r="N277" s="147">
        <f>IF(D277&gt;0.005,Mortgage!$B$15,0)</f>
        <v/>
      </c>
      <c r="O277" s="147">
        <f>J277+K277+L277+M277+N277</f>
        <v/>
      </c>
      <c r="P277" s="147">
        <f>P276+E277</f>
        <v/>
      </c>
      <c r="Q277" s="147">
        <f>IF(D277&gt;0.005,Mortgage!$B$5*(1+Mortgage!$B$17)^(A277/12),"")</f>
        <v/>
      </c>
      <c r="R277" s="147">
        <f>IF(D277&gt;0.005,Q277-I277,"")</f>
        <v/>
      </c>
      <c r="S277" s="147">
        <f>IF(A277&gt;Mortgage!$B$8*12,0,IF(Mortgage!$B$7=0,MAX(0,Mortgage!$H$5-Mortgage!$H$8*A277),MAX(0,Mortgage!$H$5*(1+(Mortgage!$B$7/12))^A277-Mortgage!$H$8*((1+(Mortgage!$B$7/12))^A277-1)/(Mortgage!$B$7/12))))</f>
        <v/>
      </c>
      <c r="T277" s="149">
        <f>IF(D277&gt;0.005,I277/Mortgage!$B$5,"")</f>
        <v/>
      </c>
      <c r="U277">
        <f>IF(A277&gt;Mortgage!$B$8*12,NA(),B277)</f>
        <v/>
      </c>
      <c r="V277">
        <f>IF(D277&gt;0.005,I277,NA())</f>
        <v/>
      </c>
      <c r="W277">
        <f>IF(A277&gt;Mortgage!$B$8*12,NA(),S277)</f>
        <v/>
      </c>
    </row>
    <row r="278">
      <c r="A278" s="129" t="n">
        <v>273</v>
      </c>
      <c r="B278" s="146">
        <f>EDATE(Mortgage!$B$9,A278-1)</f>
        <v/>
      </c>
      <c r="C278" s="129">
        <f>INT((A278-1)/12)+1</f>
        <v/>
      </c>
      <c r="D278" s="147">
        <f>IF(N(I277)&gt;0.005,I277,0)</f>
        <v/>
      </c>
      <c r="E278" s="147">
        <f>IF(D278&gt;0.005,D278*Mortgage!$B$7/12,0)</f>
        <v/>
      </c>
      <c r="F278" s="147">
        <f>IF(D278&gt;0.005,MIN(Mortgage!$H$8-E278,D278),0)</f>
        <v/>
      </c>
      <c r="G278" s="147">
        <f>IF(D278-F278&gt;0.005,MIN(D278-F278,Mortgage!$B$18+IF(MONTH(B278)=Mortgage!$B$20,Mortgage!$B$19,0)+SUMIFS(Mortgage!$E$6:$E$15,Mortgage!$D$6:$D$15,"&gt;="&amp;B278,Mortgage!$D$6:$D$15,"&lt;"&amp;EDATE(B278,1))+IF(Mortgage!$B$10="Bi-weekly (accelerated)",Mortgage!$H$8/12,0)),0)</f>
        <v/>
      </c>
      <c r="H278" s="147">
        <f>F278+G278</f>
        <v/>
      </c>
      <c r="I278" s="148">
        <f>D278-H278</f>
        <v/>
      </c>
      <c r="J278" s="147">
        <f>E278+F278+G278</f>
        <v/>
      </c>
      <c r="K278" s="147">
        <f>IF(AND(D278&gt;0.005,Mortgage!$H$7&gt;0.8,D278/Mortgage!$B$5&gt;Mortgage!$B$14),Mortgage!$H$5*Mortgage!$B$13/12,0)</f>
        <v/>
      </c>
      <c r="L278" s="147">
        <f>IF(D278&gt;0.005,Mortgage!$B$11/12*(1+Mortgage!$B$16)^(C278-1),0)</f>
        <v/>
      </c>
      <c r="M278" s="147">
        <f>IF(D278&gt;0.005,Mortgage!$B$12/12*(1+Mortgage!$B$16)^(C278-1),0)</f>
        <v/>
      </c>
      <c r="N278" s="147">
        <f>IF(D278&gt;0.005,Mortgage!$B$15,0)</f>
        <v/>
      </c>
      <c r="O278" s="147">
        <f>J278+K278+L278+M278+N278</f>
        <v/>
      </c>
      <c r="P278" s="147">
        <f>P277+E278</f>
        <v/>
      </c>
      <c r="Q278" s="147">
        <f>IF(D278&gt;0.005,Mortgage!$B$5*(1+Mortgage!$B$17)^(A278/12),"")</f>
        <v/>
      </c>
      <c r="R278" s="147">
        <f>IF(D278&gt;0.005,Q278-I278,"")</f>
        <v/>
      </c>
      <c r="S278" s="147">
        <f>IF(A278&gt;Mortgage!$B$8*12,0,IF(Mortgage!$B$7=0,MAX(0,Mortgage!$H$5-Mortgage!$H$8*A278),MAX(0,Mortgage!$H$5*(1+(Mortgage!$B$7/12))^A278-Mortgage!$H$8*((1+(Mortgage!$B$7/12))^A278-1)/(Mortgage!$B$7/12))))</f>
        <v/>
      </c>
      <c r="T278" s="149">
        <f>IF(D278&gt;0.005,I278/Mortgage!$B$5,"")</f>
        <v/>
      </c>
      <c r="U278">
        <f>IF(A278&gt;Mortgage!$B$8*12,NA(),B278)</f>
        <v/>
      </c>
      <c r="V278">
        <f>IF(D278&gt;0.005,I278,NA())</f>
        <v/>
      </c>
      <c r="W278">
        <f>IF(A278&gt;Mortgage!$B$8*12,NA(),S278)</f>
        <v/>
      </c>
    </row>
    <row r="279">
      <c r="A279" s="129" t="n">
        <v>274</v>
      </c>
      <c r="B279" s="146">
        <f>EDATE(Mortgage!$B$9,A279-1)</f>
        <v/>
      </c>
      <c r="C279" s="129">
        <f>INT((A279-1)/12)+1</f>
        <v/>
      </c>
      <c r="D279" s="147">
        <f>IF(N(I278)&gt;0.005,I278,0)</f>
        <v/>
      </c>
      <c r="E279" s="147">
        <f>IF(D279&gt;0.005,D279*Mortgage!$B$7/12,0)</f>
        <v/>
      </c>
      <c r="F279" s="147">
        <f>IF(D279&gt;0.005,MIN(Mortgage!$H$8-E279,D279),0)</f>
        <v/>
      </c>
      <c r="G279" s="147">
        <f>IF(D279-F279&gt;0.005,MIN(D279-F279,Mortgage!$B$18+IF(MONTH(B279)=Mortgage!$B$20,Mortgage!$B$19,0)+SUMIFS(Mortgage!$E$6:$E$15,Mortgage!$D$6:$D$15,"&gt;="&amp;B279,Mortgage!$D$6:$D$15,"&lt;"&amp;EDATE(B279,1))+IF(Mortgage!$B$10="Bi-weekly (accelerated)",Mortgage!$H$8/12,0)),0)</f>
        <v/>
      </c>
      <c r="H279" s="147">
        <f>F279+G279</f>
        <v/>
      </c>
      <c r="I279" s="148">
        <f>D279-H279</f>
        <v/>
      </c>
      <c r="J279" s="147">
        <f>E279+F279+G279</f>
        <v/>
      </c>
      <c r="K279" s="147">
        <f>IF(AND(D279&gt;0.005,Mortgage!$H$7&gt;0.8,D279/Mortgage!$B$5&gt;Mortgage!$B$14),Mortgage!$H$5*Mortgage!$B$13/12,0)</f>
        <v/>
      </c>
      <c r="L279" s="147">
        <f>IF(D279&gt;0.005,Mortgage!$B$11/12*(1+Mortgage!$B$16)^(C279-1),0)</f>
        <v/>
      </c>
      <c r="M279" s="147">
        <f>IF(D279&gt;0.005,Mortgage!$B$12/12*(1+Mortgage!$B$16)^(C279-1),0)</f>
        <v/>
      </c>
      <c r="N279" s="147">
        <f>IF(D279&gt;0.005,Mortgage!$B$15,0)</f>
        <v/>
      </c>
      <c r="O279" s="147">
        <f>J279+K279+L279+M279+N279</f>
        <v/>
      </c>
      <c r="P279" s="147">
        <f>P278+E279</f>
        <v/>
      </c>
      <c r="Q279" s="147">
        <f>IF(D279&gt;0.005,Mortgage!$B$5*(1+Mortgage!$B$17)^(A279/12),"")</f>
        <v/>
      </c>
      <c r="R279" s="147">
        <f>IF(D279&gt;0.005,Q279-I279,"")</f>
        <v/>
      </c>
      <c r="S279" s="147">
        <f>IF(A279&gt;Mortgage!$B$8*12,0,IF(Mortgage!$B$7=0,MAX(0,Mortgage!$H$5-Mortgage!$H$8*A279),MAX(0,Mortgage!$H$5*(1+(Mortgage!$B$7/12))^A279-Mortgage!$H$8*((1+(Mortgage!$B$7/12))^A279-1)/(Mortgage!$B$7/12))))</f>
        <v/>
      </c>
      <c r="T279" s="149">
        <f>IF(D279&gt;0.005,I279/Mortgage!$B$5,"")</f>
        <v/>
      </c>
      <c r="U279">
        <f>IF(A279&gt;Mortgage!$B$8*12,NA(),B279)</f>
        <v/>
      </c>
      <c r="V279">
        <f>IF(D279&gt;0.005,I279,NA())</f>
        <v/>
      </c>
      <c r="W279">
        <f>IF(A279&gt;Mortgage!$B$8*12,NA(),S279)</f>
        <v/>
      </c>
    </row>
    <row r="280">
      <c r="A280" s="129" t="n">
        <v>275</v>
      </c>
      <c r="B280" s="146">
        <f>EDATE(Mortgage!$B$9,A280-1)</f>
        <v/>
      </c>
      <c r="C280" s="129">
        <f>INT((A280-1)/12)+1</f>
        <v/>
      </c>
      <c r="D280" s="147">
        <f>IF(N(I279)&gt;0.005,I279,0)</f>
        <v/>
      </c>
      <c r="E280" s="147">
        <f>IF(D280&gt;0.005,D280*Mortgage!$B$7/12,0)</f>
        <v/>
      </c>
      <c r="F280" s="147">
        <f>IF(D280&gt;0.005,MIN(Mortgage!$H$8-E280,D280),0)</f>
        <v/>
      </c>
      <c r="G280" s="147">
        <f>IF(D280-F280&gt;0.005,MIN(D280-F280,Mortgage!$B$18+IF(MONTH(B280)=Mortgage!$B$20,Mortgage!$B$19,0)+SUMIFS(Mortgage!$E$6:$E$15,Mortgage!$D$6:$D$15,"&gt;="&amp;B280,Mortgage!$D$6:$D$15,"&lt;"&amp;EDATE(B280,1))+IF(Mortgage!$B$10="Bi-weekly (accelerated)",Mortgage!$H$8/12,0)),0)</f>
        <v/>
      </c>
      <c r="H280" s="147">
        <f>F280+G280</f>
        <v/>
      </c>
      <c r="I280" s="148">
        <f>D280-H280</f>
        <v/>
      </c>
      <c r="J280" s="147">
        <f>E280+F280+G280</f>
        <v/>
      </c>
      <c r="K280" s="147">
        <f>IF(AND(D280&gt;0.005,Mortgage!$H$7&gt;0.8,D280/Mortgage!$B$5&gt;Mortgage!$B$14),Mortgage!$H$5*Mortgage!$B$13/12,0)</f>
        <v/>
      </c>
      <c r="L280" s="147">
        <f>IF(D280&gt;0.005,Mortgage!$B$11/12*(1+Mortgage!$B$16)^(C280-1),0)</f>
        <v/>
      </c>
      <c r="M280" s="147">
        <f>IF(D280&gt;0.005,Mortgage!$B$12/12*(1+Mortgage!$B$16)^(C280-1),0)</f>
        <v/>
      </c>
      <c r="N280" s="147">
        <f>IF(D280&gt;0.005,Mortgage!$B$15,0)</f>
        <v/>
      </c>
      <c r="O280" s="147">
        <f>J280+K280+L280+M280+N280</f>
        <v/>
      </c>
      <c r="P280" s="147">
        <f>P279+E280</f>
        <v/>
      </c>
      <c r="Q280" s="147">
        <f>IF(D280&gt;0.005,Mortgage!$B$5*(1+Mortgage!$B$17)^(A280/12),"")</f>
        <v/>
      </c>
      <c r="R280" s="147">
        <f>IF(D280&gt;0.005,Q280-I280,"")</f>
        <v/>
      </c>
      <c r="S280" s="147">
        <f>IF(A280&gt;Mortgage!$B$8*12,0,IF(Mortgage!$B$7=0,MAX(0,Mortgage!$H$5-Mortgage!$H$8*A280),MAX(0,Mortgage!$H$5*(1+(Mortgage!$B$7/12))^A280-Mortgage!$H$8*((1+(Mortgage!$B$7/12))^A280-1)/(Mortgage!$B$7/12))))</f>
        <v/>
      </c>
      <c r="T280" s="149">
        <f>IF(D280&gt;0.005,I280/Mortgage!$B$5,"")</f>
        <v/>
      </c>
      <c r="U280">
        <f>IF(A280&gt;Mortgage!$B$8*12,NA(),B280)</f>
        <v/>
      </c>
      <c r="V280">
        <f>IF(D280&gt;0.005,I280,NA())</f>
        <v/>
      </c>
      <c r="W280">
        <f>IF(A280&gt;Mortgage!$B$8*12,NA(),S280)</f>
        <v/>
      </c>
    </row>
    <row r="281">
      <c r="A281" s="129" t="n">
        <v>276</v>
      </c>
      <c r="B281" s="146">
        <f>EDATE(Mortgage!$B$9,A281-1)</f>
        <v/>
      </c>
      <c r="C281" s="129">
        <f>INT((A281-1)/12)+1</f>
        <v/>
      </c>
      <c r="D281" s="147">
        <f>IF(N(I280)&gt;0.005,I280,0)</f>
        <v/>
      </c>
      <c r="E281" s="147">
        <f>IF(D281&gt;0.005,D281*Mortgage!$B$7/12,0)</f>
        <v/>
      </c>
      <c r="F281" s="147">
        <f>IF(D281&gt;0.005,MIN(Mortgage!$H$8-E281,D281),0)</f>
        <v/>
      </c>
      <c r="G281" s="147">
        <f>IF(D281-F281&gt;0.005,MIN(D281-F281,Mortgage!$B$18+IF(MONTH(B281)=Mortgage!$B$20,Mortgage!$B$19,0)+SUMIFS(Mortgage!$E$6:$E$15,Mortgage!$D$6:$D$15,"&gt;="&amp;B281,Mortgage!$D$6:$D$15,"&lt;"&amp;EDATE(B281,1))+IF(Mortgage!$B$10="Bi-weekly (accelerated)",Mortgage!$H$8/12,0)),0)</f>
        <v/>
      </c>
      <c r="H281" s="147">
        <f>F281+G281</f>
        <v/>
      </c>
      <c r="I281" s="148">
        <f>D281-H281</f>
        <v/>
      </c>
      <c r="J281" s="147">
        <f>E281+F281+G281</f>
        <v/>
      </c>
      <c r="K281" s="147">
        <f>IF(AND(D281&gt;0.005,Mortgage!$H$7&gt;0.8,D281/Mortgage!$B$5&gt;Mortgage!$B$14),Mortgage!$H$5*Mortgage!$B$13/12,0)</f>
        <v/>
      </c>
      <c r="L281" s="147">
        <f>IF(D281&gt;0.005,Mortgage!$B$11/12*(1+Mortgage!$B$16)^(C281-1),0)</f>
        <v/>
      </c>
      <c r="M281" s="147">
        <f>IF(D281&gt;0.005,Mortgage!$B$12/12*(1+Mortgage!$B$16)^(C281-1),0)</f>
        <v/>
      </c>
      <c r="N281" s="147">
        <f>IF(D281&gt;0.005,Mortgage!$B$15,0)</f>
        <v/>
      </c>
      <c r="O281" s="147">
        <f>J281+K281+L281+M281+N281</f>
        <v/>
      </c>
      <c r="P281" s="147">
        <f>P280+E281</f>
        <v/>
      </c>
      <c r="Q281" s="147">
        <f>IF(D281&gt;0.005,Mortgage!$B$5*(1+Mortgage!$B$17)^(A281/12),"")</f>
        <v/>
      </c>
      <c r="R281" s="147">
        <f>IF(D281&gt;0.005,Q281-I281,"")</f>
        <v/>
      </c>
      <c r="S281" s="147">
        <f>IF(A281&gt;Mortgage!$B$8*12,0,IF(Mortgage!$B$7=0,MAX(0,Mortgage!$H$5-Mortgage!$H$8*A281),MAX(0,Mortgage!$H$5*(1+(Mortgage!$B$7/12))^A281-Mortgage!$H$8*((1+(Mortgage!$B$7/12))^A281-1)/(Mortgage!$B$7/12))))</f>
        <v/>
      </c>
      <c r="T281" s="149">
        <f>IF(D281&gt;0.005,I281/Mortgage!$B$5,"")</f>
        <v/>
      </c>
      <c r="U281">
        <f>IF(A281&gt;Mortgage!$B$8*12,NA(),B281)</f>
        <v/>
      </c>
      <c r="V281">
        <f>IF(D281&gt;0.005,I281,NA())</f>
        <v/>
      </c>
      <c r="W281">
        <f>IF(A281&gt;Mortgage!$B$8*12,NA(),S281)</f>
        <v/>
      </c>
    </row>
    <row r="282">
      <c r="A282" s="129" t="n">
        <v>277</v>
      </c>
      <c r="B282" s="146">
        <f>EDATE(Mortgage!$B$9,A282-1)</f>
        <v/>
      </c>
      <c r="C282" s="129">
        <f>INT((A282-1)/12)+1</f>
        <v/>
      </c>
      <c r="D282" s="147">
        <f>IF(N(I281)&gt;0.005,I281,0)</f>
        <v/>
      </c>
      <c r="E282" s="147">
        <f>IF(D282&gt;0.005,D282*Mortgage!$B$7/12,0)</f>
        <v/>
      </c>
      <c r="F282" s="147">
        <f>IF(D282&gt;0.005,MIN(Mortgage!$H$8-E282,D282),0)</f>
        <v/>
      </c>
      <c r="G282" s="147">
        <f>IF(D282-F282&gt;0.005,MIN(D282-F282,Mortgage!$B$18+IF(MONTH(B282)=Mortgage!$B$20,Mortgage!$B$19,0)+SUMIFS(Mortgage!$E$6:$E$15,Mortgage!$D$6:$D$15,"&gt;="&amp;B282,Mortgage!$D$6:$D$15,"&lt;"&amp;EDATE(B282,1))+IF(Mortgage!$B$10="Bi-weekly (accelerated)",Mortgage!$H$8/12,0)),0)</f>
        <v/>
      </c>
      <c r="H282" s="147">
        <f>F282+G282</f>
        <v/>
      </c>
      <c r="I282" s="148">
        <f>D282-H282</f>
        <v/>
      </c>
      <c r="J282" s="147">
        <f>E282+F282+G282</f>
        <v/>
      </c>
      <c r="K282" s="147">
        <f>IF(AND(D282&gt;0.005,Mortgage!$H$7&gt;0.8,D282/Mortgage!$B$5&gt;Mortgage!$B$14),Mortgage!$H$5*Mortgage!$B$13/12,0)</f>
        <v/>
      </c>
      <c r="L282" s="147">
        <f>IF(D282&gt;0.005,Mortgage!$B$11/12*(1+Mortgage!$B$16)^(C282-1),0)</f>
        <v/>
      </c>
      <c r="M282" s="147">
        <f>IF(D282&gt;0.005,Mortgage!$B$12/12*(1+Mortgage!$B$16)^(C282-1),0)</f>
        <v/>
      </c>
      <c r="N282" s="147">
        <f>IF(D282&gt;0.005,Mortgage!$B$15,0)</f>
        <v/>
      </c>
      <c r="O282" s="147">
        <f>J282+K282+L282+M282+N282</f>
        <v/>
      </c>
      <c r="P282" s="147">
        <f>P281+E282</f>
        <v/>
      </c>
      <c r="Q282" s="147">
        <f>IF(D282&gt;0.005,Mortgage!$B$5*(1+Mortgage!$B$17)^(A282/12),"")</f>
        <v/>
      </c>
      <c r="R282" s="147">
        <f>IF(D282&gt;0.005,Q282-I282,"")</f>
        <v/>
      </c>
      <c r="S282" s="147">
        <f>IF(A282&gt;Mortgage!$B$8*12,0,IF(Mortgage!$B$7=0,MAX(0,Mortgage!$H$5-Mortgage!$H$8*A282),MAX(0,Mortgage!$H$5*(1+(Mortgage!$B$7/12))^A282-Mortgage!$H$8*((1+(Mortgage!$B$7/12))^A282-1)/(Mortgage!$B$7/12))))</f>
        <v/>
      </c>
      <c r="T282" s="149">
        <f>IF(D282&gt;0.005,I282/Mortgage!$B$5,"")</f>
        <v/>
      </c>
      <c r="U282">
        <f>IF(A282&gt;Mortgage!$B$8*12,NA(),B282)</f>
        <v/>
      </c>
      <c r="V282">
        <f>IF(D282&gt;0.005,I282,NA())</f>
        <v/>
      </c>
      <c r="W282">
        <f>IF(A282&gt;Mortgage!$B$8*12,NA(),S282)</f>
        <v/>
      </c>
    </row>
    <row r="283">
      <c r="A283" s="129" t="n">
        <v>278</v>
      </c>
      <c r="B283" s="146">
        <f>EDATE(Mortgage!$B$9,A283-1)</f>
        <v/>
      </c>
      <c r="C283" s="129">
        <f>INT((A283-1)/12)+1</f>
        <v/>
      </c>
      <c r="D283" s="147">
        <f>IF(N(I282)&gt;0.005,I282,0)</f>
        <v/>
      </c>
      <c r="E283" s="147">
        <f>IF(D283&gt;0.005,D283*Mortgage!$B$7/12,0)</f>
        <v/>
      </c>
      <c r="F283" s="147">
        <f>IF(D283&gt;0.005,MIN(Mortgage!$H$8-E283,D283),0)</f>
        <v/>
      </c>
      <c r="G283" s="147">
        <f>IF(D283-F283&gt;0.005,MIN(D283-F283,Mortgage!$B$18+IF(MONTH(B283)=Mortgage!$B$20,Mortgage!$B$19,0)+SUMIFS(Mortgage!$E$6:$E$15,Mortgage!$D$6:$D$15,"&gt;="&amp;B283,Mortgage!$D$6:$D$15,"&lt;"&amp;EDATE(B283,1))+IF(Mortgage!$B$10="Bi-weekly (accelerated)",Mortgage!$H$8/12,0)),0)</f>
        <v/>
      </c>
      <c r="H283" s="147">
        <f>F283+G283</f>
        <v/>
      </c>
      <c r="I283" s="148">
        <f>D283-H283</f>
        <v/>
      </c>
      <c r="J283" s="147">
        <f>E283+F283+G283</f>
        <v/>
      </c>
      <c r="K283" s="147">
        <f>IF(AND(D283&gt;0.005,Mortgage!$H$7&gt;0.8,D283/Mortgage!$B$5&gt;Mortgage!$B$14),Mortgage!$H$5*Mortgage!$B$13/12,0)</f>
        <v/>
      </c>
      <c r="L283" s="147">
        <f>IF(D283&gt;0.005,Mortgage!$B$11/12*(1+Mortgage!$B$16)^(C283-1),0)</f>
        <v/>
      </c>
      <c r="M283" s="147">
        <f>IF(D283&gt;0.005,Mortgage!$B$12/12*(1+Mortgage!$B$16)^(C283-1),0)</f>
        <v/>
      </c>
      <c r="N283" s="147">
        <f>IF(D283&gt;0.005,Mortgage!$B$15,0)</f>
        <v/>
      </c>
      <c r="O283" s="147">
        <f>J283+K283+L283+M283+N283</f>
        <v/>
      </c>
      <c r="P283" s="147">
        <f>P282+E283</f>
        <v/>
      </c>
      <c r="Q283" s="147">
        <f>IF(D283&gt;0.005,Mortgage!$B$5*(1+Mortgage!$B$17)^(A283/12),"")</f>
        <v/>
      </c>
      <c r="R283" s="147">
        <f>IF(D283&gt;0.005,Q283-I283,"")</f>
        <v/>
      </c>
      <c r="S283" s="147">
        <f>IF(A283&gt;Mortgage!$B$8*12,0,IF(Mortgage!$B$7=0,MAX(0,Mortgage!$H$5-Mortgage!$H$8*A283),MAX(0,Mortgage!$H$5*(1+(Mortgage!$B$7/12))^A283-Mortgage!$H$8*((1+(Mortgage!$B$7/12))^A283-1)/(Mortgage!$B$7/12))))</f>
        <v/>
      </c>
      <c r="T283" s="149">
        <f>IF(D283&gt;0.005,I283/Mortgage!$B$5,"")</f>
        <v/>
      </c>
      <c r="U283">
        <f>IF(A283&gt;Mortgage!$B$8*12,NA(),B283)</f>
        <v/>
      </c>
      <c r="V283">
        <f>IF(D283&gt;0.005,I283,NA())</f>
        <v/>
      </c>
      <c r="W283">
        <f>IF(A283&gt;Mortgage!$B$8*12,NA(),S283)</f>
        <v/>
      </c>
    </row>
    <row r="284">
      <c r="A284" s="129" t="n">
        <v>279</v>
      </c>
      <c r="B284" s="146">
        <f>EDATE(Mortgage!$B$9,A284-1)</f>
        <v/>
      </c>
      <c r="C284" s="129">
        <f>INT((A284-1)/12)+1</f>
        <v/>
      </c>
      <c r="D284" s="147">
        <f>IF(N(I283)&gt;0.005,I283,0)</f>
        <v/>
      </c>
      <c r="E284" s="147">
        <f>IF(D284&gt;0.005,D284*Mortgage!$B$7/12,0)</f>
        <v/>
      </c>
      <c r="F284" s="147">
        <f>IF(D284&gt;0.005,MIN(Mortgage!$H$8-E284,D284),0)</f>
        <v/>
      </c>
      <c r="G284" s="147">
        <f>IF(D284-F284&gt;0.005,MIN(D284-F284,Mortgage!$B$18+IF(MONTH(B284)=Mortgage!$B$20,Mortgage!$B$19,0)+SUMIFS(Mortgage!$E$6:$E$15,Mortgage!$D$6:$D$15,"&gt;="&amp;B284,Mortgage!$D$6:$D$15,"&lt;"&amp;EDATE(B284,1))+IF(Mortgage!$B$10="Bi-weekly (accelerated)",Mortgage!$H$8/12,0)),0)</f>
        <v/>
      </c>
      <c r="H284" s="147">
        <f>F284+G284</f>
        <v/>
      </c>
      <c r="I284" s="148">
        <f>D284-H284</f>
        <v/>
      </c>
      <c r="J284" s="147">
        <f>E284+F284+G284</f>
        <v/>
      </c>
      <c r="K284" s="147">
        <f>IF(AND(D284&gt;0.005,Mortgage!$H$7&gt;0.8,D284/Mortgage!$B$5&gt;Mortgage!$B$14),Mortgage!$H$5*Mortgage!$B$13/12,0)</f>
        <v/>
      </c>
      <c r="L284" s="147">
        <f>IF(D284&gt;0.005,Mortgage!$B$11/12*(1+Mortgage!$B$16)^(C284-1),0)</f>
        <v/>
      </c>
      <c r="M284" s="147">
        <f>IF(D284&gt;0.005,Mortgage!$B$12/12*(1+Mortgage!$B$16)^(C284-1),0)</f>
        <v/>
      </c>
      <c r="N284" s="147">
        <f>IF(D284&gt;0.005,Mortgage!$B$15,0)</f>
        <v/>
      </c>
      <c r="O284" s="147">
        <f>J284+K284+L284+M284+N284</f>
        <v/>
      </c>
      <c r="P284" s="147">
        <f>P283+E284</f>
        <v/>
      </c>
      <c r="Q284" s="147">
        <f>IF(D284&gt;0.005,Mortgage!$B$5*(1+Mortgage!$B$17)^(A284/12),"")</f>
        <v/>
      </c>
      <c r="R284" s="147">
        <f>IF(D284&gt;0.005,Q284-I284,"")</f>
        <v/>
      </c>
      <c r="S284" s="147">
        <f>IF(A284&gt;Mortgage!$B$8*12,0,IF(Mortgage!$B$7=0,MAX(0,Mortgage!$H$5-Mortgage!$H$8*A284),MAX(0,Mortgage!$H$5*(1+(Mortgage!$B$7/12))^A284-Mortgage!$H$8*((1+(Mortgage!$B$7/12))^A284-1)/(Mortgage!$B$7/12))))</f>
        <v/>
      </c>
      <c r="T284" s="149">
        <f>IF(D284&gt;0.005,I284/Mortgage!$B$5,"")</f>
        <v/>
      </c>
      <c r="U284">
        <f>IF(A284&gt;Mortgage!$B$8*12,NA(),B284)</f>
        <v/>
      </c>
      <c r="V284">
        <f>IF(D284&gt;0.005,I284,NA())</f>
        <v/>
      </c>
      <c r="W284">
        <f>IF(A284&gt;Mortgage!$B$8*12,NA(),S284)</f>
        <v/>
      </c>
    </row>
    <row r="285">
      <c r="A285" s="129" t="n">
        <v>280</v>
      </c>
      <c r="B285" s="146">
        <f>EDATE(Mortgage!$B$9,A285-1)</f>
        <v/>
      </c>
      <c r="C285" s="129">
        <f>INT((A285-1)/12)+1</f>
        <v/>
      </c>
      <c r="D285" s="147">
        <f>IF(N(I284)&gt;0.005,I284,0)</f>
        <v/>
      </c>
      <c r="E285" s="147">
        <f>IF(D285&gt;0.005,D285*Mortgage!$B$7/12,0)</f>
        <v/>
      </c>
      <c r="F285" s="147">
        <f>IF(D285&gt;0.005,MIN(Mortgage!$H$8-E285,D285),0)</f>
        <v/>
      </c>
      <c r="G285" s="147">
        <f>IF(D285-F285&gt;0.005,MIN(D285-F285,Mortgage!$B$18+IF(MONTH(B285)=Mortgage!$B$20,Mortgage!$B$19,0)+SUMIFS(Mortgage!$E$6:$E$15,Mortgage!$D$6:$D$15,"&gt;="&amp;B285,Mortgage!$D$6:$D$15,"&lt;"&amp;EDATE(B285,1))+IF(Mortgage!$B$10="Bi-weekly (accelerated)",Mortgage!$H$8/12,0)),0)</f>
        <v/>
      </c>
      <c r="H285" s="147">
        <f>F285+G285</f>
        <v/>
      </c>
      <c r="I285" s="148">
        <f>D285-H285</f>
        <v/>
      </c>
      <c r="J285" s="147">
        <f>E285+F285+G285</f>
        <v/>
      </c>
      <c r="K285" s="147">
        <f>IF(AND(D285&gt;0.005,Mortgage!$H$7&gt;0.8,D285/Mortgage!$B$5&gt;Mortgage!$B$14),Mortgage!$H$5*Mortgage!$B$13/12,0)</f>
        <v/>
      </c>
      <c r="L285" s="147">
        <f>IF(D285&gt;0.005,Mortgage!$B$11/12*(1+Mortgage!$B$16)^(C285-1),0)</f>
        <v/>
      </c>
      <c r="M285" s="147">
        <f>IF(D285&gt;0.005,Mortgage!$B$12/12*(1+Mortgage!$B$16)^(C285-1),0)</f>
        <v/>
      </c>
      <c r="N285" s="147">
        <f>IF(D285&gt;0.005,Mortgage!$B$15,0)</f>
        <v/>
      </c>
      <c r="O285" s="147">
        <f>J285+K285+L285+M285+N285</f>
        <v/>
      </c>
      <c r="P285" s="147">
        <f>P284+E285</f>
        <v/>
      </c>
      <c r="Q285" s="147">
        <f>IF(D285&gt;0.005,Mortgage!$B$5*(1+Mortgage!$B$17)^(A285/12),"")</f>
        <v/>
      </c>
      <c r="R285" s="147">
        <f>IF(D285&gt;0.005,Q285-I285,"")</f>
        <v/>
      </c>
      <c r="S285" s="147">
        <f>IF(A285&gt;Mortgage!$B$8*12,0,IF(Mortgage!$B$7=0,MAX(0,Mortgage!$H$5-Mortgage!$H$8*A285),MAX(0,Mortgage!$H$5*(1+(Mortgage!$B$7/12))^A285-Mortgage!$H$8*((1+(Mortgage!$B$7/12))^A285-1)/(Mortgage!$B$7/12))))</f>
        <v/>
      </c>
      <c r="T285" s="149">
        <f>IF(D285&gt;0.005,I285/Mortgage!$B$5,"")</f>
        <v/>
      </c>
      <c r="U285">
        <f>IF(A285&gt;Mortgage!$B$8*12,NA(),B285)</f>
        <v/>
      </c>
      <c r="V285">
        <f>IF(D285&gt;0.005,I285,NA())</f>
        <v/>
      </c>
      <c r="W285">
        <f>IF(A285&gt;Mortgage!$B$8*12,NA(),S285)</f>
        <v/>
      </c>
    </row>
    <row r="286">
      <c r="A286" s="129" t="n">
        <v>281</v>
      </c>
      <c r="B286" s="146">
        <f>EDATE(Mortgage!$B$9,A286-1)</f>
        <v/>
      </c>
      <c r="C286" s="129">
        <f>INT((A286-1)/12)+1</f>
        <v/>
      </c>
      <c r="D286" s="147">
        <f>IF(N(I285)&gt;0.005,I285,0)</f>
        <v/>
      </c>
      <c r="E286" s="147">
        <f>IF(D286&gt;0.005,D286*Mortgage!$B$7/12,0)</f>
        <v/>
      </c>
      <c r="F286" s="147">
        <f>IF(D286&gt;0.005,MIN(Mortgage!$H$8-E286,D286),0)</f>
        <v/>
      </c>
      <c r="G286" s="147">
        <f>IF(D286-F286&gt;0.005,MIN(D286-F286,Mortgage!$B$18+IF(MONTH(B286)=Mortgage!$B$20,Mortgage!$B$19,0)+SUMIFS(Mortgage!$E$6:$E$15,Mortgage!$D$6:$D$15,"&gt;="&amp;B286,Mortgage!$D$6:$D$15,"&lt;"&amp;EDATE(B286,1))+IF(Mortgage!$B$10="Bi-weekly (accelerated)",Mortgage!$H$8/12,0)),0)</f>
        <v/>
      </c>
      <c r="H286" s="147">
        <f>F286+G286</f>
        <v/>
      </c>
      <c r="I286" s="148">
        <f>D286-H286</f>
        <v/>
      </c>
      <c r="J286" s="147">
        <f>E286+F286+G286</f>
        <v/>
      </c>
      <c r="K286" s="147">
        <f>IF(AND(D286&gt;0.005,Mortgage!$H$7&gt;0.8,D286/Mortgage!$B$5&gt;Mortgage!$B$14),Mortgage!$H$5*Mortgage!$B$13/12,0)</f>
        <v/>
      </c>
      <c r="L286" s="147">
        <f>IF(D286&gt;0.005,Mortgage!$B$11/12*(1+Mortgage!$B$16)^(C286-1),0)</f>
        <v/>
      </c>
      <c r="M286" s="147">
        <f>IF(D286&gt;0.005,Mortgage!$B$12/12*(1+Mortgage!$B$16)^(C286-1),0)</f>
        <v/>
      </c>
      <c r="N286" s="147">
        <f>IF(D286&gt;0.005,Mortgage!$B$15,0)</f>
        <v/>
      </c>
      <c r="O286" s="147">
        <f>J286+K286+L286+M286+N286</f>
        <v/>
      </c>
      <c r="P286" s="147">
        <f>P285+E286</f>
        <v/>
      </c>
      <c r="Q286" s="147">
        <f>IF(D286&gt;0.005,Mortgage!$B$5*(1+Mortgage!$B$17)^(A286/12),"")</f>
        <v/>
      </c>
      <c r="R286" s="147">
        <f>IF(D286&gt;0.005,Q286-I286,"")</f>
        <v/>
      </c>
      <c r="S286" s="147">
        <f>IF(A286&gt;Mortgage!$B$8*12,0,IF(Mortgage!$B$7=0,MAX(0,Mortgage!$H$5-Mortgage!$H$8*A286),MAX(0,Mortgage!$H$5*(1+(Mortgage!$B$7/12))^A286-Mortgage!$H$8*((1+(Mortgage!$B$7/12))^A286-1)/(Mortgage!$B$7/12))))</f>
        <v/>
      </c>
      <c r="T286" s="149">
        <f>IF(D286&gt;0.005,I286/Mortgage!$B$5,"")</f>
        <v/>
      </c>
      <c r="U286">
        <f>IF(A286&gt;Mortgage!$B$8*12,NA(),B286)</f>
        <v/>
      </c>
      <c r="V286">
        <f>IF(D286&gt;0.005,I286,NA())</f>
        <v/>
      </c>
      <c r="W286">
        <f>IF(A286&gt;Mortgage!$B$8*12,NA(),S286)</f>
        <v/>
      </c>
    </row>
    <row r="287">
      <c r="A287" s="129" t="n">
        <v>282</v>
      </c>
      <c r="B287" s="146">
        <f>EDATE(Mortgage!$B$9,A287-1)</f>
        <v/>
      </c>
      <c r="C287" s="129">
        <f>INT((A287-1)/12)+1</f>
        <v/>
      </c>
      <c r="D287" s="147">
        <f>IF(N(I286)&gt;0.005,I286,0)</f>
        <v/>
      </c>
      <c r="E287" s="147">
        <f>IF(D287&gt;0.005,D287*Mortgage!$B$7/12,0)</f>
        <v/>
      </c>
      <c r="F287" s="147">
        <f>IF(D287&gt;0.005,MIN(Mortgage!$H$8-E287,D287),0)</f>
        <v/>
      </c>
      <c r="G287" s="147">
        <f>IF(D287-F287&gt;0.005,MIN(D287-F287,Mortgage!$B$18+IF(MONTH(B287)=Mortgage!$B$20,Mortgage!$B$19,0)+SUMIFS(Mortgage!$E$6:$E$15,Mortgage!$D$6:$D$15,"&gt;="&amp;B287,Mortgage!$D$6:$D$15,"&lt;"&amp;EDATE(B287,1))+IF(Mortgage!$B$10="Bi-weekly (accelerated)",Mortgage!$H$8/12,0)),0)</f>
        <v/>
      </c>
      <c r="H287" s="147">
        <f>F287+G287</f>
        <v/>
      </c>
      <c r="I287" s="148">
        <f>D287-H287</f>
        <v/>
      </c>
      <c r="J287" s="147">
        <f>E287+F287+G287</f>
        <v/>
      </c>
      <c r="K287" s="147">
        <f>IF(AND(D287&gt;0.005,Mortgage!$H$7&gt;0.8,D287/Mortgage!$B$5&gt;Mortgage!$B$14),Mortgage!$H$5*Mortgage!$B$13/12,0)</f>
        <v/>
      </c>
      <c r="L287" s="147">
        <f>IF(D287&gt;0.005,Mortgage!$B$11/12*(1+Mortgage!$B$16)^(C287-1),0)</f>
        <v/>
      </c>
      <c r="M287" s="147">
        <f>IF(D287&gt;0.005,Mortgage!$B$12/12*(1+Mortgage!$B$16)^(C287-1),0)</f>
        <v/>
      </c>
      <c r="N287" s="147">
        <f>IF(D287&gt;0.005,Mortgage!$B$15,0)</f>
        <v/>
      </c>
      <c r="O287" s="147">
        <f>J287+K287+L287+M287+N287</f>
        <v/>
      </c>
      <c r="P287" s="147">
        <f>P286+E287</f>
        <v/>
      </c>
      <c r="Q287" s="147">
        <f>IF(D287&gt;0.005,Mortgage!$B$5*(1+Mortgage!$B$17)^(A287/12),"")</f>
        <v/>
      </c>
      <c r="R287" s="147">
        <f>IF(D287&gt;0.005,Q287-I287,"")</f>
        <v/>
      </c>
      <c r="S287" s="147">
        <f>IF(A287&gt;Mortgage!$B$8*12,0,IF(Mortgage!$B$7=0,MAX(0,Mortgage!$H$5-Mortgage!$H$8*A287),MAX(0,Mortgage!$H$5*(1+(Mortgage!$B$7/12))^A287-Mortgage!$H$8*((1+(Mortgage!$B$7/12))^A287-1)/(Mortgage!$B$7/12))))</f>
        <v/>
      </c>
      <c r="T287" s="149">
        <f>IF(D287&gt;0.005,I287/Mortgage!$B$5,"")</f>
        <v/>
      </c>
      <c r="U287">
        <f>IF(A287&gt;Mortgage!$B$8*12,NA(),B287)</f>
        <v/>
      </c>
      <c r="V287">
        <f>IF(D287&gt;0.005,I287,NA())</f>
        <v/>
      </c>
      <c r="W287">
        <f>IF(A287&gt;Mortgage!$B$8*12,NA(),S287)</f>
        <v/>
      </c>
    </row>
    <row r="288">
      <c r="A288" s="129" t="n">
        <v>283</v>
      </c>
      <c r="B288" s="146">
        <f>EDATE(Mortgage!$B$9,A288-1)</f>
        <v/>
      </c>
      <c r="C288" s="129">
        <f>INT((A288-1)/12)+1</f>
        <v/>
      </c>
      <c r="D288" s="147">
        <f>IF(N(I287)&gt;0.005,I287,0)</f>
        <v/>
      </c>
      <c r="E288" s="147">
        <f>IF(D288&gt;0.005,D288*Mortgage!$B$7/12,0)</f>
        <v/>
      </c>
      <c r="F288" s="147">
        <f>IF(D288&gt;0.005,MIN(Mortgage!$H$8-E288,D288),0)</f>
        <v/>
      </c>
      <c r="G288" s="147">
        <f>IF(D288-F288&gt;0.005,MIN(D288-F288,Mortgage!$B$18+IF(MONTH(B288)=Mortgage!$B$20,Mortgage!$B$19,0)+SUMIFS(Mortgage!$E$6:$E$15,Mortgage!$D$6:$D$15,"&gt;="&amp;B288,Mortgage!$D$6:$D$15,"&lt;"&amp;EDATE(B288,1))+IF(Mortgage!$B$10="Bi-weekly (accelerated)",Mortgage!$H$8/12,0)),0)</f>
        <v/>
      </c>
      <c r="H288" s="147">
        <f>F288+G288</f>
        <v/>
      </c>
      <c r="I288" s="148">
        <f>D288-H288</f>
        <v/>
      </c>
      <c r="J288" s="147">
        <f>E288+F288+G288</f>
        <v/>
      </c>
      <c r="K288" s="147">
        <f>IF(AND(D288&gt;0.005,Mortgage!$H$7&gt;0.8,D288/Mortgage!$B$5&gt;Mortgage!$B$14),Mortgage!$H$5*Mortgage!$B$13/12,0)</f>
        <v/>
      </c>
      <c r="L288" s="147">
        <f>IF(D288&gt;0.005,Mortgage!$B$11/12*(1+Mortgage!$B$16)^(C288-1),0)</f>
        <v/>
      </c>
      <c r="M288" s="147">
        <f>IF(D288&gt;0.005,Mortgage!$B$12/12*(1+Mortgage!$B$16)^(C288-1),0)</f>
        <v/>
      </c>
      <c r="N288" s="147">
        <f>IF(D288&gt;0.005,Mortgage!$B$15,0)</f>
        <v/>
      </c>
      <c r="O288" s="147">
        <f>J288+K288+L288+M288+N288</f>
        <v/>
      </c>
      <c r="P288" s="147">
        <f>P287+E288</f>
        <v/>
      </c>
      <c r="Q288" s="147">
        <f>IF(D288&gt;0.005,Mortgage!$B$5*(1+Mortgage!$B$17)^(A288/12),"")</f>
        <v/>
      </c>
      <c r="R288" s="147">
        <f>IF(D288&gt;0.005,Q288-I288,"")</f>
        <v/>
      </c>
      <c r="S288" s="147">
        <f>IF(A288&gt;Mortgage!$B$8*12,0,IF(Mortgage!$B$7=0,MAX(0,Mortgage!$H$5-Mortgage!$H$8*A288),MAX(0,Mortgage!$H$5*(1+(Mortgage!$B$7/12))^A288-Mortgage!$H$8*((1+(Mortgage!$B$7/12))^A288-1)/(Mortgage!$B$7/12))))</f>
        <v/>
      </c>
      <c r="T288" s="149">
        <f>IF(D288&gt;0.005,I288/Mortgage!$B$5,"")</f>
        <v/>
      </c>
      <c r="U288">
        <f>IF(A288&gt;Mortgage!$B$8*12,NA(),B288)</f>
        <v/>
      </c>
      <c r="V288">
        <f>IF(D288&gt;0.005,I288,NA())</f>
        <v/>
      </c>
      <c r="W288">
        <f>IF(A288&gt;Mortgage!$B$8*12,NA(),S288)</f>
        <v/>
      </c>
    </row>
    <row r="289">
      <c r="A289" s="129" t="n">
        <v>284</v>
      </c>
      <c r="B289" s="146">
        <f>EDATE(Mortgage!$B$9,A289-1)</f>
        <v/>
      </c>
      <c r="C289" s="129">
        <f>INT((A289-1)/12)+1</f>
        <v/>
      </c>
      <c r="D289" s="147">
        <f>IF(N(I288)&gt;0.005,I288,0)</f>
        <v/>
      </c>
      <c r="E289" s="147">
        <f>IF(D289&gt;0.005,D289*Mortgage!$B$7/12,0)</f>
        <v/>
      </c>
      <c r="F289" s="147">
        <f>IF(D289&gt;0.005,MIN(Mortgage!$H$8-E289,D289),0)</f>
        <v/>
      </c>
      <c r="G289" s="147">
        <f>IF(D289-F289&gt;0.005,MIN(D289-F289,Mortgage!$B$18+IF(MONTH(B289)=Mortgage!$B$20,Mortgage!$B$19,0)+SUMIFS(Mortgage!$E$6:$E$15,Mortgage!$D$6:$D$15,"&gt;="&amp;B289,Mortgage!$D$6:$D$15,"&lt;"&amp;EDATE(B289,1))+IF(Mortgage!$B$10="Bi-weekly (accelerated)",Mortgage!$H$8/12,0)),0)</f>
        <v/>
      </c>
      <c r="H289" s="147">
        <f>F289+G289</f>
        <v/>
      </c>
      <c r="I289" s="148">
        <f>D289-H289</f>
        <v/>
      </c>
      <c r="J289" s="147">
        <f>E289+F289+G289</f>
        <v/>
      </c>
      <c r="K289" s="147">
        <f>IF(AND(D289&gt;0.005,Mortgage!$H$7&gt;0.8,D289/Mortgage!$B$5&gt;Mortgage!$B$14),Mortgage!$H$5*Mortgage!$B$13/12,0)</f>
        <v/>
      </c>
      <c r="L289" s="147">
        <f>IF(D289&gt;0.005,Mortgage!$B$11/12*(1+Mortgage!$B$16)^(C289-1),0)</f>
        <v/>
      </c>
      <c r="M289" s="147">
        <f>IF(D289&gt;0.005,Mortgage!$B$12/12*(1+Mortgage!$B$16)^(C289-1),0)</f>
        <v/>
      </c>
      <c r="N289" s="147">
        <f>IF(D289&gt;0.005,Mortgage!$B$15,0)</f>
        <v/>
      </c>
      <c r="O289" s="147">
        <f>J289+K289+L289+M289+N289</f>
        <v/>
      </c>
      <c r="P289" s="147">
        <f>P288+E289</f>
        <v/>
      </c>
      <c r="Q289" s="147">
        <f>IF(D289&gt;0.005,Mortgage!$B$5*(1+Mortgage!$B$17)^(A289/12),"")</f>
        <v/>
      </c>
      <c r="R289" s="147">
        <f>IF(D289&gt;0.005,Q289-I289,"")</f>
        <v/>
      </c>
      <c r="S289" s="147">
        <f>IF(A289&gt;Mortgage!$B$8*12,0,IF(Mortgage!$B$7=0,MAX(0,Mortgage!$H$5-Mortgage!$H$8*A289),MAX(0,Mortgage!$H$5*(1+(Mortgage!$B$7/12))^A289-Mortgage!$H$8*((1+(Mortgage!$B$7/12))^A289-1)/(Mortgage!$B$7/12))))</f>
        <v/>
      </c>
      <c r="T289" s="149">
        <f>IF(D289&gt;0.005,I289/Mortgage!$B$5,"")</f>
        <v/>
      </c>
      <c r="U289">
        <f>IF(A289&gt;Mortgage!$B$8*12,NA(),B289)</f>
        <v/>
      </c>
      <c r="V289">
        <f>IF(D289&gt;0.005,I289,NA())</f>
        <v/>
      </c>
      <c r="W289">
        <f>IF(A289&gt;Mortgage!$B$8*12,NA(),S289)</f>
        <v/>
      </c>
    </row>
    <row r="290">
      <c r="A290" s="129" t="n">
        <v>285</v>
      </c>
      <c r="B290" s="146">
        <f>EDATE(Mortgage!$B$9,A290-1)</f>
        <v/>
      </c>
      <c r="C290" s="129">
        <f>INT((A290-1)/12)+1</f>
        <v/>
      </c>
      <c r="D290" s="147">
        <f>IF(N(I289)&gt;0.005,I289,0)</f>
        <v/>
      </c>
      <c r="E290" s="147">
        <f>IF(D290&gt;0.005,D290*Mortgage!$B$7/12,0)</f>
        <v/>
      </c>
      <c r="F290" s="147">
        <f>IF(D290&gt;0.005,MIN(Mortgage!$H$8-E290,D290),0)</f>
        <v/>
      </c>
      <c r="G290" s="147">
        <f>IF(D290-F290&gt;0.005,MIN(D290-F290,Mortgage!$B$18+IF(MONTH(B290)=Mortgage!$B$20,Mortgage!$B$19,0)+SUMIFS(Mortgage!$E$6:$E$15,Mortgage!$D$6:$D$15,"&gt;="&amp;B290,Mortgage!$D$6:$D$15,"&lt;"&amp;EDATE(B290,1))+IF(Mortgage!$B$10="Bi-weekly (accelerated)",Mortgage!$H$8/12,0)),0)</f>
        <v/>
      </c>
      <c r="H290" s="147">
        <f>F290+G290</f>
        <v/>
      </c>
      <c r="I290" s="148">
        <f>D290-H290</f>
        <v/>
      </c>
      <c r="J290" s="147">
        <f>E290+F290+G290</f>
        <v/>
      </c>
      <c r="K290" s="147">
        <f>IF(AND(D290&gt;0.005,Mortgage!$H$7&gt;0.8,D290/Mortgage!$B$5&gt;Mortgage!$B$14),Mortgage!$H$5*Mortgage!$B$13/12,0)</f>
        <v/>
      </c>
      <c r="L290" s="147">
        <f>IF(D290&gt;0.005,Mortgage!$B$11/12*(1+Mortgage!$B$16)^(C290-1),0)</f>
        <v/>
      </c>
      <c r="M290" s="147">
        <f>IF(D290&gt;0.005,Mortgage!$B$12/12*(1+Mortgage!$B$16)^(C290-1),0)</f>
        <v/>
      </c>
      <c r="N290" s="147">
        <f>IF(D290&gt;0.005,Mortgage!$B$15,0)</f>
        <v/>
      </c>
      <c r="O290" s="147">
        <f>J290+K290+L290+M290+N290</f>
        <v/>
      </c>
      <c r="P290" s="147">
        <f>P289+E290</f>
        <v/>
      </c>
      <c r="Q290" s="147">
        <f>IF(D290&gt;0.005,Mortgage!$B$5*(1+Mortgage!$B$17)^(A290/12),"")</f>
        <v/>
      </c>
      <c r="R290" s="147">
        <f>IF(D290&gt;0.005,Q290-I290,"")</f>
        <v/>
      </c>
      <c r="S290" s="147">
        <f>IF(A290&gt;Mortgage!$B$8*12,0,IF(Mortgage!$B$7=0,MAX(0,Mortgage!$H$5-Mortgage!$H$8*A290),MAX(0,Mortgage!$H$5*(1+(Mortgage!$B$7/12))^A290-Mortgage!$H$8*((1+(Mortgage!$B$7/12))^A290-1)/(Mortgage!$B$7/12))))</f>
        <v/>
      </c>
      <c r="T290" s="149">
        <f>IF(D290&gt;0.005,I290/Mortgage!$B$5,"")</f>
        <v/>
      </c>
      <c r="U290">
        <f>IF(A290&gt;Mortgage!$B$8*12,NA(),B290)</f>
        <v/>
      </c>
      <c r="V290">
        <f>IF(D290&gt;0.005,I290,NA())</f>
        <v/>
      </c>
      <c r="W290">
        <f>IF(A290&gt;Mortgage!$B$8*12,NA(),S290)</f>
        <v/>
      </c>
    </row>
    <row r="291">
      <c r="A291" s="129" t="n">
        <v>286</v>
      </c>
      <c r="B291" s="146">
        <f>EDATE(Mortgage!$B$9,A291-1)</f>
        <v/>
      </c>
      <c r="C291" s="129">
        <f>INT((A291-1)/12)+1</f>
        <v/>
      </c>
      <c r="D291" s="147">
        <f>IF(N(I290)&gt;0.005,I290,0)</f>
        <v/>
      </c>
      <c r="E291" s="147">
        <f>IF(D291&gt;0.005,D291*Mortgage!$B$7/12,0)</f>
        <v/>
      </c>
      <c r="F291" s="147">
        <f>IF(D291&gt;0.005,MIN(Mortgage!$H$8-E291,D291),0)</f>
        <v/>
      </c>
      <c r="G291" s="147">
        <f>IF(D291-F291&gt;0.005,MIN(D291-F291,Mortgage!$B$18+IF(MONTH(B291)=Mortgage!$B$20,Mortgage!$B$19,0)+SUMIFS(Mortgage!$E$6:$E$15,Mortgage!$D$6:$D$15,"&gt;="&amp;B291,Mortgage!$D$6:$D$15,"&lt;"&amp;EDATE(B291,1))+IF(Mortgage!$B$10="Bi-weekly (accelerated)",Mortgage!$H$8/12,0)),0)</f>
        <v/>
      </c>
      <c r="H291" s="147">
        <f>F291+G291</f>
        <v/>
      </c>
      <c r="I291" s="148">
        <f>D291-H291</f>
        <v/>
      </c>
      <c r="J291" s="147">
        <f>E291+F291+G291</f>
        <v/>
      </c>
      <c r="K291" s="147">
        <f>IF(AND(D291&gt;0.005,Mortgage!$H$7&gt;0.8,D291/Mortgage!$B$5&gt;Mortgage!$B$14),Mortgage!$H$5*Mortgage!$B$13/12,0)</f>
        <v/>
      </c>
      <c r="L291" s="147">
        <f>IF(D291&gt;0.005,Mortgage!$B$11/12*(1+Mortgage!$B$16)^(C291-1),0)</f>
        <v/>
      </c>
      <c r="M291" s="147">
        <f>IF(D291&gt;0.005,Mortgage!$B$12/12*(1+Mortgage!$B$16)^(C291-1),0)</f>
        <v/>
      </c>
      <c r="N291" s="147">
        <f>IF(D291&gt;0.005,Mortgage!$B$15,0)</f>
        <v/>
      </c>
      <c r="O291" s="147">
        <f>J291+K291+L291+M291+N291</f>
        <v/>
      </c>
      <c r="P291" s="147">
        <f>P290+E291</f>
        <v/>
      </c>
      <c r="Q291" s="147">
        <f>IF(D291&gt;0.005,Mortgage!$B$5*(1+Mortgage!$B$17)^(A291/12),"")</f>
        <v/>
      </c>
      <c r="R291" s="147">
        <f>IF(D291&gt;0.005,Q291-I291,"")</f>
        <v/>
      </c>
      <c r="S291" s="147">
        <f>IF(A291&gt;Mortgage!$B$8*12,0,IF(Mortgage!$B$7=0,MAX(0,Mortgage!$H$5-Mortgage!$H$8*A291),MAX(0,Mortgage!$H$5*(1+(Mortgage!$B$7/12))^A291-Mortgage!$H$8*((1+(Mortgage!$B$7/12))^A291-1)/(Mortgage!$B$7/12))))</f>
        <v/>
      </c>
      <c r="T291" s="149">
        <f>IF(D291&gt;0.005,I291/Mortgage!$B$5,"")</f>
        <v/>
      </c>
      <c r="U291">
        <f>IF(A291&gt;Mortgage!$B$8*12,NA(),B291)</f>
        <v/>
      </c>
      <c r="V291">
        <f>IF(D291&gt;0.005,I291,NA())</f>
        <v/>
      </c>
      <c r="W291">
        <f>IF(A291&gt;Mortgage!$B$8*12,NA(),S291)</f>
        <v/>
      </c>
    </row>
    <row r="292">
      <c r="A292" s="129" t="n">
        <v>287</v>
      </c>
      <c r="B292" s="146">
        <f>EDATE(Mortgage!$B$9,A292-1)</f>
        <v/>
      </c>
      <c r="C292" s="129">
        <f>INT((A292-1)/12)+1</f>
        <v/>
      </c>
      <c r="D292" s="147">
        <f>IF(N(I291)&gt;0.005,I291,0)</f>
        <v/>
      </c>
      <c r="E292" s="147">
        <f>IF(D292&gt;0.005,D292*Mortgage!$B$7/12,0)</f>
        <v/>
      </c>
      <c r="F292" s="147">
        <f>IF(D292&gt;0.005,MIN(Mortgage!$H$8-E292,D292),0)</f>
        <v/>
      </c>
      <c r="G292" s="147">
        <f>IF(D292-F292&gt;0.005,MIN(D292-F292,Mortgage!$B$18+IF(MONTH(B292)=Mortgage!$B$20,Mortgage!$B$19,0)+SUMIFS(Mortgage!$E$6:$E$15,Mortgage!$D$6:$D$15,"&gt;="&amp;B292,Mortgage!$D$6:$D$15,"&lt;"&amp;EDATE(B292,1))+IF(Mortgage!$B$10="Bi-weekly (accelerated)",Mortgage!$H$8/12,0)),0)</f>
        <v/>
      </c>
      <c r="H292" s="147">
        <f>F292+G292</f>
        <v/>
      </c>
      <c r="I292" s="148">
        <f>D292-H292</f>
        <v/>
      </c>
      <c r="J292" s="147">
        <f>E292+F292+G292</f>
        <v/>
      </c>
      <c r="K292" s="147">
        <f>IF(AND(D292&gt;0.005,Mortgage!$H$7&gt;0.8,D292/Mortgage!$B$5&gt;Mortgage!$B$14),Mortgage!$H$5*Mortgage!$B$13/12,0)</f>
        <v/>
      </c>
      <c r="L292" s="147">
        <f>IF(D292&gt;0.005,Mortgage!$B$11/12*(1+Mortgage!$B$16)^(C292-1),0)</f>
        <v/>
      </c>
      <c r="M292" s="147">
        <f>IF(D292&gt;0.005,Mortgage!$B$12/12*(1+Mortgage!$B$16)^(C292-1),0)</f>
        <v/>
      </c>
      <c r="N292" s="147">
        <f>IF(D292&gt;0.005,Mortgage!$B$15,0)</f>
        <v/>
      </c>
      <c r="O292" s="147">
        <f>J292+K292+L292+M292+N292</f>
        <v/>
      </c>
      <c r="P292" s="147">
        <f>P291+E292</f>
        <v/>
      </c>
      <c r="Q292" s="147">
        <f>IF(D292&gt;0.005,Mortgage!$B$5*(1+Mortgage!$B$17)^(A292/12),"")</f>
        <v/>
      </c>
      <c r="R292" s="147">
        <f>IF(D292&gt;0.005,Q292-I292,"")</f>
        <v/>
      </c>
      <c r="S292" s="147">
        <f>IF(A292&gt;Mortgage!$B$8*12,0,IF(Mortgage!$B$7=0,MAX(0,Mortgage!$H$5-Mortgage!$H$8*A292),MAX(0,Mortgage!$H$5*(1+(Mortgage!$B$7/12))^A292-Mortgage!$H$8*((1+(Mortgage!$B$7/12))^A292-1)/(Mortgage!$B$7/12))))</f>
        <v/>
      </c>
      <c r="T292" s="149">
        <f>IF(D292&gt;0.005,I292/Mortgage!$B$5,"")</f>
        <v/>
      </c>
      <c r="U292">
        <f>IF(A292&gt;Mortgage!$B$8*12,NA(),B292)</f>
        <v/>
      </c>
      <c r="V292">
        <f>IF(D292&gt;0.005,I292,NA())</f>
        <v/>
      </c>
      <c r="W292">
        <f>IF(A292&gt;Mortgage!$B$8*12,NA(),S292)</f>
        <v/>
      </c>
    </row>
    <row r="293">
      <c r="A293" s="129" t="n">
        <v>288</v>
      </c>
      <c r="B293" s="146">
        <f>EDATE(Mortgage!$B$9,A293-1)</f>
        <v/>
      </c>
      <c r="C293" s="129">
        <f>INT((A293-1)/12)+1</f>
        <v/>
      </c>
      <c r="D293" s="147">
        <f>IF(N(I292)&gt;0.005,I292,0)</f>
        <v/>
      </c>
      <c r="E293" s="147">
        <f>IF(D293&gt;0.005,D293*Mortgage!$B$7/12,0)</f>
        <v/>
      </c>
      <c r="F293" s="147">
        <f>IF(D293&gt;0.005,MIN(Mortgage!$H$8-E293,D293),0)</f>
        <v/>
      </c>
      <c r="G293" s="147">
        <f>IF(D293-F293&gt;0.005,MIN(D293-F293,Mortgage!$B$18+IF(MONTH(B293)=Mortgage!$B$20,Mortgage!$B$19,0)+SUMIFS(Mortgage!$E$6:$E$15,Mortgage!$D$6:$D$15,"&gt;="&amp;B293,Mortgage!$D$6:$D$15,"&lt;"&amp;EDATE(B293,1))+IF(Mortgage!$B$10="Bi-weekly (accelerated)",Mortgage!$H$8/12,0)),0)</f>
        <v/>
      </c>
      <c r="H293" s="147">
        <f>F293+G293</f>
        <v/>
      </c>
      <c r="I293" s="148">
        <f>D293-H293</f>
        <v/>
      </c>
      <c r="J293" s="147">
        <f>E293+F293+G293</f>
        <v/>
      </c>
      <c r="K293" s="147">
        <f>IF(AND(D293&gt;0.005,Mortgage!$H$7&gt;0.8,D293/Mortgage!$B$5&gt;Mortgage!$B$14),Mortgage!$H$5*Mortgage!$B$13/12,0)</f>
        <v/>
      </c>
      <c r="L293" s="147">
        <f>IF(D293&gt;0.005,Mortgage!$B$11/12*(1+Mortgage!$B$16)^(C293-1),0)</f>
        <v/>
      </c>
      <c r="M293" s="147">
        <f>IF(D293&gt;0.005,Mortgage!$B$12/12*(1+Mortgage!$B$16)^(C293-1),0)</f>
        <v/>
      </c>
      <c r="N293" s="147">
        <f>IF(D293&gt;0.005,Mortgage!$B$15,0)</f>
        <v/>
      </c>
      <c r="O293" s="147">
        <f>J293+K293+L293+M293+N293</f>
        <v/>
      </c>
      <c r="P293" s="147">
        <f>P292+E293</f>
        <v/>
      </c>
      <c r="Q293" s="147">
        <f>IF(D293&gt;0.005,Mortgage!$B$5*(1+Mortgage!$B$17)^(A293/12),"")</f>
        <v/>
      </c>
      <c r="R293" s="147">
        <f>IF(D293&gt;0.005,Q293-I293,"")</f>
        <v/>
      </c>
      <c r="S293" s="147">
        <f>IF(A293&gt;Mortgage!$B$8*12,0,IF(Mortgage!$B$7=0,MAX(0,Mortgage!$H$5-Mortgage!$H$8*A293),MAX(0,Mortgage!$H$5*(1+(Mortgage!$B$7/12))^A293-Mortgage!$H$8*((1+(Mortgage!$B$7/12))^A293-1)/(Mortgage!$B$7/12))))</f>
        <v/>
      </c>
      <c r="T293" s="149">
        <f>IF(D293&gt;0.005,I293/Mortgage!$B$5,"")</f>
        <v/>
      </c>
      <c r="U293">
        <f>IF(A293&gt;Mortgage!$B$8*12,NA(),B293)</f>
        <v/>
      </c>
      <c r="V293">
        <f>IF(D293&gt;0.005,I293,NA())</f>
        <v/>
      </c>
      <c r="W293">
        <f>IF(A293&gt;Mortgage!$B$8*12,NA(),S293)</f>
        <v/>
      </c>
    </row>
    <row r="294">
      <c r="A294" s="129" t="n">
        <v>289</v>
      </c>
      <c r="B294" s="146">
        <f>EDATE(Mortgage!$B$9,A294-1)</f>
        <v/>
      </c>
      <c r="C294" s="129">
        <f>INT((A294-1)/12)+1</f>
        <v/>
      </c>
      <c r="D294" s="147">
        <f>IF(N(I293)&gt;0.005,I293,0)</f>
        <v/>
      </c>
      <c r="E294" s="147">
        <f>IF(D294&gt;0.005,D294*Mortgage!$B$7/12,0)</f>
        <v/>
      </c>
      <c r="F294" s="147">
        <f>IF(D294&gt;0.005,MIN(Mortgage!$H$8-E294,D294),0)</f>
        <v/>
      </c>
      <c r="G294" s="147">
        <f>IF(D294-F294&gt;0.005,MIN(D294-F294,Mortgage!$B$18+IF(MONTH(B294)=Mortgage!$B$20,Mortgage!$B$19,0)+SUMIFS(Mortgage!$E$6:$E$15,Mortgage!$D$6:$D$15,"&gt;="&amp;B294,Mortgage!$D$6:$D$15,"&lt;"&amp;EDATE(B294,1))+IF(Mortgage!$B$10="Bi-weekly (accelerated)",Mortgage!$H$8/12,0)),0)</f>
        <v/>
      </c>
      <c r="H294" s="147">
        <f>F294+G294</f>
        <v/>
      </c>
      <c r="I294" s="148">
        <f>D294-H294</f>
        <v/>
      </c>
      <c r="J294" s="147">
        <f>E294+F294+G294</f>
        <v/>
      </c>
      <c r="K294" s="147">
        <f>IF(AND(D294&gt;0.005,Mortgage!$H$7&gt;0.8,D294/Mortgage!$B$5&gt;Mortgage!$B$14),Mortgage!$H$5*Mortgage!$B$13/12,0)</f>
        <v/>
      </c>
      <c r="L294" s="147">
        <f>IF(D294&gt;0.005,Mortgage!$B$11/12*(1+Mortgage!$B$16)^(C294-1),0)</f>
        <v/>
      </c>
      <c r="M294" s="147">
        <f>IF(D294&gt;0.005,Mortgage!$B$12/12*(1+Mortgage!$B$16)^(C294-1),0)</f>
        <v/>
      </c>
      <c r="N294" s="147">
        <f>IF(D294&gt;0.005,Mortgage!$B$15,0)</f>
        <v/>
      </c>
      <c r="O294" s="147">
        <f>J294+K294+L294+M294+N294</f>
        <v/>
      </c>
      <c r="P294" s="147">
        <f>P293+E294</f>
        <v/>
      </c>
      <c r="Q294" s="147">
        <f>IF(D294&gt;0.005,Mortgage!$B$5*(1+Mortgage!$B$17)^(A294/12),"")</f>
        <v/>
      </c>
      <c r="R294" s="147">
        <f>IF(D294&gt;0.005,Q294-I294,"")</f>
        <v/>
      </c>
      <c r="S294" s="147">
        <f>IF(A294&gt;Mortgage!$B$8*12,0,IF(Mortgage!$B$7=0,MAX(0,Mortgage!$H$5-Mortgage!$H$8*A294),MAX(0,Mortgage!$H$5*(1+(Mortgage!$B$7/12))^A294-Mortgage!$H$8*((1+(Mortgage!$B$7/12))^A294-1)/(Mortgage!$B$7/12))))</f>
        <v/>
      </c>
      <c r="T294" s="149">
        <f>IF(D294&gt;0.005,I294/Mortgage!$B$5,"")</f>
        <v/>
      </c>
      <c r="U294">
        <f>IF(A294&gt;Mortgage!$B$8*12,NA(),B294)</f>
        <v/>
      </c>
      <c r="V294">
        <f>IF(D294&gt;0.005,I294,NA())</f>
        <v/>
      </c>
      <c r="W294">
        <f>IF(A294&gt;Mortgage!$B$8*12,NA(),S294)</f>
        <v/>
      </c>
    </row>
    <row r="295">
      <c r="A295" s="129" t="n">
        <v>290</v>
      </c>
      <c r="B295" s="146">
        <f>EDATE(Mortgage!$B$9,A295-1)</f>
        <v/>
      </c>
      <c r="C295" s="129">
        <f>INT((A295-1)/12)+1</f>
        <v/>
      </c>
      <c r="D295" s="147">
        <f>IF(N(I294)&gt;0.005,I294,0)</f>
        <v/>
      </c>
      <c r="E295" s="147">
        <f>IF(D295&gt;0.005,D295*Mortgage!$B$7/12,0)</f>
        <v/>
      </c>
      <c r="F295" s="147">
        <f>IF(D295&gt;0.005,MIN(Mortgage!$H$8-E295,D295),0)</f>
        <v/>
      </c>
      <c r="G295" s="147">
        <f>IF(D295-F295&gt;0.005,MIN(D295-F295,Mortgage!$B$18+IF(MONTH(B295)=Mortgage!$B$20,Mortgage!$B$19,0)+SUMIFS(Mortgage!$E$6:$E$15,Mortgage!$D$6:$D$15,"&gt;="&amp;B295,Mortgage!$D$6:$D$15,"&lt;"&amp;EDATE(B295,1))+IF(Mortgage!$B$10="Bi-weekly (accelerated)",Mortgage!$H$8/12,0)),0)</f>
        <v/>
      </c>
      <c r="H295" s="147">
        <f>F295+G295</f>
        <v/>
      </c>
      <c r="I295" s="148">
        <f>D295-H295</f>
        <v/>
      </c>
      <c r="J295" s="147">
        <f>E295+F295+G295</f>
        <v/>
      </c>
      <c r="K295" s="147">
        <f>IF(AND(D295&gt;0.005,Mortgage!$H$7&gt;0.8,D295/Mortgage!$B$5&gt;Mortgage!$B$14),Mortgage!$H$5*Mortgage!$B$13/12,0)</f>
        <v/>
      </c>
      <c r="L295" s="147">
        <f>IF(D295&gt;0.005,Mortgage!$B$11/12*(1+Mortgage!$B$16)^(C295-1),0)</f>
        <v/>
      </c>
      <c r="M295" s="147">
        <f>IF(D295&gt;0.005,Mortgage!$B$12/12*(1+Mortgage!$B$16)^(C295-1),0)</f>
        <v/>
      </c>
      <c r="N295" s="147">
        <f>IF(D295&gt;0.005,Mortgage!$B$15,0)</f>
        <v/>
      </c>
      <c r="O295" s="147">
        <f>J295+K295+L295+M295+N295</f>
        <v/>
      </c>
      <c r="P295" s="147">
        <f>P294+E295</f>
        <v/>
      </c>
      <c r="Q295" s="147">
        <f>IF(D295&gt;0.005,Mortgage!$B$5*(1+Mortgage!$B$17)^(A295/12),"")</f>
        <v/>
      </c>
      <c r="R295" s="147">
        <f>IF(D295&gt;0.005,Q295-I295,"")</f>
        <v/>
      </c>
      <c r="S295" s="147">
        <f>IF(A295&gt;Mortgage!$B$8*12,0,IF(Mortgage!$B$7=0,MAX(0,Mortgage!$H$5-Mortgage!$H$8*A295),MAX(0,Mortgage!$H$5*(1+(Mortgage!$B$7/12))^A295-Mortgage!$H$8*((1+(Mortgage!$B$7/12))^A295-1)/(Mortgage!$B$7/12))))</f>
        <v/>
      </c>
      <c r="T295" s="149">
        <f>IF(D295&gt;0.005,I295/Mortgage!$B$5,"")</f>
        <v/>
      </c>
      <c r="U295">
        <f>IF(A295&gt;Mortgage!$B$8*12,NA(),B295)</f>
        <v/>
      </c>
      <c r="V295">
        <f>IF(D295&gt;0.005,I295,NA())</f>
        <v/>
      </c>
      <c r="W295">
        <f>IF(A295&gt;Mortgage!$B$8*12,NA(),S295)</f>
        <v/>
      </c>
    </row>
    <row r="296">
      <c r="A296" s="129" t="n">
        <v>291</v>
      </c>
      <c r="B296" s="146">
        <f>EDATE(Mortgage!$B$9,A296-1)</f>
        <v/>
      </c>
      <c r="C296" s="129">
        <f>INT((A296-1)/12)+1</f>
        <v/>
      </c>
      <c r="D296" s="147">
        <f>IF(N(I295)&gt;0.005,I295,0)</f>
        <v/>
      </c>
      <c r="E296" s="147">
        <f>IF(D296&gt;0.005,D296*Mortgage!$B$7/12,0)</f>
        <v/>
      </c>
      <c r="F296" s="147">
        <f>IF(D296&gt;0.005,MIN(Mortgage!$H$8-E296,D296),0)</f>
        <v/>
      </c>
      <c r="G296" s="147">
        <f>IF(D296-F296&gt;0.005,MIN(D296-F296,Mortgage!$B$18+IF(MONTH(B296)=Mortgage!$B$20,Mortgage!$B$19,0)+SUMIFS(Mortgage!$E$6:$E$15,Mortgage!$D$6:$D$15,"&gt;="&amp;B296,Mortgage!$D$6:$D$15,"&lt;"&amp;EDATE(B296,1))+IF(Mortgage!$B$10="Bi-weekly (accelerated)",Mortgage!$H$8/12,0)),0)</f>
        <v/>
      </c>
      <c r="H296" s="147">
        <f>F296+G296</f>
        <v/>
      </c>
      <c r="I296" s="148">
        <f>D296-H296</f>
        <v/>
      </c>
      <c r="J296" s="147">
        <f>E296+F296+G296</f>
        <v/>
      </c>
      <c r="K296" s="147">
        <f>IF(AND(D296&gt;0.005,Mortgage!$H$7&gt;0.8,D296/Mortgage!$B$5&gt;Mortgage!$B$14),Mortgage!$H$5*Mortgage!$B$13/12,0)</f>
        <v/>
      </c>
      <c r="L296" s="147">
        <f>IF(D296&gt;0.005,Mortgage!$B$11/12*(1+Mortgage!$B$16)^(C296-1),0)</f>
        <v/>
      </c>
      <c r="M296" s="147">
        <f>IF(D296&gt;0.005,Mortgage!$B$12/12*(1+Mortgage!$B$16)^(C296-1),0)</f>
        <v/>
      </c>
      <c r="N296" s="147">
        <f>IF(D296&gt;0.005,Mortgage!$B$15,0)</f>
        <v/>
      </c>
      <c r="O296" s="147">
        <f>J296+K296+L296+M296+N296</f>
        <v/>
      </c>
      <c r="P296" s="147">
        <f>P295+E296</f>
        <v/>
      </c>
      <c r="Q296" s="147">
        <f>IF(D296&gt;0.005,Mortgage!$B$5*(1+Mortgage!$B$17)^(A296/12),"")</f>
        <v/>
      </c>
      <c r="R296" s="147">
        <f>IF(D296&gt;0.005,Q296-I296,"")</f>
        <v/>
      </c>
      <c r="S296" s="147">
        <f>IF(A296&gt;Mortgage!$B$8*12,0,IF(Mortgage!$B$7=0,MAX(0,Mortgage!$H$5-Mortgage!$H$8*A296),MAX(0,Mortgage!$H$5*(1+(Mortgage!$B$7/12))^A296-Mortgage!$H$8*((1+(Mortgage!$B$7/12))^A296-1)/(Mortgage!$B$7/12))))</f>
        <v/>
      </c>
      <c r="T296" s="149">
        <f>IF(D296&gt;0.005,I296/Mortgage!$B$5,"")</f>
        <v/>
      </c>
      <c r="U296">
        <f>IF(A296&gt;Mortgage!$B$8*12,NA(),B296)</f>
        <v/>
      </c>
      <c r="V296">
        <f>IF(D296&gt;0.005,I296,NA())</f>
        <v/>
      </c>
      <c r="W296">
        <f>IF(A296&gt;Mortgage!$B$8*12,NA(),S296)</f>
        <v/>
      </c>
    </row>
    <row r="297">
      <c r="A297" s="129" t="n">
        <v>292</v>
      </c>
      <c r="B297" s="146">
        <f>EDATE(Mortgage!$B$9,A297-1)</f>
        <v/>
      </c>
      <c r="C297" s="129">
        <f>INT((A297-1)/12)+1</f>
        <v/>
      </c>
      <c r="D297" s="147">
        <f>IF(N(I296)&gt;0.005,I296,0)</f>
        <v/>
      </c>
      <c r="E297" s="147">
        <f>IF(D297&gt;0.005,D297*Mortgage!$B$7/12,0)</f>
        <v/>
      </c>
      <c r="F297" s="147">
        <f>IF(D297&gt;0.005,MIN(Mortgage!$H$8-E297,D297),0)</f>
        <v/>
      </c>
      <c r="G297" s="147">
        <f>IF(D297-F297&gt;0.005,MIN(D297-F297,Mortgage!$B$18+IF(MONTH(B297)=Mortgage!$B$20,Mortgage!$B$19,0)+SUMIFS(Mortgage!$E$6:$E$15,Mortgage!$D$6:$D$15,"&gt;="&amp;B297,Mortgage!$D$6:$D$15,"&lt;"&amp;EDATE(B297,1))+IF(Mortgage!$B$10="Bi-weekly (accelerated)",Mortgage!$H$8/12,0)),0)</f>
        <v/>
      </c>
      <c r="H297" s="147">
        <f>F297+G297</f>
        <v/>
      </c>
      <c r="I297" s="148">
        <f>D297-H297</f>
        <v/>
      </c>
      <c r="J297" s="147">
        <f>E297+F297+G297</f>
        <v/>
      </c>
      <c r="K297" s="147">
        <f>IF(AND(D297&gt;0.005,Mortgage!$H$7&gt;0.8,D297/Mortgage!$B$5&gt;Mortgage!$B$14),Mortgage!$H$5*Mortgage!$B$13/12,0)</f>
        <v/>
      </c>
      <c r="L297" s="147">
        <f>IF(D297&gt;0.005,Mortgage!$B$11/12*(1+Mortgage!$B$16)^(C297-1),0)</f>
        <v/>
      </c>
      <c r="M297" s="147">
        <f>IF(D297&gt;0.005,Mortgage!$B$12/12*(1+Mortgage!$B$16)^(C297-1),0)</f>
        <v/>
      </c>
      <c r="N297" s="147">
        <f>IF(D297&gt;0.005,Mortgage!$B$15,0)</f>
        <v/>
      </c>
      <c r="O297" s="147">
        <f>J297+K297+L297+M297+N297</f>
        <v/>
      </c>
      <c r="P297" s="147">
        <f>P296+E297</f>
        <v/>
      </c>
      <c r="Q297" s="147">
        <f>IF(D297&gt;0.005,Mortgage!$B$5*(1+Mortgage!$B$17)^(A297/12),"")</f>
        <v/>
      </c>
      <c r="R297" s="147">
        <f>IF(D297&gt;0.005,Q297-I297,"")</f>
        <v/>
      </c>
      <c r="S297" s="147">
        <f>IF(A297&gt;Mortgage!$B$8*12,0,IF(Mortgage!$B$7=0,MAX(0,Mortgage!$H$5-Mortgage!$H$8*A297),MAX(0,Mortgage!$H$5*(1+(Mortgage!$B$7/12))^A297-Mortgage!$H$8*((1+(Mortgage!$B$7/12))^A297-1)/(Mortgage!$B$7/12))))</f>
        <v/>
      </c>
      <c r="T297" s="149">
        <f>IF(D297&gt;0.005,I297/Mortgage!$B$5,"")</f>
        <v/>
      </c>
      <c r="U297">
        <f>IF(A297&gt;Mortgage!$B$8*12,NA(),B297)</f>
        <v/>
      </c>
      <c r="V297">
        <f>IF(D297&gt;0.005,I297,NA())</f>
        <v/>
      </c>
      <c r="W297">
        <f>IF(A297&gt;Mortgage!$B$8*12,NA(),S297)</f>
        <v/>
      </c>
    </row>
    <row r="298">
      <c r="A298" s="129" t="n">
        <v>293</v>
      </c>
      <c r="B298" s="146">
        <f>EDATE(Mortgage!$B$9,A298-1)</f>
        <v/>
      </c>
      <c r="C298" s="129">
        <f>INT((A298-1)/12)+1</f>
        <v/>
      </c>
      <c r="D298" s="147">
        <f>IF(N(I297)&gt;0.005,I297,0)</f>
        <v/>
      </c>
      <c r="E298" s="147">
        <f>IF(D298&gt;0.005,D298*Mortgage!$B$7/12,0)</f>
        <v/>
      </c>
      <c r="F298" s="147">
        <f>IF(D298&gt;0.005,MIN(Mortgage!$H$8-E298,D298),0)</f>
        <v/>
      </c>
      <c r="G298" s="147">
        <f>IF(D298-F298&gt;0.005,MIN(D298-F298,Mortgage!$B$18+IF(MONTH(B298)=Mortgage!$B$20,Mortgage!$B$19,0)+SUMIFS(Mortgage!$E$6:$E$15,Mortgage!$D$6:$D$15,"&gt;="&amp;B298,Mortgage!$D$6:$D$15,"&lt;"&amp;EDATE(B298,1))+IF(Mortgage!$B$10="Bi-weekly (accelerated)",Mortgage!$H$8/12,0)),0)</f>
        <v/>
      </c>
      <c r="H298" s="147">
        <f>F298+G298</f>
        <v/>
      </c>
      <c r="I298" s="148">
        <f>D298-H298</f>
        <v/>
      </c>
      <c r="J298" s="147">
        <f>E298+F298+G298</f>
        <v/>
      </c>
      <c r="K298" s="147">
        <f>IF(AND(D298&gt;0.005,Mortgage!$H$7&gt;0.8,D298/Mortgage!$B$5&gt;Mortgage!$B$14),Mortgage!$H$5*Mortgage!$B$13/12,0)</f>
        <v/>
      </c>
      <c r="L298" s="147">
        <f>IF(D298&gt;0.005,Mortgage!$B$11/12*(1+Mortgage!$B$16)^(C298-1),0)</f>
        <v/>
      </c>
      <c r="M298" s="147">
        <f>IF(D298&gt;0.005,Mortgage!$B$12/12*(1+Mortgage!$B$16)^(C298-1),0)</f>
        <v/>
      </c>
      <c r="N298" s="147">
        <f>IF(D298&gt;0.005,Mortgage!$B$15,0)</f>
        <v/>
      </c>
      <c r="O298" s="147">
        <f>J298+K298+L298+M298+N298</f>
        <v/>
      </c>
      <c r="P298" s="147">
        <f>P297+E298</f>
        <v/>
      </c>
      <c r="Q298" s="147">
        <f>IF(D298&gt;0.005,Mortgage!$B$5*(1+Mortgage!$B$17)^(A298/12),"")</f>
        <v/>
      </c>
      <c r="R298" s="147">
        <f>IF(D298&gt;0.005,Q298-I298,"")</f>
        <v/>
      </c>
      <c r="S298" s="147">
        <f>IF(A298&gt;Mortgage!$B$8*12,0,IF(Mortgage!$B$7=0,MAX(0,Mortgage!$H$5-Mortgage!$H$8*A298),MAX(0,Mortgage!$H$5*(1+(Mortgage!$B$7/12))^A298-Mortgage!$H$8*((1+(Mortgage!$B$7/12))^A298-1)/(Mortgage!$B$7/12))))</f>
        <v/>
      </c>
      <c r="T298" s="149">
        <f>IF(D298&gt;0.005,I298/Mortgage!$B$5,"")</f>
        <v/>
      </c>
      <c r="U298">
        <f>IF(A298&gt;Mortgage!$B$8*12,NA(),B298)</f>
        <v/>
      </c>
      <c r="V298">
        <f>IF(D298&gt;0.005,I298,NA())</f>
        <v/>
      </c>
      <c r="W298">
        <f>IF(A298&gt;Mortgage!$B$8*12,NA(),S298)</f>
        <v/>
      </c>
    </row>
    <row r="299">
      <c r="A299" s="129" t="n">
        <v>294</v>
      </c>
      <c r="B299" s="146">
        <f>EDATE(Mortgage!$B$9,A299-1)</f>
        <v/>
      </c>
      <c r="C299" s="129">
        <f>INT((A299-1)/12)+1</f>
        <v/>
      </c>
      <c r="D299" s="147">
        <f>IF(N(I298)&gt;0.005,I298,0)</f>
        <v/>
      </c>
      <c r="E299" s="147">
        <f>IF(D299&gt;0.005,D299*Mortgage!$B$7/12,0)</f>
        <v/>
      </c>
      <c r="F299" s="147">
        <f>IF(D299&gt;0.005,MIN(Mortgage!$H$8-E299,D299),0)</f>
        <v/>
      </c>
      <c r="G299" s="147">
        <f>IF(D299-F299&gt;0.005,MIN(D299-F299,Mortgage!$B$18+IF(MONTH(B299)=Mortgage!$B$20,Mortgage!$B$19,0)+SUMIFS(Mortgage!$E$6:$E$15,Mortgage!$D$6:$D$15,"&gt;="&amp;B299,Mortgage!$D$6:$D$15,"&lt;"&amp;EDATE(B299,1))+IF(Mortgage!$B$10="Bi-weekly (accelerated)",Mortgage!$H$8/12,0)),0)</f>
        <v/>
      </c>
      <c r="H299" s="147">
        <f>F299+G299</f>
        <v/>
      </c>
      <c r="I299" s="148">
        <f>D299-H299</f>
        <v/>
      </c>
      <c r="J299" s="147">
        <f>E299+F299+G299</f>
        <v/>
      </c>
      <c r="K299" s="147">
        <f>IF(AND(D299&gt;0.005,Mortgage!$H$7&gt;0.8,D299/Mortgage!$B$5&gt;Mortgage!$B$14),Mortgage!$H$5*Mortgage!$B$13/12,0)</f>
        <v/>
      </c>
      <c r="L299" s="147">
        <f>IF(D299&gt;0.005,Mortgage!$B$11/12*(1+Mortgage!$B$16)^(C299-1),0)</f>
        <v/>
      </c>
      <c r="M299" s="147">
        <f>IF(D299&gt;0.005,Mortgage!$B$12/12*(1+Mortgage!$B$16)^(C299-1),0)</f>
        <v/>
      </c>
      <c r="N299" s="147">
        <f>IF(D299&gt;0.005,Mortgage!$B$15,0)</f>
        <v/>
      </c>
      <c r="O299" s="147">
        <f>J299+K299+L299+M299+N299</f>
        <v/>
      </c>
      <c r="P299" s="147">
        <f>P298+E299</f>
        <v/>
      </c>
      <c r="Q299" s="147">
        <f>IF(D299&gt;0.005,Mortgage!$B$5*(1+Mortgage!$B$17)^(A299/12),"")</f>
        <v/>
      </c>
      <c r="R299" s="147">
        <f>IF(D299&gt;0.005,Q299-I299,"")</f>
        <v/>
      </c>
      <c r="S299" s="147">
        <f>IF(A299&gt;Mortgage!$B$8*12,0,IF(Mortgage!$B$7=0,MAX(0,Mortgage!$H$5-Mortgage!$H$8*A299),MAX(0,Mortgage!$H$5*(1+(Mortgage!$B$7/12))^A299-Mortgage!$H$8*((1+(Mortgage!$B$7/12))^A299-1)/(Mortgage!$B$7/12))))</f>
        <v/>
      </c>
      <c r="T299" s="149">
        <f>IF(D299&gt;0.005,I299/Mortgage!$B$5,"")</f>
        <v/>
      </c>
      <c r="U299">
        <f>IF(A299&gt;Mortgage!$B$8*12,NA(),B299)</f>
        <v/>
      </c>
      <c r="V299">
        <f>IF(D299&gt;0.005,I299,NA())</f>
        <v/>
      </c>
      <c r="W299">
        <f>IF(A299&gt;Mortgage!$B$8*12,NA(),S299)</f>
        <v/>
      </c>
    </row>
    <row r="300">
      <c r="A300" s="129" t="n">
        <v>295</v>
      </c>
      <c r="B300" s="146">
        <f>EDATE(Mortgage!$B$9,A300-1)</f>
        <v/>
      </c>
      <c r="C300" s="129">
        <f>INT((A300-1)/12)+1</f>
        <v/>
      </c>
      <c r="D300" s="147">
        <f>IF(N(I299)&gt;0.005,I299,0)</f>
        <v/>
      </c>
      <c r="E300" s="147">
        <f>IF(D300&gt;0.005,D300*Mortgage!$B$7/12,0)</f>
        <v/>
      </c>
      <c r="F300" s="147">
        <f>IF(D300&gt;0.005,MIN(Mortgage!$H$8-E300,D300),0)</f>
        <v/>
      </c>
      <c r="G300" s="147">
        <f>IF(D300-F300&gt;0.005,MIN(D300-F300,Mortgage!$B$18+IF(MONTH(B300)=Mortgage!$B$20,Mortgage!$B$19,0)+SUMIFS(Mortgage!$E$6:$E$15,Mortgage!$D$6:$D$15,"&gt;="&amp;B300,Mortgage!$D$6:$D$15,"&lt;"&amp;EDATE(B300,1))+IF(Mortgage!$B$10="Bi-weekly (accelerated)",Mortgage!$H$8/12,0)),0)</f>
        <v/>
      </c>
      <c r="H300" s="147">
        <f>F300+G300</f>
        <v/>
      </c>
      <c r="I300" s="148">
        <f>D300-H300</f>
        <v/>
      </c>
      <c r="J300" s="147">
        <f>E300+F300+G300</f>
        <v/>
      </c>
      <c r="K300" s="147">
        <f>IF(AND(D300&gt;0.005,Mortgage!$H$7&gt;0.8,D300/Mortgage!$B$5&gt;Mortgage!$B$14),Mortgage!$H$5*Mortgage!$B$13/12,0)</f>
        <v/>
      </c>
      <c r="L300" s="147">
        <f>IF(D300&gt;0.005,Mortgage!$B$11/12*(1+Mortgage!$B$16)^(C300-1),0)</f>
        <v/>
      </c>
      <c r="M300" s="147">
        <f>IF(D300&gt;0.005,Mortgage!$B$12/12*(1+Mortgage!$B$16)^(C300-1),0)</f>
        <v/>
      </c>
      <c r="N300" s="147">
        <f>IF(D300&gt;0.005,Mortgage!$B$15,0)</f>
        <v/>
      </c>
      <c r="O300" s="147">
        <f>J300+K300+L300+M300+N300</f>
        <v/>
      </c>
      <c r="P300" s="147">
        <f>P299+E300</f>
        <v/>
      </c>
      <c r="Q300" s="147">
        <f>IF(D300&gt;0.005,Mortgage!$B$5*(1+Mortgage!$B$17)^(A300/12),"")</f>
        <v/>
      </c>
      <c r="R300" s="147">
        <f>IF(D300&gt;0.005,Q300-I300,"")</f>
        <v/>
      </c>
      <c r="S300" s="147">
        <f>IF(A300&gt;Mortgage!$B$8*12,0,IF(Mortgage!$B$7=0,MAX(0,Mortgage!$H$5-Mortgage!$H$8*A300),MAX(0,Mortgage!$H$5*(1+(Mortgage!$B$7/12))^A300-Mortgage!$H$8*((1+(Mortgage!$B$7/12))^A300-1)/(Mortgage!$B$7/12))))</f>
        <v/>
      </c>
      <c r="T300" s="149">
        <f>IF(D300&gt;0.005,I300/Mortgage!$B$5,"")</f>
        <v/>
      </c>
      <c r="U300">
        <f>IF(A300&gt;Mortgage!$B$8*12,NA(),B300)</f>
        <v/>
      </c>
      <c r="V300">
        <f>IF(D300&gt;0.005,I300,NA())</f>
        <v/>
      </c>
      <c r="W300">
        <f>IF(A300&gt;Mortgage!$B$8*12,NA(),S300)</f>
        <v/>
      </c>
    </row>
    <row r="301">
      <c r="A301" s="129" t="n">
        <v>296</v>
      </c>
      <c r="B301" s="146">
        <f>EDATE(Mortgage!$B$9,A301-1)</f>
        <v/>
      </c>
      <c r="C301" s="129">
        <f>INT((A301-1)/12)+1</f>
        <v/>
      </c>
      <c r="D301" s="147">
        <f>IF(N(I300)&gt;0.005,I300,0)</f>
        <v/>
      </c>
      <c r="E301" s="147">
        <f>IF(D301&gt;0.005,D301*Mortgage!$B$7/12,0)</f>
        <v/>
      </c>
      <c r="F301" s="147">
        <f>IF(D301&gt;0.005,MIN(Mortgage!$H$8-E301,D301),0)</f>
        <v/>
      </c>
      <c r="G301" s="147">
        <f>IF(D301-F301&gt;0.005,MIN(D301-F301,Mortgage!$B$18+IF(MONTH(B301)=Mortgage!$B$20,Mortgage!$B$19,0)+SUMIFS(Mortgage!$E$6:$E$15,Mortgage!$D$6:$D$15,"&gt;="&amp;B301,Mortgage!$D$6:$D$15,"&lt;"&amp;EDATE(B301,1))+IF(Mortgage!$B$10="Bi-weekly (accelerated)",Mortgage!$H$8/12,0)),0)</f>
        <v/>
      </c>
      <c r="H301" s="147">
        <f>F301+G301</f>
        <v/>
      </c>
      <c r="I301" s="148">
        <f>D301-H301</f>
        <v/>
      </c>
      <c r="J301" s="147">
        <f>E301+F301+G301</f>
        <v/>
      </c>
      <c r="K301" s="147">
        <f>IF(AND(D301&gt;0.005,Mortgage!$H$7&gt;0.8,D301/Mortgage!$B$5&gt;Mortgage!$B$14),Mortgage!$H$5*Mortgage!$B$13/12,0)</f>
        <v/>
      </c>
      <c r="L301" s="147">
        <f>IF(D301&gt;0.005,Mortgage!$B$11/12*(1+Mortgage!$B$16)^(C301-1),0)</f>
        <v/>
      </c>
      <c r="M301" s="147">
        <f>IF(D301&gt;0.005,Mortgage!$B$12/12*(1+Mortgage!$B$16)^(C301-1),0)</f>
        <v/>
      </c>
      <c r="N301" s="147">
        <f>IF(D301&gt;0.005,Mortgage!$B$15,0)</f>
        <v/>
      </c>
      <c r="O301" s="147">
        <f>J301+K301+L301+M301+N301</f>
        <v/>
      </c>
      <c r="P301" s="147">
        <f>P300+E301</f>
        <v/>
      </c>
      <c r="Q301" s="147">
        <f>IF(D301&gt;0.005,Mortgage!$B$5*(1+Mortgage!$B$17)^(A301/12),"")</f>
        <v/>
      </c>
      <c r="R301" s="147">
        <f>IF(D301&gt;0.005,Q301-I301,"")</f>
        <v/>
      </c>
      <c r="S301" s="147">
        <f>IF(A301&gt;Mortgage!$B$8*12,0,IF(Mortgage!$B$7=0,MAX(0,Mortgage!$H$5-Mortgage!$H$8*A301),MAX(0,Mortgage!$H$5*(1+(Mortgage!$B$7/12))^A301-Mortgage!$H$8*((1+(Mortgage!$B$7/12))^A301-1)/(Mortgage!$B$7/12))))</f>
        <v/>
      </c>
      <c r="T301" s="149">
        <f>IF(D301&gt;0.005,I301/Mortgage!$B$5,"")</f>
        <v/>
      </c>
      <c r="U301">
        <f>IF(A301&gt;Mortgage!$B$8*12,NA(),B301)</f>
        <v/>
      </c>
      <c r="V301">
        <f>IF(D301&gt;0.005,I301,NA())</f>
        <v/>
      </c>
      <c r="W301">
        <f>IF(A301&gt;Mortgage!$B$8*12,NA(),S301)</f>
        <v/>
      </c>
    </row>
    <row r="302">
      <c r="A302" s="129" t="n">
        <v>297</v>
      </c>
      <c r="B302" s="146">
        <f>EDATE(Mortgage!$B$9,A302-1)</f>
        <v/>
      </c>
      <c r="C302" s="129">
        <f>INT((A302-1)/12)+1</f>
        <v/>
      </c>
      <c r="D302" s="147">
        <f>IF(N(I301)&gt;0.005,I301,0)</f>
        <v/>
      </c>
      <c r="E302" s="147">
        <f>IF(D302&gt;0.005,D302*Mortgage!$B$7/12,0)</f>
        <v/>
      </c>
      <c r="F302" s="147">
        <f>IF(D302&gt;0.005,MIN(Mortgage!$H$8-E302,D302),0)</f>
        <v/>
      </c>
      <c r="G302" s="147">
        <f>IF(D302-F302&gt;0.005,MIN(D302-F302,Mortgage!$B$18+IF(MONTH(B302)=Mortgage!$B$20,Mortgage!$B$19,0)+SUMIFS(Mortgage!$E$6:$E$15,Mortgage!$D$6:$D$15,"&gt;="&amp;B302,Mortgage!$D$6:$D$15,"&lt;"&amp;EDATE(B302,1))+IF(Mortgage!$B$10="Bi-weekly (accelerated)",Mortgage!$H$8/12,0)),0)</f>
        <v/>
      </c>
      <c r="H302" s="147">
        <f>F302+G302</f>
        <v/>
      </c>
      <c r="I302" s="148">
        <f>D302-H302</f>
        <v/>
      </c>
      <c r="J302" s="147">
        <f>E302+F302+G302</f>
        <v/>
      </c>
      <c r="K302" s="147">
        <f>IF(AND(D302&gt;0.005,Mortgage!$H$7&gt;0.8,D302/Mortgage!$B$5&gt;Mortgage!$B$14),Mortgage!$H$5*Mortgage!$B$13/12,0)</f>
        <v/>
      </c>
      <c r="L302" s="147">
        <f>IF(D302&gt;0.005,Mortgage!$B$11/12*(1+Mortgage!$B$16)^(C302-1),0)</f>
        <v/>
      </c>
      <c r="M302" s="147">
        <f>IF(D302&gt;0.005,Mortgage!$B$12/12*(1+Mortgage!$B$16)^(C302-1),0)</f>
        <v/>
      </c>
      <c r="N302" s="147">
        <f>IF(D302&gt;0.005,Mortgage!$B$15,0)</f>
        <v/>
      </c>
      <c r="O302" s="147">
        <f>J302+K302+L302+M302+N302</f>
        <v/>
      </c>
      <c r="P302" s="147">
        <f>P301+E302</f>
        <v/>
      </c>
      <c r="Q302" s="147">
        <f>IF(D302&gt;0.005,Mortgage!$B$5*(1+Mortgage!$B$17)^(A302/12),"")</f>
        <v/>
      </c>
      <c r="R302" s="147">
        <f>IF(D302&gt;0.005,Q302-I302,"")</f>
        <v/>
      </c>
      <c r="S302" s="147">
        <f>IF(A302&gt;Mortgage!$B$8*12,0,IF(Mortgage!$B$7=0,MAX(0,Mortgage!$H$5-Mortgage!$H$8*A302),MAX(0,Mortgage!$H$5*(1+(Mortgage!$B$7/12))^A302-Mortgage!$H$8*((1+(Mortgage!$B$7/12))^A302-1)/(Mortgage!$B$7/12))))</f>
        <v/>
      </c>
      <c r="T302" s="149">
        <f>IF(D302&gt;0.005,I302/Mortgage!$B$5,"")</f>
        <v/>
      </c>
      <c r="U302">
        <f>IF(A302&gt;Mortgage!$B$8*12,NA(),B302)</f>
        <v/>
      </c>
      <c r="V302">
        <f>IF(D302&gt;0.005,I302,NA())</f>
        <v/>
      </c>
      <c r="W302">
        <f>IF(A302&gt;Mortgage!$B$8*12,NA(),S302)</f>
        <v/>
      </c>
    </row>
    <row r="303">
      <c r="A303" s="129" t="n">
        <v>298</v>
      </c>
      <c r="B303" s="146">
        <f>EDATE(Mortgage!$B$9,A303-1)</f>
        <v/>
      </c>
      <c r="C303" s="129">
        <f>INT((A303-1)/12)+1</f>
        <v/>
      </c>
      <c r="D303" s="147">
        <f>IF(N(I302)&gt;0.005,I302,0)</f>
        <v/>
      </c>
      <c r="E303" s="147">
        <f>IF(D303&gt;0.005,D303*Mortgage!$B$7/12,0)</f>
        <v/>
      </c>
      <c r="F303" s="147">
        <f>IF(D303&gt;0.005,MIN(Mortgage!$H$8-E303,D303),0)</f>
        <v/>
      </c>
      <c r="G303" s="147">
        <f>IF(D303-F303&gt;0.005,MIN(D303-F303,Mortgage!$B$18+IF(MONTH(B303)=Mortgage!$B$20,Mortgage!$B$19,0)+SUMIFS(Mortgage!$E$6:$E$15,Mortgage!$D$6:$D$15,"&gt;="&amp;B303,Mortgage!$D$6:$D$15,"&lt;"&amp;EDATE(B303,1))+IF(Mortgage!$B$10="Bi-weekly (accelerated)",Mortgage!$H$8/12,0)),0)</f>
        <v/>
      </c>
      <c r="H303" s="147">
        <f>F303+G303</f>
        <v/>
      </c>
      <c r="I303" s="148">
        <f>D303-H303</f>
        <v/>
      </c>
      <c r="J303" s="147">
        <f>E303+F303+G303</f>
        <v/>
      </c>
      <c r="K303" s="147">
        <f>IF(AND(D303&gt;0.005,Mortgage!$H$7&gt;0.8,D303/Mortgage!$B$5&gt;Mortgage!$B$14),Mortgage!$H$5*Mortgage!$B$13/12,0)</f>
        <v/>
      </c>
      <c r="L303" s="147">
        <f>IF(D303&gt;0.005,Mortgage!$B$11/12*(1+Mortgage!$B$16)^(C303-1),0)</f>
        <v/>
      </c>
      <c r="M303" s="147">
        <f>IF(D303&gt;0.005,Mortgage!$B$12/12*(1+Mortgage!$B$16)^(C303-1),0)</f>
        <v/>
      </c>
      <c r="N303" s="147">
        <f>IF(D303&gt;0.005,Mortgage!$B$15,0)</f>
        <v/>
      </c>
      <c r="O303" s="147">
        <f>J303+K303+L303+M303+N303</f>
        <v/>
      </c>
      <c r="P303" s="147">
        <f>P302+E303</f>
        <v/>
      </c>
      <c r="Q303" s="147">
        <f>IF(D303&gt;0.005,Mortgage!$B$5*(1+Mortgage!$B$17)^(A303/12),"")</f>
        <v/>
      </c>
      <c r="R303" s="147">
        <f>IF(D303&gt;0.005,Q303-I303,"")</f>
        <v/>
      </c>
      <c r="S303" s="147">
        <f>IF(A303&gt;Mortgage!$B$8*12,0,IF(Mortgage!$B$7=0,MAX(0,Mortgage!$H$5-Mortgage!$H$8*A303),MAX(0,Mortgage!$H$5*(1+(Mortgage!$B$7/12))^A303-Mortgage!$H$8*((1+(Mortgage!$B$7/12))^A303-1)/(Mortgage!$B$7/12))))</f>
        <v/>
      </c>
      <c r="T303" s="149">
        <f>IF(D303&gt;0.005,I303/Mortgage!$B$5,"")</f>
        <v/>
      </c>
      <c r="U303">
        <f>IF(A303&gt;Mortgage!$B$8*12,NA(),B303)</f>
        <v/>
      </c>
      <c r="V303">
        <f>IF(D303&gt;0.005,I303,NA())</f>
        <v/>
      </c>
      <c r="W303">
        <f>IF(A303&gt;Mortgage!$B$8*12,NA(),S303)</f>
        <v/>
      </c>
    </row>
    <row r="304">
      <c r="A304" s="129" t="n">
        <v>299</v>
      </c>
      <c r="B304" s="146">
        <f>EDATE(Mortgage!$B$9,A304-1)</f>
        <v/>
      </c>
      <c r="C304" s="129">
        <f>INT((A304-1)/12)+1</f>
        <v/>
      </c>
      <c r="D304" s="147">
        <f>IF(N(I303)&gt;0.005,I303,0)</f>
        <v/>
      </c>
      <c r="E304" s="147">
        <f>IF(D304&gt;0.005,D304*Mortgage!$B$7/12,0)</f>
        <v/>
      </c>
      <c r="F304" s="147">
        <f>IF(D304&gt;0.005,MIN(Mortgage!$H$8-E304,D304),0)</f>
        <v/>
      </c>
      <c r="G304" s="147">
        <f>IF(D304-F304&gt;0.005,MIN(D304-F304,Mortgage!$B$18+IF(MONTH(B304)=Mortgage!$B$20,Mortgage!$B$19,0)+SUMIFS(Mortgage!$E$6:$E$15,Mortgage!$D$6:$D$15,"&gt;="&amp;B304,Mortgage!$D$6:$D$15,"&lt;"&amp;EDATE(B304,1))+IF(Mortgage!$B$10="Bi-weekly (accelerated)",Mortgage!$H$8/12,0)),0)</f>
        <v/>
      </c>
      <c r="H304" s="147">
        <f>F304+G304</f>
        <v/>
      </c>
      <c r="I304" s="148">
        <f>D304-H304</f>
        <v/>
      </c>
      <c r="J304" s="147">
        <f>E304+F304+G304</f>
        <v/>
      </c>
      <c r="K304" s="147">
        <f>IF(AND(D304&gt;0.005,Mortgage!$H$7&gt;0.8,D304/Mortgage!$B$5&gt;Mortgage!$B$14),Mortgage!$H$5*Mortgage!$B$13/12,0)</f>
        <v/>
      </c>
      <c r="L304" s="147">
        <f>IF(D304&gt;0.005,Mortgage!$B$11/12*(1+Mortgage!$B$16)^(C304-1),0)</f>
        <v/>
      </c>
      <c r="M304" s="147">
        <f>IF(D304&gt;0.005,Mortgage!$B$12/12*(1+Mortgage!$B$16)^(C304-1),0)</f>
        <v/>
      </c>
      <c r="N304" s="147">
        <f>IF(D304&gt;0.005,Mortgage!$B$15,0)</f>
        <v/>
      </c>
      <c r="O304" s="147">
        <f>J304+K304+L304+M304+N304</f>
        <v/>
      </c>
      <c r="P304" s="147">
        <f>P303+E304</f>
        <v/>
      </c>
      <c r="Q304" s="147">
        <f>IF(D304&gt;0.005,Mortgage!$B$5*(1+Mortgage!$B$17)^(A304/12),"")</f>
        <v/>
      </c>
      <c r="R304" s="147">
        <f>IF(D304&gt;0.005,Q304-I304,"")</f>
        <v/>
      </c>
      <c r="S304" s="147">
        <f>IF(A304&gt;Mortgage!$B$8*12,0,IF(Mortgage!$B$7=0,MAX(0,Mortgage!$H$5-Mortgage!$H$8*A304),MAX(0,Mortgage!$H$5*(1+(Mortgage!$B$7/12))^A304-Mortgage!$H$8*((1+(Mortgage!$B$7/12))^A304-1)/(Mortgage!$B$7/12))))</f>
        <v/>
      </c>
      <c r="T304" s="149">
        <f>IF(D304&gt;0.005,I304/Mortgage!$B$5,"")</f>
        <v/>
      </c>
      <c r="U304">
        <f>IF(A304&gt;Mortgage!$B$8*12,NA(),B304)</f>
        <v/>
      </c>
      <c r="V304">
        <f>IF(D304&gt;0.005,I304,NA())</f>
        <v/>
      </c>
      <c r="W304">
        <f>IF(A304&gt;Mortgage!$B$8*12,NA(),S304)</f>
        <v/>
      </c>
    </row>
    <row r="305">
      <c r="A305" s="129" t="n">
        <v>300</v>
      </c>
      <c r="B305" s="146">
        <f>EDATE(Mortgage!$B$9,A305-1)</f>
        <v/>
      </c>
      <c r="C305" s="129">
        <f>INT((A305-1)/12)+1</f>
        <v/>
      </c>
      <c r="D305" s="147">
        <f>IF(N(I304)&gt;0.005,I304,0)</f>
        <v/>
      </c>
      <c r="E305" s="147">
        <f>IF(D305&gt;0.005,D305*Mortgage!$B$7/12,0)</f>
        <v/>
      </c>
      <c r="F305" s="147">
        <f>IF(D305&gt;0.005,MIN(Mortgage!$H$8-E305,D305),0)</f>
        <v/>
      </c>
      <c r="G305" s="147">
        <f>IF(D305-F305&gt;0.005,MIN(D305-F305,Mortgage!$B$18+IF(MONTH(B305)=Mortgage!$B$20,Mortgage!$B$19,0)+SUMIFS(Mortgage!$E$6:$E$15,Mortgage!$D$6:$D$15,"&gt;="&amp;B305,Mortgage!$D$6:$D$15,"&lt;"&amp;EDATE(B305,1))+IF(Mortgage!$B$10="Bi-weekly (accelerated)",Mortgage!$H$8/12,0)),0)</f>
        <v/>
      </c>
      <c r="H305" s="147">
        <f>F305+G305</f>
        <v/>
      </c>
      <c r="I305" s="148">
        <f>D305-H305</f>
        <v/>
      </c>
      <c r="J305" s="147">
        <f>E305+F305+G305</f>
        <v/>
      </c>
      <c r="K305" s="147">
        <f>IF(AND(D305&gt;0.005,Mortgage!$H$7&gt;0.8,D305/Mortgage!$B$5&gt;Mortgage!$B$14),Mortgage!$H$5*Mortgage!$B$13/12,0)</f>
        <v/>
      </c>
      <c r="L305" s="147">
        <f>IF(D305&gt;0.005,Mortgage!$B$11/12*(1+Mortgage!$B$16)^(C305-1),0)</f>
        <v/>
      </c>
      <c r="M305" s="147">
        <f>IF(D305&gt;0.005,Mortgage!$B$12/12*(1+Mortgage!$B$16)^(C305-1),0)</f>
        <v/>
      </c>
      <c r="N305" s="147">
        <f>IF(D305&gt;0.005,Mortgage!$B$15,0)</f>
        <v/>
      </c>
      <c r="O305" s="147">
        <f>J305+K305+L305+M305+N305</f>
        <v/>
      </c>
      <c r="P305" s="147">
        <f>P304+E305</f>
        <v/>
      </c>
      <c r="Q305" s="147">
        <f>IF(D305&gt;0.005,Mortgage!$B$5*(1+Mortgage!$B$17)^(A305/12),"")</f>
        <v/>
      </c>
      <c r="R305" s="147">
        <f>IF(D305&gt;0.005,Q305-I305,"")</f>
        <v/>
      </c>
      <c r="S305" s="147">
        <f>IF(A305&gt;Mortgage!$B$8*12,0,IF(Mortgage!$B$7=0,MAX(0,Mortgage!$H$5-Mortgage!$H$8*A305),MAX(0,Mortgage!$H$5*(1+(Mortgage!$B$7/12))^A305-Mortgage!$H$8*((1+(Mortgage!$B$7/12))^A305-1)/(Mortgage!$B$7/12))))</f>
        <v/>
      </c>
      <c r="T305" s="149">
        <f>IF(D305&gt;0.005,I305/Mortgage!$B$5,"")</f>
        <v/>
      </c>
      <c r="U305">
        <f>IF(A305&gt;Mortgage!$B$8*12,NA(),B305)</f>
        <v/>
      </c>
      <c r="V305">
        <f>IF(D305&gt;0.005,I305,NA())</f>
        <v/>
      </c>
      <c r="W305">
        <f>IF(A305&gt;Mortgage!$B$8*12,NA(),S305)</f>
        <v/>
      </c>
    </row>
    <row r="306">
      <c r="A306" s="129" t="n">
        <v>301</v>
      </c>
      <c r="B306" s="146">
        <f>EDATE(Mortgage!$B$9,A306-1)</f>
        <v/>
      </c>
      <c r="C306" s="129">
        <f>INT((A306-1)/12)+1</f>
        <v/>
      </c>
      <c r="D306" s="147">
        <f>IF(N(I305)&gt;0.005,I305,0)</f>
        <v/>
      </c>
      <c r="E306" s="147">
        <f>IF(D306&gt;0.005,D306*Mortgage!$B$7/12,0)</f>
        <v/>
      </c>
      <c r="F306" s="147">
        <f>IF(D306&gt;0.005,MIN(Mortgage!$H$8-E306,D306),0)</f>
        <v/>
      </c>
      <c r="G306" s="147">
        <f>IF(D306-F306&gt;0.005,MIN(D306-F306,Mortgage!$B$18+IF(MONTH(B306)=Mortgage!$B$20,Mortgage!$B$19,0)+SUMIFS(Mortgage!$E$6:$E$15,Mortgage!$D$6:$D$15,"&gt;="&amp;B306,Mortgage!$D$6:$D$15,"&lt;"&amp;EDATE(B306,1))+IF(Mortgage!$B$10="Bi-weekly (accelerated)",Mortgage!$H$8/12,0)),0)</f>
        <v/>
      </c>
      <c r="H306" s="147">
        <f>F306+G306</f>
        <v/>
      </c>
      <c r="I306" s="148">
        <f>D306-H306</f>
        <v/>
      </c>
      <c r="J306" s="147">
        <f>E306+F306+G306</f>
        <v/>
      </c>
      <c r="K306" s="147">
        <f>IF(AND(D306&gt;0.005,Mortgage!$H$7&gt;0.8,D306/Mortgage!$B$5&gt;Mortgage!$B$14),Mortgage!$H$5*Mortgage!$B$13/12,0)</f>
        <v/>
      </c>
      <c r="L306" s="147">
        <f>IF(D306&gt;0.005,Mortgage!$B$11/12*(1+Mortgage!$B$16)^(C306-1),0)</f>
        <v/>
      </c>
      <c r="M306" s="147">
        <f>IF(D306&gt;0.005,Mortgage!$B$12/12*(1+Mortgage!$B$16)^(C306-1),0)</f>
        <v/>
      </c>
      <c r="N306" s="147">
        <f>IF(D306&gt;0.005,Mortgage!$B$15,0)</f>
        <v/>
      </c>
      <c r="O306" s="147">
        <f>J306+K306+L306+M306+N306</f>
        <v/>
      </c>
      <c r="P306" s="147">
        <f>P305+E306</f>
        <v/>
      </c>
      <c r="Q306" s="147">
        <f>IF(D306&gt;0.005,Mortgage!$B$5*(1+Mortgage!$B$17)^(A306/12),"")</f>
        <v/>
      </c>
      <c r="R306" s="147">
        <f>IF(D306&gt;0.005,Q306-I306,"")</f>
        <v/>
      </c>
      <c r="S306" s="147">
        <f>IF(A306&gt;Mortgage!$B$8*12,0,IF(Mortgage!$B$7=0,MAX(0,Mortgage!$H$5-Mortgage!$H$8*A306),MAX(0,Mortgage!$H$5*(1+(Mortgage!$B$7/12))^A306-Mortgage!$H$8*((1+(Mortgage!$B$7/12))^A306-1)/(Mortgage!$B$7/12))))</f>
        <v/>
      </c>
      <c r="T306" s="149">
        <f>IF(D306&gt;0.005,I306/Mortgage!$B$5,"")</f>
        <v/>
      </c>
      <c r="U306">
        <f>IF(A306&gt;Mortgage!$B$8*12,NA(),B306)</f>
        <v/>
      </c>
      <c r="V306">
        <f>IF(D306&gt;0.005,I306,NA())</f>
        <v/>
      </c>
      <c r="W306">
        <f>IF(A306&gt;Mortgage!$B$8*12,NA(),S306)</f>
        <v/>
      </c>
    </row>
    <row r="307">
      <c r="A307" s="129" t="n">
        <v>302</v>
      </c>
      <c r="B307" s="146">
        <f>EDATE(Mortgage!$B$9,A307-1)</f>
        <v/>
      </c>
      <c r="C307" s="129">
        <f>INT((A307-1)/12)+1</f>
        <v/>
      </c>
      <c r="D307" s="147">
        <f>IF(N(I306)&gt;0.005,I306,0)</f>
        <v/>
      </c>
      <c r="E307" s="147">
        <f>IF(D307&gt;0.005,D307*Mortgage!$B$7/12,0)</f>
        <v/>
      </c>
      <c r="F307" s="147">
        <f>IF(D307&gt;0.005,MIN(Mortgage!$H$8-E307,D307),0)</f>
        <v/>
      </c>
      <c r="G307" s="147">
        <f>IF(D307-F307&gt;0.005,MIN(D307-F307,Mortgage!$B$18+IF(MONTH(B307)=Mortgage!$B$20,Mortgage!$B$19,0)+SUMIFS(Mortgage!$E$6:$E$15,Mortgage!$D$6:$D$15,"&gt;="&amp;B307,Mortgage!$D$6:$D$15,"&lt;"&amp;EDATE(B307,1))+IF(Mortgage!$B$10="Bi-weekly (accelerated)",Mortgage!$H$8/12,0)),0)</f>
        <v/>
      </c>
      <c r="H307" s="147">
        <f>F307+G307</f>
        <v/>
      </c>
      <c r="I307" s="148">
        <f>D307-H307</f>
        <v/>
      </c>
      <c r="J307" s="147">
        <f>E307+F307+G307</f>
        <v/>
      </c>
      <c r="K307" s="147">
        <f>IF(AND(D307&gt;0.005,Mortgage!$H$7&gt;0.8,D307/Mortgage!$B$5&gt;Mortgage!$B$14),Mortgage!$H$5*Mortgage!$B$13/12,0)</f>
        <v/>
      </c>
      <c r="L307" s="147">
        <f>IF(D307&gt;0.005,Mortgage!$B$11/12*(1+Mortgage!$B$16)^(C307-1),0)</f>
        <v/>
      </c>
      <c r="M307" s="147">
        <f>IF(D307&gt;0.005,Mortgage!$B$12/12*(1+Mortgage!$B$16)^(C307-1),0)</f>
        <v/>
      </c>
      <c r="N307" s="147">
        <f>IF(D307&gt;0.005,Mortgage!$B$15,0)</f>
        <v/>
      </c>
      <c r="O307" s="147">
        <f>J307+K307+L307+M307+N307</f>
        <v/>
      </c>
      <c r="P307" s="147">
        <f>P306+E307</f>
        <v/>
      </c>
      <c r="Q307" s="147">
        <f>IF(D307&gt;0.005,Mortgage!$B$5*(1+Mortgage!$B$17)^(A307/12),"")</f>
        <v/>
      </c>
      <c r="R307" s="147">
        <f>IF(D307&gt;0.005,Q307-I307,"")</f>
        <v/>
      </c>
      <c r="S307" s="147">
        <f>IF(A307&gt;Mortgage!$B$8*12,0,IF(Mortgage!$B$7=0,MAX(0,Mortgage!$H$5-Mortgage!$H$8*A307),MAX(0,Mortgage!$H$5*(1+(Mortgage!$B$7/12))^A307-Mortgage!$H$8*((1+(Mortgage!$B$7/12))^A307-1)/(Mortgage!$B$7/12))))</f>
        <v/>
      </c>
      <c r="T307" s="149">
        <f>IF(D307&gt;0.005,I307/Mortgage!$B$5,"")</f>
        <v/>
      </c>
      <c r="U307">
        <f>IF(A307&gt;Mortgage!$B$8*12,NA(),B307)</f>
        <v/>
      </c>
      <c r="V307">
        <f>IF(D307&gt;0.005,I307,NA())</f>
        <v/>
      </c>
      <c r="W307">
        <f>IF(A307&gt;Mortgage!$B$8*12,NA(),S307)</f>
        <v/>
      </c>
    </row>
    <row r="308">
      <c r="A308" s="129" t="n">
        <v>303</v>
      </c>
      <c r="B308" s="146">
        <f>EDATE(Mortgage!$B$9,A308-1)</f>
        <v/>
      </c>
      <c r="C308" s="129">
        <f>INT((A308-1)/12)+1</f>
        <v/>
      </c>
      <c r="D308" s="147">
        <f>IF(N(I307)&gt;0.005,I307,0)</f>
        <v/>
      </c>
      <c r="E308" s="147">
        <f>IF(D308&gt;0.005,D308*Mortgage!$B$7/12,0)</f>
        <v/>
      </c>
      <c r="F308" s="147">
        <f>IF(D308&gt;0.005,MIN(Mortgage!$H$8-E308,D308),0)</f>
        <v/>
      </c>
      <c r="G308" s="147">
        <f>IF(D308-F308&gt;0.005,MIN(D308-F308,Mortgage!$B$18+IF(MONTH(B308)=Mortgage!$B$20,Mortgage!$B$19,0)+SUMIFS(Mortgage!$E$6:$E$15,Mortgage!$D$6:$D$15,"&gt;="&amp;B308,Mortgage!$D$6:$D$15,"&lt;"&amp;EDATE(B308,1))+IF(Mortgage!$B$10="Bi-weekly (accelerated)",Mortgage!$H$8/12,0)),0)</f>
        <v/>
      </c>
      <c r="H308" s="147">
        <f>F308+G308</f>
        <v/>
      </c>
      <c r="I308" s="148">
        <f>D308-H308</f>
        <v/>
      </c>
      <c r="J308" s="147">
        <f>E308+F308+G308</f>
        <v/>
      </c>
      <c r="K308" s="147">
        <f>IF(AND(D308&gt;0.005,Mortgage!$H$7&gt;0.8,D308/Mortgage!$B$5&gt;Mortgage!$B$14),Mortgage!$H$5*Mortgage!$B$13/12,0)</f>
        <v/>
      </c>
      <c r="L308" s="147">
        <f>IF(D308&gt;0.005,Mortgage!$B$11/12*(1+Mortgage!$B$16)^(C308-1),0)</f>
        <v/>
      </c>
      <c r="M308" s="147">
        <f>IF(D308&gt;0.005,Mortgage!$B$12/12*(1+Mortgage!$B$16)^(C308-1),0)</f>
        <v/>
      </c>
      <c r="N308" s="147">
        <f>IF(D308&gt;0.005,Mortgage!$B$15,0)</f>
        <v/>
      </c>
      <c r="O308" s="147">
        <f>J308+K308+L308+M308+N308</f>
        <v/>
      </c>
      <c r="P308" s="147">
        <f>P307+E308</f>
        <v/>
      </c>
      <c r="Q308" s="147">
        <f>IF(D308&gt;0.005,Mortgage!$B$5*(1+Mortgage!$B$17)^(A308/12),"")</f>
        <v/>
      </c>
      <c r="R308" s="147">
        <f>IF(D308&gt;0.005,Q308-I308,"")</f>
        <v/>
      </c>
      <c r="S308" s="147">
        <f>IF(A308&gt;Mortgage!$B$8*12,0,IF(Mortgage!$B$7=0,MAX(0,Mortgage!$H$5-Mortgage!$H$8*A308),MAX(0,Mortgage!$H$5*(1+(Mortgage!$B$7/12))^A308-Mortgage!$H$8*((1+(Mortgage!$B$7/12))^A308-1)/(Mortgage!$B$7/12))))</f>
        <v/>
      </c>
      <c r="T308" s="149">
        <f>IF(D308&gt;0.005,I308/Mortgage!$B$5,"")</f>
        <v/>
      </c>
      <c r="U308">
        <f>IF(A308&gt;Mortgage!$B$8*12,NA(),B308)</f>
        <v/>
      </c>
      <c r="V308">
        <f>IF(D308&gt;0.005,I308,NA())</f>
        <v/>
      </c>
      <c r="W308">
        <f>IF(A308&gt;Mortgage!$B$8*12,NA(),S308)</f>
        <v/>
      </c>
    </row>
    <row r="309">
      <c r="A309" s="129" t="n">
        <v>304</v>
      </c>
      <c r="B309" s="146">
        <f>EDATE(Mortgage!$B$9,A309-1)</f>
        <v/>
      </c>
      <c r="C309" s="129">
        <f>INT((A309-1)/12)+1</f>
        <v/>
      </c>
      <c r="D309" s="147">
        <f>IF(N(I308)&gt;0.005,I308,0)</f>
        <v/>
      </c>
      <c r="E309" s="147">
        <f>IF(D309&gt;0.005,D309*Mortgage!$B$7/12,0)</f>
        <v/>
      </c>
      <c r="F309" s="147">
        <f>IF(D309&gt;0.005,MIN(Mortgage!$H$8-E309,D309),0)</f>
        <v/>
      </c>
      <c r="G309" s="147">
        <f>IF(D309-F309&gt;0.005,MIN(D309-F309,Mortgage!$B$18+IF(MONTH(B309)=Mortgage!$B$20,Mortgage!$B$19,0)+SUMIFS(Mortgage!$E$6:$E$15,Mortgage!$D$6:$D$15,"&gt;="&amp;B309,Mortgage!$D$6:$D$15,"&lt;"&amp;EDATE(B309,1))+IF(Mortgage!$B$10="Bi-weekly (accelerated)",Mortgage!$H$8/12,0)),0)</f>
        <v/>
      </c>
      <c r="H309" s="147">
        <f>F309+G309</f>
        <v/>
      </c>
      <c r="I309" s="148">
        <f>D309-H309</f>
        <v/>
      </c>
      <c r="J309" s="147">
        <f>E309+F309+G309</f>
        <v/>
      </c>
      <c r="K309" s="147">
        <f>IF(AND(D309&gt;0.005,Mortgage!$H$7&gt;0.8,D309/Mortgage!$B$5&gt;Mortgage!$B$14),Mortgage!$H$5*Mortgage!$B$13/12,0)</f>
        <v/>
      </c>
      <c r="L309" s="147">
        <f>IF(D309&gt;0.005,Mortgage!$B$11/12*(1+Mortgage!$B$16)^(C309-1),0)</f>
        <v/>
      </c>
      <c r="M309" s="147">
        <f>IF(D309&gt;0.005,Mortgage!$B$12/12*(1+Mortgage!$B$16)^(C309-1),0)</f>
        <v/>
      </c>
      <c r="N309" s="147">
        <f>IF(D309&gt;0.005,Mortgage!$B$15,0)</f>
        <v/>
      </c>
      <c r="O309" s="147">
        <f>J309+K309+L309+M309+N309</f>
        <v/>
      </c>
      <c r="P309" s="147">
        <f>P308+E309</f>
        <v/>
      </c>
      <c r="Q309" s="147">
        <f>IF(D309&gt;0.005,Mortgage!$B$5*(1+Mortgage!$B$17)^(A309/12),"")</f>
        <v/>
      </c>
      <c r="R309" s="147">
        <f>IF(D309&gt;0.005,Q309-I309,"")</f>
        <v/>
      </c>
      <c r="S309" s="147">
        <f>IF(A309&gt;Mortgage!$B$8*12,0,IF(Mortgage!$B$7=0,MAX(0,Mortgage!$H$5-Mortgage!$H$8*A309),MAX(0,Mortgage!$H$5*(1+(Mortgage!$B$7/12))^A309-Mortgage!$H$8*((1+(Mortgage!$B$7/12))^A309-1)/(Mortgage!$B$7/12))))</f>
        <v/>
      </c>
      <c r="T309" s="149">
        <f>IF(D309&gt;0.005,I309/Mortgage!$B$5,"")</f>
        <v/>
      </c>
      <c r="U309">
        <f>IF(A309&gt;Mortgage!$B$8*12,NA(),B309)</f>
        <v/>
      </c>
      <c r="V309">
        <f>IF(D309&gt;0.005,I309,NA())</f>
        <v/>
      </c>
      <c r="W309">
        <f>IF(A309&gt;Mortgage!$B$8*12,NA(),S309)</f>
        <v/>
      </c>
    </row>
    <row r="310">
      <c r="A310" s="129" t="n">
        <v>305</v>
      </c>
      <c r="B310" s="146">
        <f>EDATE(Mortgage!$B$9,A310-1)</f>
        <v/>
      </c>
      <c r="C310" s="129">
        <f>INT((A310-1)/12)+1</f>
        <v/>
      </c>
      <c r="D310" s="147">
        <f>IF(N(I309)&gt;0.005,I309,0)</f>
        <v/>
      </c>
      <c r="E310" s="147">
        <f>IF(D310&gt;0.005,D310*Mortgage!$B$7/12,0)</f>
        <v/>
      </c>
      <c r="F310" s="147">
        <f>IF(D310&gt;0.005,MIN(Mortgage!$H$8-E310,D310),0)</f>
        <v/>
      </c>
      <c r="G310" s="147">
        <f>IF(D310-F310&gt;0.005,MIN(D310-F310,Mortgage!$B$18+IF(MONTH(B310)=Mortgage!$B$20,Mortgage!$B$19,0)+SUMIFS(Mortgage!$E$6:$E$15,Mortgage!$D$6:$D$15,"&gt;="&amp;B310,Mortgage!$D$6:$D$15,"&lt;"&amp;EDATE(B310,1))+IF(Mortgage!$B$10="Bi-weekly (accelerated)",Mortgage!$H$8/12,0)),0)</f>
        <v/>
      </c>
      <c r="H310" s="147">
        <f>F310+G310</f>
        <v/>
      </c>
      <c r="I310" s="148">
        <f>D310-H310</f>
        <v/>
      </c>
      <c r="J310" s="147">
        <f>E310+F310+G310</f>
        <v/>
      </c>
      <c r="K310" s="147">
        <f>IF(AND(D310&gt;0.005,Mortgage!$H$7&gt;0.8,D310/Mortgage!$B$5&gt;Mortgage!$B$14),Mortgage!$H$5*Mortgage!$B$13/12,0)</f>
        <v/>
      </c>
      <c r="L310" s="147">
        <f>IF(D310&gt;0.005,Mortgage!$B$11/12*(1+Mortgage!$B$16)^(C310-1),0)</f>
        <v/>
      </c>
      <c r="M310" s="147">
        <f>IF(D310&gt;0.005,Mortgage!$B$12/12*(1+Mortgage!$B$16)^(C310-1),0)</f>
        <v/>
      </c>
      <c r="N310" s="147">
        <f>IF(D310&gt;0.005,Mortgage!$B$15,0)</f>
        <v/>
      </c>
      <c r="O310" s="147">
        <f>J310+K310+L310+M310+N310</f>
        <v/>
      </c>
      <c r="P310" s="147">
        <f>P309+E310</f>
        <v/>
      </c>
      <c r="Q310" s="147">
        <f>IF(D310&gt;0.005,Mortgage!$B$5*(1+Mortgage!$B$17)^(A310/12),"")</f>
        <v/>
      </c>
      <c r="R310" s="147">
        <f>IF(D310&gt;0.005,Q310-I310,"")</f>
        <v/>
      </c>
      <c r="S310" s="147">
        <f>IF(A310&gt;Mortgage!$B$8*12,0,IF(Mortgage!$B$7=0,MAX(0,Mortgage!$H$5-Mortgage!$H$8*A310),MAX(0,Mortgage!$H$5*(1+(Mortgage!$B$7/12))^A310-Mortgage!$H$8*((1+(Mortgage!$B$7/12))^A310-1)/(Mortgage!$B$7/12))))</f>
        <v/>
      </c>
      <c r="T310" s="149">
        <f>IF(D310&gt;0.005,I310/Mortgage!$B$5,"")</f>
        <v/>
      </c>
      <c r="U310">
        <f>IF(A310&gt;Mortgage!$B$8*12,NA(),B310)</f>
        <v/>
      </c>
      <c r="V310">
        <f>IF(D310&gt;0.005,I310,NA())</f>
        <v/>
      </c>
      <c r="W310">
        <f>IF(A310&gt;Mortgage!$B$8*12,NA(),S310)</f>
        <v/>
      </c>
    </row>
    <row r="311">
      <c r="A311" s="129" t="n">
        <v>306</v>
      </c>
      <c r="B311" s="146">
        <f>EDATE(Mortgage!$B$9,A311-1)</f>
        <v/>
      </c>
      <c r="C311" s="129">
        <f>INT((A311-1)/12)+1</f>
        <v/>
      </c>
      <c r="D311" s="147">
        <f>IF(N(I310)&gt;0.005,I310,0)</f>
        <v/>
      </c>
      <c r="E311" s="147">
        <f>IF(D311&gt;0.005,D311*Mortgage!$B$7/12,0)</f>
        <v/>
      </c>
      <c r="F311" s="147">
        <f>IF(D311&gt;0.005,MIN(Mortgage!$H$8-E311,D311),0)</f>
        <v/>
      </c>
      <c r="G311" s="147">
        <f>IF(D311-F311&gt;0.005,MIN(D311-F311,Mortgage!$B$18+IF(MONTH(B311)=Mortgage!$B$20,Mortgage!$B$19,0)+SUMIFS(Mortgage!$E$6:$E$15,Mortgage!$D$6:$D$15,"&gt;="&amp;B311,Mortgage!$D$6:$D$15,"&lt;"&amp;EDATE(B311,1))+IF(Mortgage!$B$10="Bi-weekly (accelerated)",Mortgage!$H$8/12,0)),0)</f>
        <v/>
      </c>
      <c r="H311" s="147">
        <f>F311+G311</f>
        <v/>
      </c>
      <c r="I311" s="148">
        <f>D311-H311</f>
        <v/>
      </c>
      <c r="J311" s="147">
        <f>E311+F311+G311</f>
        <v/>
      </c>
      <c r="K311" s="147">
        <f>IF(AND(D311&gt;0.005,Mortgage!$H$7&gt;0.8,D311/Mortgage!$B$5&gt;Mortgage!$B$14),Mortgage!$H$5*Mortgage!$B$13/12,0)</f>
        <v/>
      </c>
      <c r="L311" s="147">
        <f>IF(D311&gt;0.005,Mortgage!$B$11/12*(1+Mortgage!$B$16)^(C311-1),0)</f>
        <v/>
      </c>
      <c r="M311" s="147">
        <f>IF(D311&gt;0.005,Mortgage!$B$12/12*(1+Mortgage!$B$16)^(C311-1),0)</f>
        <v/>
      </c>
      <c r="N311" s="147">
        <f>IF(D311&gt;0.005,Mortgage!$B$15,0)</f>
        <v/>
      </c>
      <c r="O311" s="147">
        <f>J311+K311+L311+M311+N311</f>
        <v/>
      </c>
      <c r="P311" s="147">
        <f>P310+E311</f>
        <v/>
      </c>
      <c r="Q311" s="147">
        <f>IF(D311&gt;0.005,Mortgage!$B$5*(1+Mortgage!$B$17)^(A311/12),"")</f>
        <v/>
      </c>
      <c r="R311" s="147">
        <f>IF(D311&gt;0.005,Q311-I311,"")</f>
        <v/>
      </c>
      <c r="S311" s="147">
        <f>IF(A311&gt;Mortgage!$B$8*12,0,IF(Mortgage!$B$7=0,MAX(0,Mortgage!$H$5-Mortgage!$H$8*A311),MAX(0,Mortgage!$H$5*(1+(Mortgage!$B$7/12))^A311-Mortgage!$H$8*((1+(Mortgage!$B$7/12))^A311-1)/(Mortgage!$B$7/12))))</f>
        <v/>
      </c>
      <c r="T311" s="149">
        <f>IF(D311&gt;0.005,I311/Mortgage!$B$5,"")</f>
        <v/>
      </c>
      <c r="U311">
        <f>IF(A311&gt;Mortgage!$B$8*12,NA(),B311)</f>
        <v/>
      </c>
      <c r="V311">
        <f>IF(D311&gt;0.005,I311,NA())</f>
        <v/>
      </c>
      <c r="W311">
        <f>IF(A311&gt;Mortgage!$B$8*12,NA(),S311)</f>
        <v/>
      </c>
    </row>
    <row r="312">
      <c r="A312" s="129" t="n">
        <v>307</v>
      </c>
      <c r="B312" s="146">
        <f>EDATE(Mortgage!$B$9,A312-1)</f>
        <v/>
      </c>
      <c r="C312" s="129">
        <f>INT((A312-1)/12)+1</f>
        <v/>
      </c>
      <c r="D312" s="147">
        <f>IF(N(I311)&gt;0.005,I311,0)</f>
        <v/>
      </c>
      <c r="E312" s="147">
        <f>IF(D312&gt;0.005,D312*Mortgage!$B$7/12,0)</f>
        <v/>
      </c>
      <c r="F312" s="147">
        <f>IF(D312&gt;0.005,MIN(Mortgage!$H$8-E312,D312),0)</f>
        <v/>
      </c>
      <c r="G312" s="147">
        <f>IF(D312-F312&gt;0.005,MIN(D312-F312,Mortgage!$B$18+IF(MONTH(B312)=Mortgage!$B$20,Mortgage!$B$19,0)+SUMIFS(Mortgage!$E$6:$E$15,Mortgage!$D$6:$D$15,"&gt;="&amp;B312,Mortgage!$D$6:$D$15,"&lt;"&amp;EDATE(B312,1))+IF(Mortgage!$B$10="Bi-weekly (accelerated)",Mortgage!$H$8/12,0)),0)</f>
        <v/>
      </c>
      <c r="H312" s="147">
        <f>F312+G312</f>
        <v/>
      </c>
      <c r="I312" s="148">
        <f>D312-H312</f>
        <v/>
      </c>
      <c r="J312" s="147">
        <f>E312+F312+G312</f>
        <v/>
      </c>
      <c r="K312" s="147">
        <f>IF(AND(D312&gt;0.005,Mortgage!$H$7&gt;0.8,D312/Mortgage!$B$5&gt;Mortgage!$B$14),Mortgage!$H$5*Mortgage!$B$13/12,0)</f>
        <v/>
      </c>
      <c r="L312" s="147">
        <f>IF(D312&gt;0.005,Mortgage!$B$11/12*(1+Mortgage!$B$16)^(C312-1),0)</f>
        <v/>
      </c>
      <c r="M312" s="147">
        <f>IF(D312&gt;0.005,Mortgage!$B$12/12*(1+Mortgage!$B$16)^(C312-1),0)</f>
        <v/>
      </c>
      <c r="N312" s="147">
        <f>IF(D312&gt;0.005,Mortgage!$B$15,0)</f>
        <v/>
      </c>
      <c r="O312" s="147">
        <f>J312+K312+L312+M312+N312</f>
        <v/>
      </c>
      <c r="P312" s="147">
        <f>P311+E312</f>
        <v/>
      </c>
      <c r="Q312" s="147">
        <f>IF(D312&gt;0.005,Mortgage!$B$5*(1+Mortgage!$B$17)^(A312/12),"")</f>
        <v/>
      </c>
      <c r="R312" s="147">
        <f>IF(D312&gt;0.005,Q312-I312,"")</f>
        <v/>
      </c>
      <c r="S312" s="147">
        <f>IF(A312&gt;Mortgage!$B$8*12,0,IF(Mortgage!$B$7=0,MAX(0,Mortgage!$H$5-Mortgage!$H$8*A312),MAX(0,Mortgage!$H$5*(1+(Mortgage!$B$7/12))^A312-Mortgage!$H$8*((1+(Mortgage!$B$7/12))^A312-1)/(Mortgage!$B$7/12))))</f>
        <v/>
      </c>
      <c r="T312" s="149">
        <f>IF(D312&gt;0.005,I312/Mortgage!$B$5,"")</f>
        <v/>
      </c>
      <c r="U312">
        <f>IF(A312&gt;Mortgage!$B$8*12,NA(),B312)</f>
        <v/>
      </c>
      <c r="V312">
        <f>IF(D312&gt;0.005,I312,NA())</f>
        <v/>
      </c>
      <c r="W312">
        <f>IF(A312&gt;Mortgage!$B$8*12,NA(),S312)</f>
        <v/>
      </c>
    </row>
    <row r="313">
      <c r="A313" s="129" t="n">
        <v>308</v>
      </c>
      <c r="B313" s="146">
        <f>EDATE(Mortgage!$B$9,A313-1)</f>
        <v/>
      </c>
      <c r="C313" s="129">
        <f>INT((A313-1)/12)+1</f>
        <v/>
      </c>
      <c r="D313" s="147">
        <f>IF(N(I312)&gt;0.005,I312,0)</f>
        <v/>
      </c>
      <c r="E313" s="147">
        <f>IF(D313&gt;0.005,D313*Mortgage!$B$7/12,0)</f>
        <v/>
      </c>
      <c r="F313" s="147">
        <f>IF(D313&gt;0.005,MIN(Mortgage!$H$8-E313,D313),0)</f>
        <v/>
      </c>
      <c r="G313" s="147">
        <f>IF(D313-F313&gt;0.005,MIN(D313-F313,Mortgage!$B$18+IF(MONTH(B313)=Mortgage!$B$20,Mortgage!$B$19,0)+SUMIFS(Mortgage!$E$6:$E$15,Mortgage!$D$6:$D$15,"&gt;="&amp;B313,Mortgage!$D$6:$D$15,"&lt;"&amp;EDATE(B313,1))+IF(Mortgage!$B$10="Bi-weekly (accelerated)",Mortgage!$H$8/12,0)),0)</f>
        <v/>
      </c>
      <c r="H313" s="147">
        <f>F313+G313</f>
        <v/>
      </c>
      <c r="I313" s="148">
        <f>D313-H313</f>
        <v/>
      </c>
      <c r="J313" s="147">
        <f>E313+F313+G313</f>
        <v/>
      </c>
      <c r="K313" s="147">
        <f>IF(AND(D313&gt;0.005,Mortgage!$H$7&gt;0.8,D313/Mortgage!$B$5&gt;Mortgage!$B$14),Mortgage!$H$5*Mortgage!$B$13/12,0)</f>
        <v/>
      </c>
      <c r="L313" s="147">
        <f>IF(D313&gt;0.005,Mortgage!$B$11/12*(1+Mortgage!$B$16)^(C313-1),0)</f>
        <v/>
      </c>
      <c r="M313" s="147">
        <f>IF(D313&gt;0.005,Mortgage!$B$12/12*(1+Mortgage!$B$16)^(C313-1),0)</f>
        <v/>
      </c>
      <c r="N313" s="147">
        <f>IF(D313&gt;0.005,Mortgage!$B$15,0)</f>
        <v/>
      </c>
      <c r="O313" s="147">
        <f>J313+K313+L313+M313+N313</f>
        <v/>
      </c>
      <c r="P313" s="147">
        <f>P312+E313</f>
        <v/>
      </c>
      <c r="Q313" s="147">
        <f>IF(D313&gt;0.005,Mortgage!$B$5*(1+Mortgage!$B$17)^(A313/12),"")</f>
        <v/>
      </c>
      <c r="R313" s="147">
        <f>IF(D313&gt;0.005,Q313-I313,"")</f>
        <v/>
      </c>
      <c r="S313" s="147">
        <f>IF(A313&gt;Mortgage!$B$8*12,0,IF(Mortgage!$B$7=0,MAX(0,Mortgage!$H$5-Mortgage!$H$8*A313),MAX(0,Mortgage!$H$5*(1+(Mortgage!$B$7/12))^A313-Mortgage!$H$8*((1+(Mortgage!$B$7/12))^A313-1)/(Mortgage!$B$7/12))))</f>
        <v/>
      </c>
      <c r="T313" s="149">
        <f>IF(D313&gt;0.005,I313/Mortgage!$B$5,"")</f>
        <v/>
      </c>
      <c r="U313">
        <f>IF(A313&gt;Mortgage!$B$8*12,NA(),B313)</f>
        <v/>
      </c>
      <c r="V313">
        <f>IF(D313&gt;0.005,I313,NA())</f>
        <v/>
      </c>
      <c r="W313">
        <f>IF(A313&gt;Mortgage!$B$8*12,NA(),S313)</f>
        <v/>
      </c>
    </row>
    <row r="314">
      <c r="A314" s="129" t="n">
        <v>309</v>
      </c>
      <c r="B314" s="146">
        <f>EDATE(Mortgage!$B$9,A314-1)</f>
        <v/>
      </c>
      <c r="C314" s="129">
        <f>INT((A314-1)/12)+1</f>
        <v/>
      </c>
      <c r="D314" s="147">
        <f>IF(N(I313)&gt;0.005,I313,0)</f>
        <v/>
      </c>
      <c r="E314" s="147">
        <f>IF(D314&gt;0.005,D314*Mortgage!$B$7/12,0)</f>
        <v/>
      </c>
      <c r="F314" s="147">
        <f>IF(D314&gt;0.005,MIN(Mortgage!$H$8-E314,D314),0)</f>
        <v/>
      </c>
      <c r="G314" s="147">
        <f>IF(D314-F314&gt;0.005,MIN(D314-F314,Mortgage!$B$18+IF(MONTH(B314)=Mortgage!$B$20,Mortgage!$B$19,0)+SUMIFS(Mortgage!$E$6:$E$15,Mortgage!$D$6:$D$15,"&gt;="&amp;B314,Mortgage!$D$6:$D$15,"&lt;"&amp;EDATE(B314,1))+IF(Mortgage!$B$10="Bi-weekly (accelerated)",Mortgage!$H$8/12,0)),0)</f>
        <v/>
      </c>
      <c r="H314" s="147">
        <f>F314+G314</f>
        <v/>
      </c>
      <c r="I314" s="148">
        <f>D314-H314</f>
        <v/>
      </c>
      <c r="J314" s="147">
        <f>E314+F314+G314</f>
        <v/>
      </c>
      <c r="K314" s="147">
        <f>IF(AND(D314&gt;0.005,Mortgage!$H$7&gt;0.8,D314/Mortgage!$B$5&gt;Mortgage!$B$14),Mortgage!$H$5*Mortgage!$B$13/12,0)</f>
        <v/>
      </c>
      <c r="L314" s="147">
        <f>IF(D314&gt;0.005,Mortgage!$B$11/12*(1+Mortgage!$B$16)^(C314-1),0)</f>
        <v/>
      </c>
      <c r="M314" s="147">
        <f>IF(D314&gt;0.005,Mortgage!$B$12/12*(1+Mortgage!$B$16)^(C314-1),0)</f>
        <v/>
      </c>
      <c r="N314" s="147">
        <f>IF(D314&gt;0.005,Mortgage!$B$15,0)</f>
        <v/>
      </c>
      <c r="O314" s="147">
        <f>J314+K314+L314+M314+N314</f>
        <v/>
      </c>
      <c r="P314" s="147">
        <f>P313+E314</f>
        <v/>
      </c>
      <c r="Q314" s="147">
        <f>IF(D314&gt;0.005,Mortgage!$B$5*(1+Mortgage!$B$17)^(A314/12),"")</f>
        <v/>
      </c>
      <c r="R314" s="147">
        <f>IF(D314&gt;0.005,Q314-I314,"")</f>
        <v/>
      </c>
      <c r="S314" s="147">
        <f>IF(A314&gt;Mortgage!$B$8*12,0,IF(Mortgage!$B$7=0,MAX(0,Mortgage!$H$5-Mortgage!$H$8*A314),MAX(0,Mortgage!$H$5*(1+(Mortgage!$B$7/12))^A314-Mortgage!$H$8*((1+(Mortgage!$B$7/12))^A314-1)/(Mortgage!$B$7/12))))</f>
        <v/>
      </c>
      <c r="T314" s="149">
        <f>IF(D314&gt;0.005,I314/Mortgage!$B$5,"")</f>
        <v/>
      </c>
      <c r="U314">
        <f>IF(A314&gt;Mortgage!$B$8*12,NA(),B314)</f>
        <v/>
      </c>
      <c r="V314">
        <f>IF(D314&gt;0.005,I314,NA())</f>
        <v/>
      </c>
      <c r="W314">
        <f>IF(A314&gt;Mortgage!$B$8*12,NA(),S314)</f>
        <v/>
      </c>
    </row>
    <row r="315">
      <c r="A315" s="129" t="n">
        <v>310</v>
      </c>
      <c r="B315" s="146">
        <f>EDATE(Mortgage!$B$9,A315-1)</f>
        <v/>
      </c>
      <c r="C315" s="129">
        <f>INT((A315-1)/12)+1</f>
        <v/>
      </c>
      <c r="D315" s="147">
        <f>IF(N(I314)&gt;0.005,I314,0)</f>
        <v/>
      </c>
      <c r="E315" s="147">
        <f>IF(D315&gt;0.005,D315*Mortgage!$B$7/12,0)</f>
        <v/>
      </c>
      <c r="F315" s="147">
        <f>IF(D315&gt;0.005,MIN(Mortgage!$H$8-E315,D315),0)</f>
        <v/>
      </c>
      <c r="G315" s="147">
        <f>IF(D315-F315&gt;0.005,MIN(D315-F315,Mortgage!$B$18+IF(MONTH(B315)=Mortgage!$B$20,Mortgage!$B$19,0)+SUMIFS(Mortgage!$E$6:$E$15,Mortgage!$D$6:$D$15,"&gt;="&amp;B315,Mortgage!$D$6:$D$15,"&lt;"&amp;EDATE(B315,1))+IF(Mortgage!$B$10="Bi-weekly (accelerated)",Mortgage!$H$8/12,0)),0)</f>
        <v/>
      </c>
      <c r="H315" s="147">
        <f>F315+G315</f>
        <v/>
      </c>
      <c r="I315" s="148">
        <f>D315-H315</f>
        <v/>
      </c>
      <c r="J315" s="147">
        <f>E315+F315+G315</f>
        <v/>
      </c>
      <c r="K315" s="147">
        <f>IF(AND(D315&gt;0.005,Mortgage!$H$7&gt;0.8,D315/Mortgage!$B$5&gt;Mortgage!$B$14),Mortgage!$H$5*Mortgage!$B$13/12,0)</f>
        <v/>
      </c>
      <c r="L315" s="147">
        <f>IF(D315&gt;0.005,Mortgage!$B$11/12*(1+Mortgage!$B$16)^(C315-1),0)</f>
        <v/>
      </c>
      <c r="M315" s="147">
        <f>IF(D315&gt;0.005,Mortgage!$B$12/12*(1+Mortgage!$B$16)^(C315-1),0)</f>
        <v/>
      </c>
      <c r="N315" s="147">
        <f>IF(D315&gt;0.005,Mortgage!$B$15,0)</f>
        <v/>
      </c>
      <c r="O315" s="147">
        <f>J315+K315+L315+M315+N315</f>
        <v/>
      </c>
      <c r="P315" s="147">
        <f>P314+E315</f>
        <v/>
      </c>
      <c r="Q315" s="147">
        <f>IF(D315&gt;0.005,Mortgage!$B$5*(1+Mortgage!$B$17)^(A315/12),"")</f>
        <v/>
      </c>
      <c r="R315" s="147">
        <f>IF(D315&gt;0.005,Q315-I315,"")</f>
        <v/>
      </c>
      <c r="S315" s="147">
        <f>IF(A315&gt;Mortgage!$B$8*12,0,IF(Mortgage!$B$7=0,MAX(0,Mortgage!$H$5-Mortgage!$H$8*A315),MAX(0,Mortgage!$H$5*(1+(Mortgage!$B$7/12))^A315-Mortgage!$H$8*((1+(Mortgage!$B$7/12))^A315-1)/(Mortgage!$B$7/12))))</f>
        <v/>
      </c>
      <c r="T315" s="149">
        <f>IF(D315&gt;0.005,I315/Mortgage!$B$5,"")</f>
        <v/>
      </c>
      <c r="U315">
        <f>IF(A315&gt;Mortgage!$B$8*12,NA(),B315)</f>
        <v/>
      </c>
      <c r="V315">
        <f>IF(D315&gt;0.005,I315,NA())</f>
        <v/>
      </c>
      <c r="W315">
        <f>IF(A315&gt;Mortgage!$B$8*12,NA(),S315)</f>
        <v/>
      </c>
    </row>
    <row r="316">
      <c r="A316" s="129" t="n">
        <v>311</v>
      </c>
      <c r="B316" s="146">
        <f>EDATE(Mortgage!$B$9,A316-1)</f>
        <v/>
      </c>
      <c r="C316" s="129">
        <f>INT((A316-1)/12)+1</f>
        <v/>
      </c>
      <c r="D316" s="147">
        <f>IF(N(I315)&gt;0.005,I315,0)</f>
        <v/>
      </c>
      <c r="E316" s="147">
        <f>IF(D316&gt;0.005,D316*Mortgage!$B$7/12,0)</f>
        <v/>
      </c>
      <c r="F316" s="147">
        <f>IF(D316&gt;0.005,MIN(Mortgage!$H$8-E316,D316),0)</f>
        <v/>
      </c>
      <c r="G316" s="147">
        <f>IF(D316-F316&gt;0.005,MIN(D316-F316,Mortgage!$B$18+IF(MONTH(B316)=Mortgage!$B$20,Mortgage!$B$19,0)+SUMIFS(Mortgage!$E$6:$E$15,Mortgage!$D$6:$D$15,"&gt;="&amp;B316,Mortgage!$D$6:$D$15,"&lt;"&amp;EDATE(B316,1))+IF(Mortgage!$B$10="Bi-weekly (accelerated)",Mortgage!$H$8/12,0)),0)</f>
        <v/>
      </c>
      <c r="H316" s="147">
        <f>F316+G316</f>
        <v/>
      </c>
      <c r="I316" s="148">
        <f>D316-H316</f>
        <v/>
      </c>
      <c r="J316" s="147">
        <f>E316+F316+G316</f>
        <v/>
      </c>
      <c r="K316" s="147">
        <f>IF(AND(D316&gt;0.005,Mortgage!$H$7&gt;0.8,D316/Mortgage!$B$5&gt;Mortgage!$B$14),Mortgage!$H$5*Mortgage!$B$13/12,0)</f>
        <v/>
      </c>
      <c r="L316" s="147">
        <f>IF(D316&gt;0.005,Mortgage!$B$11/12*(1+Mortgage!$B$16)^(C316-1),0)</f>
        <v/>
      </c>
      <c r="M316" s="147">
        <f>IF(D316&gt;0.005,Mortgage!$B$12/12*(1+Mortgage!$B$16)^(C316-1),0)</f>
        <v/>
      </c>
      <c r="N316" s="147">
        <f>IF(D316&gt;0.005,Mortgage!$B$15,0)</f>
        <v/>
      </c>
      <c r="O316" s="147">
        <f>J316+K316+L316+M316+N316</f>
        <v/>
      </c>
      <c r="P316" s="147">
        <f>P315+E316</f>
        <v/>
      </c>
      <c r="Q316" s="147">
        <f>IF(D316&gt;0.005,Mortgage!$B$5*(1+Mortgage!$B$17)^(A316/12),"")</f>
        <v/>
      </c>
      <c r="R316" s="147">
        <f>IF(D316&gt;0.005,Q316-I316,"")</f>
        <v/>
      </c>
      <c r="S316" s="147">
        <f>IF(A316&gt;Mortgage!$B$8*12,0,IF(Mortgage!$B$7=0,MAX(0,Mortgage!$H$5-Mortgage!$H$8*A316),MAX(0,Mortgage!$H$5*(1+(Mortgage!$B$7/12))^A316-Mortgage!$H$8*((1+(Mortgage!$B$7/12))^A316-1)/(Mortgage!$B$7/12))))</f>
        <v/>
      </c>
      <c r="T316" s="149">
        <f>IF(D316&gt;0.005,I316/Mortgage!$B$5,"")</f>
        <v/>
      </c>
      <c r="U316">
        <f>IF(A316&gt;Mortgage!$B$8*12,NA(),B316)</f>
        <v/>
      </c>
      <c r="V316">
        <f>IF(D316&gt;0.005,I316,NA())</f>
        <v/>
      </c>
      <c r="W316">
        <f>IF(A316&gt;Mortgage!$B$8*12,NA(),S316)</f>
        <v/>
      </c>
    </row>
    <row r="317">
      <c r="A317" s="129" t="n">
        <v>312</v>
      </c>
      <c r="B317" s="146">
        <f>EDATE(Mortgage!$B$9,A317-1)</f>
        <v/>
      </c>
      <c r="C317" s="129">
        <f>INT((A317-1)/12)+1</f>
        <v/>
      </c>
      <c r="D317" s="147">
        <f>IF(N(I316)&gt;0.005,I316,0)</f>
        <v/>
      </c>
      <c r="E317" s="147">
        <f>IF(D317&gt;0.005,D317*Mortgage!$B$7/12,0)</f>
        <v/>
      </c>
      <c r="F317" s="147">
        <f>IF(D317&gt;0.005,MIN(Mortgage!$H$8-E317,D317),0)</f>
        <v/>
      </c>
      <c r="G317" s="147">
        <f>IF(D317-F317&gt;0.005,MIN(D317-F317,Mortgage!$B$18+IF(MONTH(B317)=Mortgage!$B$20,Mortgage!$B$19,0)+SUMIFS(Mortgage!$E$6:$E$15,Mortgage!$D$6:$D$15,"&gt;="&amp;B317,Mortgage!$D$6:$D$15,"&lt;"&amp;EDATE(B317,1))+IF(Mortgage!$B$10="Bi-weekly (accelerated)",Mortgage!$H$8/12,0)),0)</f>
        <v/>
      </c>
      <c r="H317" s="147">
        <f>F317+G317</f>
        <v/>
      </c>
      <c r="I317" s="148">
        <f>D317-H317</f>
        <v/>
      </c>
      <c r="J317" s="147">
        <f>E317+F317+G317</f>
        <v/>
      </c>
      <c r="K317" s="147">
        <f>IF(AND(D317&gt;0.005,Mortgage!$H$7&gt;0.8,D317/Mortgage!$B$5&gt;Mortgage!$B$14),Mortgage!$H$5*Mortgage!$B$13/12,0)</f>
        <v/>
      </c>
      <c r="L317" s="147">
        <f>IF(D317&gt;0.005,Mortgage!$B$11/12*(1+Mortgage!$B$16)^(C317-1),0)</f>
        <v/>
      </c>
      <c r="M317" s="147">
        <f>IF(D317&gt;0.005,Mortgage!$B$12/12*(1+Mortgage!$B$16)^(C317-1),0)</f>
        <v/>
      </c>
      <c r="N317" s="147">
        <f>IF(D317&gt;0.005,Mortgage!$B$15,0)</f>
        <v/>
      </c>
      <c r="O317" s="147">
        <f>J317+K317+L317+M317+N317</f>
        <v/>
      </c>
      <c r="P317" s="147">
        <f>P316+E317</f>
        <v/>
      </c>
      <c r="Q317" s="147">
        <f>IF(D317&gt;0.005,Mortgage!$B$5*(1+Mortgage!$B$17)^(A317/12),"")</f>
        <v/>
      </c>
      <c r="R317" s="147">
        <f>IF(D317&gt;0.005,Q317-I317,"")</f>
        <v/>
      </c>
      <c r="S317" s="147">
        <f>IF(A317&gt;Mortgage!$B$8*12,0,IF(Mortgage!$B$7=0,MAX(0,Mortgage!$H$5-Mortgage!$H$8*A317),MAX(0,Mortgage!$H$5*(1+(Mortgage!$B$7/12))^A317-Mortgage!$H$8*((1+(Mortgage!$B$7/12))^A317-1)/(Mortgage!$B$7/12))))</f>
        <v/>
      </c>
      <c r="T317" s="149">
        <f>IF(D317&gt;0.005,I317/Mortgage!$B$5,"")</f>
        <v/>
      </c>
      <c r="U317">
        <f>IF(A317&gt;Mortgage!$B$8*12,NA(),B317)</f>
        <v/>
      </c>
      <c r="V317">
        <f>IF(D317&gt;0.005,I317,NA())</f>
        <v/>
      </c>
      <c r="W317">
        <f>IF(A317&gt;Mortgage!$B$8*12,NA(),S317)</f>
        <v/>
      </c>
    </row>
    <row r="318">
      <c r="A318" s="129" t="n">
        <v>313</v>
      </c>
      <c r="B318" s="146">
        <f>EDATE(Mortgage!$B$9,A318-1)</f>
        <v/>
      </c>
      <c r="C318" s="129">
        <f>INT((A318-1)/12)+1</f>
        <v/>
      </c>
      <c r="D318" s="147">
        <f>IF(N(I317)&gt;0.005,I317,0)</f>
        <v/>
      </c>
      <c r="E318" s="147">
        <f>IF(D318&gt;0.005,D318*Mortgage!$B$7/12,0)</f>
        <v/>
      </c>
      <c r="F318" s="147">
        <f>IF(D318&gt;0.005,MIN(Mortgage!$H$8-E318,D318),0)</f>
        <v/>
      </c>
      <c r="G318" s="147">
        <f>IF(D318-F318&gt;0.005,MIN(D318-F318,Mortgage!$B$18+IF(MONTH(B318)=Mortgage!$B$20,Mortgage!$B$19,0)+SUMIFS(Mortgage!$E$6:$E$15,Mortgage!$D$6:$D$15,"&gt;="&amp;B318,Mortgage!$D$6:$D$15,"&lt;"&amp;EDATE(B318,1))+IF(Mortgage!$B$10="Bi-weekly (accelerated)",Mortgage!$H$8/12,0)),0)</f>
        <v/>
      </c>
      <c r="H318" s="147">
        <f>F318+G318</f>
        <v/>
      </c>
      <c r="I318" s="148">
        <f>D318-H318</f>
        <v/>
      </c>
      <c r="J318" s="147">
        <f>E318+F318+G318</f>
        <v/>
      </c>
      <c r="K318" s="147">
        <f>IF(AND(D318&gt;0.005,Mortgage!$H$7&gt;0.8,D318/Mortgage!$B$5&gt;Mortgage!$B$14),Mortgage!$H$5*Mortgage!$B$13/12,0)</f>
        <v/>
      </c>
      <c r="L318" s="147">
        <f>IF(D318&gt;0.005,Mortgage!$B$11/12*(1+Mortgage!$B$16)^(C318-1),0)</f>
        <v/>
      </c>
      <c r="M318" s="147">
        <f>IF(D318&gt;0.005,Mortgage!$B$12/12*(1+Mortgage!$B$16)^(C318-1),0)</f>
        <v/>
      </c>
      <c r="N318" s="147">
        <f>IF(D318&gt;0.005,Mortgage!$B$15,0)</f>
        <v/>
      </c>
      <c r="O318" s="147">
        <f>J318+K318+L318+M318+N318</f>
        <v/>
      </c>
      <c r="P318" s="147">
        <f>P317+E318</f>
        <v/>
      </c>
      <c r="Q318" s="147">
        <f>IF(D318&gt;0.005,Mortgage!$B$5*(1+Mortgage!$B$17)^(A318/12),"")</f>
        <v/>
      </c>
      <c r="R318" s="147">
        <f>IF(D318&gt;0.005,Q318-I318,"")</f>
        <v/>
      </c>
      <c r="S318" s="147">
        <f>IF(A318&gt;Mortgage!$B$8*12,0,IF(Mortgage!$B$7=0,MAX(0,Mortgage!$H$5-Mortgage!$H$8*A318),MAX(0,Mortgage!$H$5*(1+(Mortgage!$B$7/12))^A318-Mortgage!$H$8*((1+(Mortgage!$B$7/12))^A318-1)/(Mortgage!$B$7/12))))</f>
        <v/>
      </c>
      <c r="T318" s="149">
        <f>IF(D318&gt;0.005,I318/Mortgage!$B$5,"")</f>
        <v/>
      </c>
      <c r="U318">
        <f>IF(A318&gt;Mortgage!$B$8*12,NA(),B318)</f>
        <v/>
      </c>
      <c r="V318">
        <f>IF(D318&gt;0.005,I318,NA())</f>
        <v/>
      </c>
      <c r="W318">
        <f>IF(A318&gt;Mortgage!$B$8*12,NA(),S318)</f>
        <v/>
      </c>
    </row>
    <row r="319">
      <c r="A319" s="129" t="n">
        <v>314</v>
      </c>
      <c r="B319" s="146">
        <f>EDATE(Mortgage!$B$9,A319-1)</f>
        <v/>
      </c>
      <c r="C319" s="129">
        <f>INT((A319-1)/12)+1</f>
        <v/>
      </c>
      <c r="D319" s="147">
        <f>IF(N(I318)&gt;0.005,I318,0)</f>
        <v/>
      </c>
      <c r="E319" s="147">
        <f>IF(D319&gt;0.005,D319*Mortgage!$B$7/12,0)</f>
        <v/>
      </c>
      <c r="F319" s="147">
        <f>IF(D319&gt;0.005,MIN(Mortgage!$H$8-E319,D319),0)</f>
        <v/>
      </c>
      <c r="G319" s="147">
        <f>IF(D319-F319&gt;0.005,MIN(D319-F319,Mortgage!$B$18+IF(MONTH(B319)=Mortgage!$B$20,Mortgage!$B$19,0)+SUMIFS(Mortgage!$E$6:$E$15,Mortgage!$D$6:$D$15,"&gt;="&amp;B319,Mortgage!$D$6:$D$15,"&lt;"&amp;EDATE(B319,1))+IF(Mortgage!$B$10="Bi-weekly (accelerated)",Mortgage!$H$8/12,0)),0)</f>
        <v/>
      </c>
      <c r="H319" s="147">
        <f>F319+G319</f>
        <v/>
      </c>
      <c r="I319" s="148">
        <f>D319-H319</f>
        <v/>
      </c>
      <c r="J319" s="147">
        <f>E319+F319+G319</f>
        <v/>
      </c>
      <c r="K319" s="147">
        <f>IF(AND(D319&gt;0.005,Mortgage!$H$7&gt;0.8,D319/Mortgage!$B$5&gt;Mortgage!$B$14),Mortgage!$H$5*Mortgage!$B$13/12,0)</f>
        <v/>
      </c>
      <c r="L319" s="147">
        <f>IF(D319&gt;0.005,Mortgage!$B$11/12*(1+Mortgage!$B$16)^(C319-1),0)</f>
        <v/>
      </c>
      <c r="M319" s="147">
        <f>IF(D319&gt;0.005,Mortgage!$B$12/12*(1+Mortgage!$B$16)^(C319-1),0)</f>
        <v/>
      </c>
      <c r="N319" s="147">
        <f>IF(D319&gt;0.005,Mortgage!$B$15,0)</f>
        <v/>
      </c>
      <c r="O319" s="147">
        <f>J319+K319+L319+M319+N319</f>
        <v/>
      </c>
      <c r="P319" s="147">
        <f>P318+E319</f>
        <v/>
      </c>
      <c r="Q319" s="147">
        <f>IF(D319&gt;0.005,Mortgage!$B$5*(1+Mortgage!$B$17)^(A319/12),"")</f>
        <v/>
      </c>
      <c r="R319" s="147">
        <f>IF(D319&gt;0.005,Q319-I319,"")</f>
        <v/>
      </c>
      <c r="S319" s="147">
        <f>IF(A319&gt;Mortgage!$B$8*12,0,IF(Mortgage!$B$7=0,MAX(0,Mortgage!$H$5-Mortgage!$H$8*A319),MAX(0,Mortgage!$H$5*(1+(Mortgage!$B$7/12))^A319-Mortgage!$H$8*((1+(Mortgage!$B$7/12))^A319-1)/(Mortgage!$B$7/12))))</f>
        <v/>
      </c>
      <c r="T319" s="149">
        <f>IF(D319&gt;0.005,I319/Mortgage!$B$5,"")</f>
        <v/>
      </c>
      <c r="U319">
        <f>IF(A319&gt;Mortgage!$B$8*12,NA(),B319)</f>
        <v/>
      </c>
      <c r="V319">
        <f>IF(D319&gt;0.005,I319,NA())</f>
        <v/>
      </c>
      <c r="W319">
        <f>IF(A319&gt;Mortgage!$B$8*12,NA(),S319)</f>
        <v/>
      </c>
    </row>
    <row r="320">
      <c r="A320" s="129" t="n">
        <v>315</v>
      </c>
      <c r="B320" s="146">
        <f>EDATE(Mortgage!$B$9,A320-1)</f>
        <v/>
      </c>
      <c r="C320" s="129">
        <f>INT((A320-1)/12)+1</f>
        <v/>
      </c>
      <c r="D320" s="147">
        <f>IF(N(I319)&gt;0.005,I319,0)</f>
        <v/>
      </c>
      <c r="E320" s="147">
        <f>IF(D320&gt;0.005,D320*Mortgage!$B$7/12,0)</f>
        <v/>
      </c>
      <c r="F320" s="147">
        <f>IF(D320&gt;0.005,MIN(Mortgage!$H$8-E320,D320),0)</f>
        <v/>
      </c>
      <c r="G320" s="147">
        <f>IF(D320-F320&gt;0.005,MIN(D320-F320,Mortgage!$B$18+IF(MONTH(B320)=Mortgage!$B$20,Mortgage!$B$19,0)+SUMIFS(Mortgage!$E$6:$E$15,Mortgage!$D$6:$D$15,"&gt;="&amp;B320,Mortgage!$D$6:$D$15,"&lt;"&amp;EDATE(B320,1))+IF(Mortgage!$B$10="Bi-weekly (accelerated)",Mortgage!$H$8/12,0)),0)</f>
        <v/>
      </c>
      <c r="H320" s="147">
        <f>F320+G320</f>
        <v/>
      </c>
      <c r="I320" s="148">
        <f>D320-H320</f>
        <v/>
      </c>
      <c r="J320" s="147">
        <f>E320+F320+G320</f>
        <v/>
      </c>
      <c r="K320" s="147">
        <f>IF(AND(D320&gt;0.005,Mortgage!$H$7&gt;0.8,D320/Mortgage!$B$5&gt;Mortgage!$B$14),Mortgage!$H$5*Mortgage!$B$13/12,0)</f>
        <v/>
      </c>
      <c r="L320" s="147">
        <f>IF(D320&gt;0.005,Mortgage!$B$11/12*(1+Mortgage!$B$16)^(C320-1),0)</f>
        <v/>
      </c>
      <c r="M320" s="147">
        <f>IF(D320&gt;0.005,Mortgage!$B$12/12*(1+Mortgage!$B$16)^(C320-1),0)</f>
        <v/>
      </c>
      <c r="N320" s="147">
        <f>IF(D320&gt;0.005,Mortgage!$B$15,0)</f>
        <v/>
      </c>
      <c r="O320" s="147">
        <f>J320+K320+L320+M320+N320</f>
        <v/>
      </c>
      <c r="P320" s="147">
        <f>P319+E320</f>
        <v/>
      </c>
      <c r="Q320" s="147">
        <f>IF(D320&gt;0.005,Mortgage!$B$5*(1+Mortgage!$B$17)^(A320/12),"")</f>
        <v/>
      </c>
      <c r="R320" s="147">
        <f>IF(D320&gt;0.005,Q320-I320,"")</f>
        <v/>
      </c>
      <c r="S320" s="147">
        <f>IF(A320&gt;Mortgage!$B$8*12,0,IF(Mortgage!$B$7=0,MAX(0,Mortgage!$H$5-Mortgage!$H$8*A320),MAX(0,Mortgage!$H$5*(1+(Mortgage!$B$7/12))^A320-Mortgage!$H$8*((1+(Mortgage!$B$7/12))^A320-1)/(Mortgage!$B$7/12))))</f>
        <v/>
      </c>
      <c r="T320" s="149">
        <f>IF(D320&gt;0.005,I320/Mortgage!$B$5,"")</f>
        <v/>
      </c>
      <c r="U320">
        <f>IF(A320&gt;Mortgage!$B$8*12,NA(),B320)</f>
        <v/>
      </c>
      <c r="V320">
        <f>IF(D320&gt;0.005,I320,NA())</f>
        <v/>
      </c>
      <c r="W320">
        <f>IF(A320&gt;Mortgage!$B$8*12,NA(),S320)</f>
        <v/>
      </c>
    </row>
    <row r="321">
      <c r="A321" s="129" t="n">
        <v>316</v>
      </c>
      <c r="B321" s="146">
        <f>EDATE(Mortgage!$B$9,A321-1)</f>
        <v/>
      </c>
      <c r="C321" s="129">
        <f>INT((A321-1)/12)+1</f>
        <v/>
      </c>
      <c r="D321" s="147">
        <f>IF(N(I320)&gt;0.005,I320,0)</f>
        <v/>
      </c>
      <c r="E321" s="147">
        <f>IF(D321&gt;0.005,D321*Mortgage!$B$7/12,0)</f>
        <v/>
      </c>
      <c r="F321" s="147">
        <f>IF(D321&gt;0.005,MIN(Mortgage!$H$8-E321,D321),0)</f>
        <v/>
      </c>
      <c r="G321" s="147">
        <f>IF(D321-F321&gt;0.005,MIN(D321-F321,Mortgage!$B$18+IF(MONTH(B321)=Mortgage!$B$20,Mortgage!$B$19,0)+SUMIFS(Mortgage!$E$6:$E$15,Mortgage!$D$6:$D$15,"&gt;="&amp;B321,Mortgage!$D$6:$D$15,"&lt;"&amp;EDATE(B321,1))+IF(Mortgage!$B$10="Bi-weekly (accelerated)",Mortgage!$H$8/12,0)),0)</f>
        <v/>
      </c>
      <c r="H321" s="147">
        <f>F321+G321</f>
        <v/>
      </c>
      <c r="I321" s="148">
        <f>D321-H321</f>
        <v/>
      </c>
      <c r="J321" s="147">
        <f>E321+F321+G321</f>
        <v/>
      </c>
      <c r="K321" s="147">
        <f>IF(AND(D321&gt;0.005,Mortgage!$H$7&gt;0.8,D321/Mortgage!$B$5&gt;Mortgage!$B$14),Mortgage!$H$5*Mortgage!$B$13/12,0)</f>
        <v/>
      </c>
      <c r="L321" s="147">
        <f>IF(D321&gt;0.005,Mortgage!$B$11/12*(1+Mortgage!$B$16)^(C321-1),0)</f>
        <v/>
      </c>
      <c r="M321" s="147">
        <f>IF(D321&gt;0.005,Mortgage!$B$12/12*(1+Mortgage!$B$16)^(C321-1),0)</f>
        <v/>
      </c>
      <c r="N321" s="147">
        <f>IF(D321&gt;0.005,Mortgage!$B$15,0)</f>
        <v/>
      </c>
      <c r="O321" s="147">
        <f>J321+K321+L321+M321+N321</f>
        <v/>
      </c>
      <c r="P321" s="147">
        <f>P320+E321</f>
        <v/>
      </c>
      <c r="Q321" s="147">
        <f>IF(D321&gt;0.005,Mortgage!$B$5*(1+Mortgage!$B$17)^(A321/12),"")</f>
        <v/>
      </c>
      <c r="R321" s="147">
        <f>IF(D321&gt;0.005,Q321-I321,"")</f>
        <v/>
      </c>
      <c r="S321" s="147">
        <f>IF(A321&gt;Mortgage!$B$8*12,0,IF(Mortgage!$B$7=0,MAX(0,Mortgage!$H$5-Mortgage!$H$8*A321),MAX(0,Mortgage!$H$5*(1+(Mortgage!$B$7/12))^A321-Mortgage!$H$8*((1+(Mortgage!$B$7/12))^A321-1)/(Mortgage!$B$7/12))))</f>
        <v/>
      </c>
      <c r="T321" s="149">
        <f>IF(D321&gt;0.005,I321/Mortgage!$B$5,"")</f>
        <v/>
      </c>
      <c r="U321">
        <f>IF(A321&gt;Mortgage!$B$8*12,NA(),B321)</f>
        <v/>
      </c>
      <c r="V321">
        <f>IF(D321&gt;0.005,I321,NA())</f>
        <v/>
      </c>
      <c r="W321">
        <f>IF(A321&gt;Mortgage!$B$8*12,NA(),S321)</f>
        <v/>
      </c>
    </row>
    <row r="322">
      <c r="A322" s="129" t="n">
        <v>317</v>
      </c>
      <c r="B322" s="146">
        <f>EDATE(Mortgage!$B$9,A322-1)</f>
        <v/>
      </c>
      <c r="C322" s="129">
        <f>INT((A322-1)/12)+1</f>
        <v/>
      </c>
      <c r="D322" s="147">
        <f>IF(N(I321)&gt;0.005,I321,0)</f>
        <v/>
      </c>
      <c r="E322" s="147">
        <f>IF(D322&gt;0.005,D322*Mortgage!$B$7/12,0)</f>
        <v/>
      </c>
      <c r="F322" s="147">
        <f>IF(D322&gt;0.005,MIN(Mortgage!$H$8-E322,D322),0)</f>
        <v/>
      </c>
      <c r="G322" s="147">
        <f>IF(D322-F322&gt;0.005,MIN(D322-F322,Mortgage!$B$18+IF(MONTH(B322)=Mortgage!$B$20,Mortgage!$B$19,0)+SUMIFS(Mortgage!$E$6:$E$15,Mortgage!$D$6:$D$15,"&gt;="&amp;B322,Mortgage!$D$6:$D$15,"&lt;"&amp;EDATE(B322,1))+IF(Mortgage!$B$10="Bi-weekly (accelerated)",Mortgage!$H$8/12,0)),0)</f>
        <v/>
      </c>
      <c r="H322" s="147">
        <f>F322+G322</f>
        <v/>
      </c>
      <c r="I322" s="148">
        <f>D322-H322</f>
        <v/>
      </c>
      <c r="J322" s="147">
        <f>E322+F322+G322</f>
        <v/>
      </c>
      <c r="K322" s="147">
        <f>IF(AND(D322&gt;0.005,Mortgage!$H$7&gt;0.8,D322/Mortgage!$B$5&gt;Mortgage!$B$14),Mortgage!$H$5*Mortgage!$B$13/12,0)</f>
        <v/>
      </c>
      <c r="L322" s="147">
        <f>IF(D322&gt;0.005,Mortgage!$B$11/12*(1+Mortgage!$B$16)^(C322-1),0)</f>
        <v/>
      </c>
      <c r="M322" s="147">
        <f>IF(D322&gt;0.005,Mortgage!$B$12/12*(1+Mortgage!$B$16)^(C322-1),0)</f>
        <v/>
      </c>
      <c r="N322" s="147">
        <f>IF(D322&gt;0.005,Mortgage!$B$15,0)</f>
        <v/>
      </c>
      <c r="O322" s="147">
        <f>J322+K322+L322+M322+N322</f>
        <v/>
      </c>
      <c r="P322" s="147">
        <f>P321+E322</f>
        <v/>
      </c>
      <c r="Q322" s="147">
        <f>IF(D322&gt;0.005,Mortgage!$B$5*(1+Mortgage!$B$17)^(A322/12),"")</f>
        <v/>
      </c>
      <c r="R322" s="147">
        <f>IF(D322&gt;0.005,Q322-I322,"")</f>
        <v/>
      </c>
      <c r="S322" s="147">
        <f>IF(A322&gt;Mortgage!$B$8*12,0,IF(Mortgage!$B$7=0,MAX(0,Mortgage!$H$5-Mortgage!$H$8*A322),MAX(0,Mortgage!$H$5*(1+(Mortgage!$B$7/12))^A322-Mortgage!$H$8*((1+(Mortgage!$B$7/12))^A322-1)/(Mortgage!$B$7/12))))</f>
        <v/>
      </c>
      <c r="T322" s="149">
        <f>IF(D322&gt;0.005,I322/Mortgage!$B$5,"")</f>
        <v/>
      </c>
      <c r="U322">
        <f>IF(A322&gt;Mortgage!$B$8*12,NA(),B322)</f>
        <v/>
      </c>
      <c r="V322">
        <f>IF(D322&gt;0.005,I322,NA())</f>
        <v/>
      </c>
      <c r="W322">
        <f>IF(A322&gt;Mortgage!$B$8*12,NA(),S322)</f>
        <v/>
      </c>
    </row>
    <row r="323">
      <c r="A323" s="129" t="n">
        <v>318</v>
      </c>
      <c r="B323" s="146">
        <f>EDATE(Mortgage!$B$9,A323-1)</f>
        <v/>
      </c>
      <c r="C323" s="129">
        <f>INT((A323-1)/12)+1</f>
        <v/>
      </c>
      <c r="D323" s="147">
        <f>IF(N(I322)&gt;0.005,I322,0)</f>
        <v/>
      </c>
      <c r="E323" s="147">
        <f>IF(D323&gt;0.005,D323*Mortgage!$B$7/12,0)</f>
        <v/>
      </c>
      <c r="F323" s="147">
        <f>IF(D323&gt;0.005,MIN(Mortgage!$H$8-E323,D323),0)</f>
        <v/>
      </c>
      <c r="G323" s="147">
        <f>IF(D323-F323&gt;0.005,MIN(D323-F323,Mortgage!$B$18+IF(MONTH(B323)=Mortgage!$B$20,Mortgage!$B$19,0)+SUMIFS(Mortgage!$E$6:$E$15,Mortgage!$D$6:$D$15,"&gt;="&amp;B323,Mortgage!$D$6:$D$15,"&lt;"&amp;EDATE(B323,1))+IF(Mortgage!$B$10="Bi-weekly (accelerated)",Mortgage!$H$8/12,0)),0)</f>
        <v/>
      </c>
      <c r="H323" s="147">
        <f>F323+G323</f>
        <v/>
      </c>
      <c r="I323" s="148">
        <f>D323-H323</f>
        <v/>
      </c>
      <c r="J323" s="147">
        <f>E323+F323+G323</f>
        <v/>
      </c>
      <c r="K323" s="147">
        <f>IF(AND(D323&gt;0.005,Mortgage!$H$7&gt;0.8,D323/Mortgage!$B$5&gt;Mortgage!$B$14),Mortgage!$H$5*Mortgage!$B$13/12,0)</f>
        <v/>
      </c>
      <c r="L323" s="147">
        <f>IF(D323&gt;0.005,Mortgage!$B$11/12*(1+Mortgage!$B$16)^(C323-1),0)</f>
        <v/>
      </c>
      <c r="M323" s="147">
        <f>IF(D323&gt;0.005,Mortgage!$B$12/12*(1+Mortgage!$B$16)^(C323-1),0)</f>
        <v/>
      </c>
      <c r="N323" s="147">
        <f>IF(D323&gt;0.005,Mortgage!$B$15,0)</f>
        <v/>
      </c>
      <c r="O323" s="147">
        <f>J323+K323+L323+M323+N323</f>
        <v/>
      </c>
      <c r="P323" s="147">
        <f>P322+E323</f>
        <v/>
      </c>
      <c r="Q323" s="147">
        <f>IF(D323&gt;0.005,Mortgage!$B$5*(1+Mortgage!$B$17)^(A323/12),"")</f>
        <v/>
      </c>
      <c r="R323" s="147">
        <f>IF(D323&gt;0.005,Q323-I323,"")</f>
        <v/>
      </c>
      <c r="S323" s="147">
        <f>IF(A323&gt;Mortgage!$B$8*12,0,IF(Mortgage!$B$7=0,MAX(0,Mortgage!$H$5-Mortgage!$H$8*A323),MAX(0,Mortgage!$H$5*(1+(Mortgage!$B$7/12))^A323-Mortgage!$H$8*((1+(Mortgage!$B$7/12))^A323-1)/(Mortgage!$B$7/12))))</f>
        <v/>
      </c>
      <c r="T323" s="149">
        <f>IF(D323&gt;0.005,I323/Mortgage!$B$5,"")</f>
        <v/>
      </c>
      <c r="U323">
        <f>IF(A323&gt;Mortgage!$B$8*12,NA(),B323)</f>
        <v/>
      </c>
      <c r="V323">
        <f>IF(D323&gt;0.005,I323,NA())</f>
        <v/>
      </c>
      <c r="W323">
        <f>IF(A323&gt;Mortgage!$B$8*12,NA(),S323)</f>
        <v/>
      </c>
    </row>
    <row r="324">
      <c r="A324" s="129" t="n">
        <v>319</v>
      </c>
      <c r="B324" s="146">
        <f>EDATE(Mortgage!$B$9,A324-1)</f>
        <v/>
      </c>
      <c r="C324" s="129">
        <f>INT((A324-1)/12)+1</f>
        <v/>
      </c>
      <c r="D324" s="147">
        <f>IF(N(I323)&gt;0.005,I323,0)</f>
        <v/>
      </c>
      <c r="E324" s="147">
        <f>IF(D324&gt;0.005,D324*Mortgage!$B$7/12,0)</f>
        <v/>
      </c>
      <c r="F324" s="147">
        <f>IF(D324&gt;0.005,MIN(Mortgage!$H$8-E324,D324),0)</f>
        <v/>
      </c>
      <c r="G324" s="147">
        <f>IF(D324-F324&gt;0.005,MIN(D324-F324,Mortgage!$B$18+IF(MONTH(B324)=Mortgage!$B$20,Mortgage!$B$19,0)+SUMIFS(Mortgage!$E$6:$E$15,Mortgage!$D$6:$D$15,"&gt;="&amp;B324,Mortgage!$D$6:$D$15,"&lt;"&amp;EDATE(B324,1))+IF(Mortgage!$B$10="Bi-weekly (accelerated)",Mortgage!$H$8/12,0)),0)</f>
        <v/>
      </c>
      <c r="H324" s="147">
        <f>F324+G324</f>
        <v/>
      </c>
      <c r="I324" s="148">
        <f>D324-H324</f>
        <v/>
      </c>
      <c r="J324" s="147">
        <f>E324+F324+G324</f>
        <v/>
      </c>
      <c r="K324" s="147">
        <f>IF(AND(D324&gt;0.005,Mortgage!$H$7&gt;0.8,D324/Mortgage!$B$5&gt;Mortgage!$B$14),Mortgage!$H$5*Mortgage!$B$13/12,0)</f>
        <v/>
      </c>
      <c r="L324" s="147">
        <f>IF(D324&gt;0.005,Mortgage!$B$11/12*(1+Mortgage!$B$16)^(C324-1),0)</f>
        <v/>
      </c>
      <c r="M324" s="147">
        <f>IF(D324&gt;0.005,Mortgage!$B$12/12*(1+Mortgage!$B$16)^(C324-1),0)</f>
        <v/>
      </c>
      <c r="N324" s="147">
        <f>IF(D324&gt;0.005,Mortgage!$B$15,0)</f>
        <v/>
      </c>
      <c r="O324" s="147">
        <f>J324+K324+L324+M324+N324</f>
        <v/>
      </c>
      <c r="P324" s="147">
        <f>P323+E324</f>
        <v/>
      </c>
      <c r="Q324" s="147">
        <f>IF(D324&gt;0.005,Mortgage!$B$5*(1+Mortgage!$B$17)^(A324/12),"")</f>
        <v/>
      </c>
      <c r="R324" s="147">
        <f>IF(D324&gt;0.005,Q324-I324,"")</f>
        <v/>
      </c>
      <c r="S324" s="147">
        <f>IF(A324&gt;Mortgage!$B$8*12,0,IF(Mortgage!$B$7=0,MAX(0,Mortgage!$H$5-Mortgage!$H$8*A324),MAX(0,Mortgage!$H$5*(1+(Mortgage!$B$7/12))^A324-Mortgage!$H$8*((1+(Mortgage!$B$7/12))^A324-1)/(Mortgage!$B$7/12))))</f>
        <v/>
      </c>
      <c r="T324" s="149">
        <f>IF(D324&gt;0.005,I324/Mortgage!$B$5,"")</f>
        <v/>
      </c>
      <c r="U324">
        <f>IF(A324&gt;Mortgage!$B$8*12,NA(),B324)</f>
        <v/>
      </c>
      <c r="V324">
        <f>IF(D324&gt;0.005,I324,NA())</f>
        <v/>
      </c>
      <c r="W324">
        <f>IF(A324&gt;Mortgage!$B$8*12,NA(),S324)</f>
        <v/>
      </c>
    </row>
    <row r="325">
      <c r="A325" s="129" t="n">
        <v>320</v>
      </c>
      <c r="B325" s="146">
        <f>EDATE(Mortgage!$B$9,A325-1)</f>
        <v/>
      </c>
      <c r="C325" s="129">
        <f>INT((A325-1)/12)+1</f>
        <v/>
      </c>
      <c r="D325" s="147">
        <f>IF(N(I324)&gt;0.005,I324,0)</f>
        <v/>
      </c>
      <c r="E325" s="147">
        <f>IF(D325&gt;0.005,D325*Mortgage!$B$7/12,0)</f>
        <v/>
      </c>
      <c r="F325" s="147">
        <f>IF(D325&gt;0.005,MIN(Mortgage!$H$8-E325,D325),0)</f>
        <v/>
      </c>
      <c r="G325" s="147">
        <f>IF(D325-F325&gt;0.005,MIN(D325-F325,Mortgage!$B$18+IF(MONTH(B325)=Mortgage!$B$20,Mortgage!$B$19,0)+SUMIFS(Mortgage!$E$6:$E$15,Mortgage!$D$6:$D$15,"&gt;="&amp;B325,Mortgage!$D$6:$D$15,"&lt;"&amp;EDATE(B325,1))+IF(Mortgage!$B$10="Bi-weekly (accelerated)",Mortgage!$H$8/12,0)),0)</f>
        <v/>
      </c>
      <c r="H325" s="147">
        <f>F325+G325</f>
        <v/>
      </c>
      <c r="I325" s="148">
        <f>D325-H325</f>
        <v/>
      </c>
      <c r="J325" s="147">
        <f>E325+F325+G325</f>
        <v/>
      </c>
      <c r="K325" s="147">
        <f>IF(AND(D325&gt;0.005,Mortgage!$H$7&gt;0.8,D325/Mortgage!$B$5&gt;Mortgage!$B$14),Mortgage!$H$5*Mortgage!$B$13/12,0)</f>
        <v/>
      </c>
      <c r="L325" s="147">
        <f>IF(D325&gt;0.005,Mortgage!$B$11/12*(1+Mortgage!$B$16)^(C325-1),0)</f>
        <v/>
      </c>
      <c r="M325" s="147">
        <f>IF(D325&gt;0.005,Mortgage!$B$12/12*(1+Mortgage!$B$16)^(C325-1),0)</f>
        <v/>
      </c>
      <c r="N325" s="147">
        <f>IF(D325&gt;0.005,Mortgage!$B$15,0)</f>
        <v/>
      </c>
      <c r="O325" s="147">
        <f>J325+K325+L325+M325+N325</f>
        <v/>
      </c>
      <c r="P325" s="147">
        <f>P324+E325</f>
        <v/>
      </c>
      <c r="Q325" s="147">
        <f>IF(D325&gt;0.005,Mortgage!$B$5*(1+Mortgage!$B$17)^(A325/12),"")</f>
        <v/>
      </c>
      <c r="R325" s="147">
        <f>IF(D325&gt;0.005,Q325-I325,"")</f>
        <v/>
      </c>
      <c r="S325" s="147">
        <f>IF(A325&gt;Mortgage!$B$8*12,0,IF(Mortgage!$B$7=0,MAX(0,Mortgage!$H$5-Mortgage!$H$8*A325),MAX(0,Mortgage!$H$5*(1+(Mortgage!$B$7/12))^A325-Mortgage!$H$8*((1+(Mortgage!$B$7/12))^A325-1)/(Mortgage!$B$7/12))))</f>
        <v/>
      </c>
      <c r="T325" s="149">
        <f>IF(D325&gt;0.005,I325/Mortgage!$B$5,"")</f>
        <v/>
      </c>
      <c r="U325">
        <f>IF(A325&gt;Mortgage!$B$8*12,NA(),B325)</f>
        <v/>
      </c>
      <c r="V325">
        <f>IF(D325&gt;0.005,I325,NA())</f>
        <v/>
      </c>
      <c r="W325">
        <f>IF(A325&gt;Mortgage!$B$8*12,NA(),S325)</f>
        <v/>
      </c>
    </row>
    <row r="326">
      <c r="A326" s="129" t="n">
        <v>321</v>
      </c>
      <c r="B326" s="146">
        <f>EDATE(Mortgage!$B$9,A326-1)</f>
        <v/>
      </c>
      <c r="C326" s="129">
        <f>INT((A326-1)/12)+1</f>
        <v/>
      </c>
      <c r="D326" s="147">
        <f>IF(N(I325)&gt;0.005,I325,0)</f>
        <v/>
      </c>
      <c r="E326" s="147">
        <f>IF(D326&gt;0.005,D326*Mortgage!$B$7/12,0)</f>
        <v/>
      </c>
      <c r="F326" s="147">
        <f>IF(D326&gt;0.005,MIN(Mortgage!$H$8-E326,D326),0)</f>
        <v/>
      </c>
      <c r="G326" s="147">
        <f>IF(D326-F326&gt;0.005,MIN(D326-F326,Mortgage!$B$18+IF(MONTH(B326)=Mortgage!$B$20,Mortgage!$B$19,0)+SUMIFS(Mortgage!$E$6:$E$15,Mortgage!$D$6:$D$15,"&gt;="&amp;B326,Mortgage!$D$6:$D$15,"&lt;"&amp;EDATE(B326,1))+IF(Mortgage!$B$10="Bi-weekly (accelerated)",Mortgage!$H$8/12,0)),0)</f>
        <v/>
      </c>
      <c r="H326" s="147">
        <f>F326+G326</f>
        <v/>
      </c>
      <c r="I326" s="148">
        <f>D326-H326</f>
        <v/>
      </c>
      <c r="J326" s="147">
        <f>E326+F326+G326</f>
        <v/>
      </c>
      <c r="K326" s="147">
        <f>IF(AND(D326&gt;0.005,Mortgage!$H$7&gt;0.8,D326/Mortgage!$B$5&gt;Mortgage!$B$14),Mortgage!$H$5*Mortgage!$B$13/12,0)</f>
        <v/>
      </c>
      <c r="L326" s="147">
        <f>IF(D326&gt;0.005,Mortgage!$B$11/12*(1+Mortgage!$B$16)^(C326-1),0)</f>
        <v/>
      </c>
      <c r="M326" s="147">
        <f>IF(D326&gt;0.005,Mortgage!$B$12/12*(1+Mortgage!$B$16)^(C326-1),0)</f>
        <v/>
      </c>
      <c r="N326" s="147">
        <f>IF(D326&gt;0.005,Mortgage!$B$15,0)</f>
        <v/>
      </c>
      <c r="O326" s="147">
        <f>J326+K326+L326+M326+N326</f>
        <v/>
      </c>
      <c r="P326" s="147">
        <f>P325+E326</f>
        <v/>
      </c>
      <c r="Q326" s="147">
        <f>IF(D326&gt;0.005,Mortgage!$B$5*(1+Mortgage!$B$17)^(A326/12),"")</f>
        <v/>
      </c>
      <c r="R326" s="147">
        <f>IF(D326&gt;0.005,Q326-I326,"")</f>
        <v/>
      </c>
      <c r="S326" s="147">
        <f>IF(A326&gt;Mortgage!$B$8*12,0,IF(Mortgage!$B$7=0,MAX(0,Mortgage!$H$5-Mortgage!$H$8*A326),MAX(0,Mortgage!$H$5*(1+(Mortgage!$B$7/12))^A326-Mortgage!$H$8*((1+(Mortgage!$B$7/12))^A326-1)/(Mortgage!$B$7/12))))</f>
        <v/>
      </c>
      <c r="T326" s="149">
        <f>IF(D326&gt;0.005,I326/Mortgage!$B$5,"")</f>
        <v/>
      </c>
      <c r="U326">
        <f>IF(A326&gt;Mortgage!$B$8*12,NA(),B326)</f>
        <v/>
      </c>
      <c r="V326">
        <f>IF(D326&gt;0.005,I326,NA())</f>
        <v/>
      </c>
      <c r="W326">
        <f>IF(A326&gt;Mortgage!$B$8*12,NA(),S326)</f>
        <v/>
      </c>
    </row>
    <row r="327">
      <c r="A327" s="129" t="n">
        <v>322</v>
      </c>
      <c r="B327" s="146">
        <f>EDATE(Mortgage!$B$9,A327-1)</f>
        <v/>
      </c>
      <c r="C327" s="129">
        <f>INT((A327-1)/12)+1</f>
        <v/>
      </c>
      <c r="D327" s="147">
        <f>IF(N(I326)&gt;0.005,I326,0)</f>
        <v/>
      </c>
      <c r="E327" s="147">
        <f>IF(D327&gt;0.005,D327*Mortgage!$B$7/12,0)</f>
        <v/>
      </c>
      <c r="F327" s="147">
        <f>IF(D327&gt;0.005,MIN(Mortgage!$H$8-E327,D327),0)</f>
        <v/>
      </c>
      <c r="G327" s="147">
        <f>IF(D327-F327&gt;0.005,MIN(D327-F327,Mortgage!$B$18+IF(MONTH(B327)=Mortgage!$B$20,Mortgage!$B$19,0)+SUMIFS(Mortgage!$E$6:$E$15,Mortgage!$D$6:$D$15,"&gt;="&amp;B327,Mortgage!$D$6:$D$15,"&lt;"&amp;EDATE(B327,1))+IF(Mortgage!$B$10="Bi-weekly (accelerated)",Mortgage!$H$8/12,0)),0)</f>
        <v/>
      </c>
      <c r="H327" s="147">
        <f>F327+G327</f>
        <v/>
      </c>
      <c r="I327" s="148">
        <f>D327-H327</f>
        <v/>
      </c>
      <c r="J327" s="147">
        <f>E327+F327+G327</f>
        <v/>
      </c>
      <c r="K327" s="147">
        <f>IF(AND(D327&gt;0.005,Mortgage!$H$7&gt;0.8,D327/Mortgage!$B$5&gt;Mortgage!$B$14),Mortgage!$H$5*Mortgage!$B$13/12,0)</f>
        <v/>
      </c>
      <c r="L327" s="147">
        <f>IF(D327&gt;0.005,Mortgage!$B$11/12*(1+Mortgage!$B$16)^(C327-1),0)</f>
        <v/>
      </c>
      <c r="M327" s="147">
        <f>IF(D327&gt;0.005,Mortgage!$B$12/12*(1+Mortgage!$B$16)^(C327-1),0)</f>
        <v/>
      </c>
      <c r="N327" s="147">
        <f>IF(D327&gt;0.005,Mortgage!$B$15,0)</f>
        <v/>
      </c>
      <c r="O327" s="147">
        <f>J327+K327+L327+M327+N327</f>
        <v/>
      </c>
      <c r="P327" s="147">
        <f>P326+E327</f>
        <v/>
      </c>
      <c r="Q327" s="147">
        <f>IF(D327&gt;0.005,Mortgage!$B$5*(1+Mortgage!$B$17)^(A327/12),"")</f>
        <v/>
      </c>
      <c r="R327" s="147">
        <f>IF(D327&gt;0.005,Q327-I327,"")</f>
        <v/>
      </c>
      <c r="S327" s="147">
        <f>IF(A327&gt;Mortgage!$B$8*12,0,IF(Mortgage!$B$7=0,MAX(0,Mortgage!$H$5-Mortgage!$H$8*A327),MAX(0,Mortgage!$H$5*(1+(Mortgage!$B$7/12))^A327-Mortgage!$H$8*((1+(Mortgage!$B$7/12))^A327-1)/(Mortgage!$B$7/12))))</f>
        <v/>
      </c>
      <c r="T327" s="149">
        <f>IF(D327&gt;0.005,I327/Mortgage!$B$5,"")</f>
        <v/>
      </c>
      <c r="U327">
        <f>IF(A327&gt;Mortgage!$B$8*12,NA(),B327)</f>
        <v/>
      </c>
      <c r="V327">
        <f>IF(D327&gt;0.005,I327,NA())</f>
        <v/>
      </c>
      <c r="W327">
        <f>IF(A327&gt;Mortgage!$B$8*12,NA(),S327)</f>
        <v/>
      </c>
    </row>
    <row r="328">
      <c r="A328" s="129" t="n">
        <v>323</v>
      </c>
      <c r="B328" s="146">
        <f>EDATE(Mortgage!$B$9,A328-1)</f>
        <v/>
      </c>
      <c r="C328" s="129">
        <f>INT((A328-1)/12)+1</f>
        <v/>
      </c>
      <c r="D328" s="147">
        <f>IF(N(I327)&gt;0.005,I327,0)</f>
        <v/>
      </c>
      <c r="E328" s="147">
        <f>IF(D328&gt;0.005,D328*Mortgage!$B$7/12,0)</f>
        <v/>
      </c>
      <c r="F328" s="147">
        <f>IF(D328&gt;0.005,MIN(Mortgage!$H$8-E328,D328),0)</f>
        <v/>
      </c>
      <c r="G328" s="147">
        <f>IF(D328-F328&gt;0.005,MIN(D328-F328,Mortgage!$B$18+IF(MONTH(B328)=Mortgage!$B$20,Mortgage!$B$19,0)+SUMIFS(Mortgage!$E$6:$E$15,Mortgage!$D$6:$D$15,"&gt;="&amp;B328,Mortgage!$D$6:$D$15,"&lt;"&amp;EDATE(B328,1))+IF(Mortgage!$B$10="Bi-weekly (accelerated)",Mortgage!$H$8/12,0)),0)</f>
        <v/>
      </c>
      <c r="H328" s="147">
        <f>F328+G328</f>
        <v/>
      </c>
      <c r="I328" s="148">
        <f>D328-H328</f>
        <v/>
      </c>
      <c r="J328" s="147">
        <f>E328+F328+G328</f>
        <v/>
      </c>
      <c r="K328" s="147">
        <f>IF(AND(D328&gt;0.005,Mortgage!$H$7&gt;0.8,D328/Mortgage!$B$5&gt;Mortgage!$B$14),Mortgage!$H$5*Mortgage!$B$13/12,0)</f>
        <v/>
      </c>
      <c r="L328" s="147">
        <f>IF(D328&gt;0.005,Mortgage!$B$11/12*(1+Mortgage!$B$16)^(C328-1),0)</f>
        <v/>
      </c>
      <c r="M328" s="147">
        <f>IF(D328&gt;0.005,Mortgage!$B$12/12*(1+Mortgage!$B$16)^(C328-1),0)</f>
        <v/>
      </c>
      <c r="N328" s="147">
        <f>IF(D328&gt;0.005,Mortgage!$B$15,0)</f>
        <v/>
      </c>
      <c r="O328" s="147">
        <f>J328+K328+L328+M328+N328</f>
        <v/>
      </c>
      <c r="P328" s="147">
        <f>P327+E328</f>
        <v/>
      </c>
      <c r="Q328" s="147">
        <f>IF(D328&gt;0.005,Mortgage!$B$5*(1+Mortgage!$B$17)^(A328/12),"")</f>
        <v/>
      </c>
      <c r="R328" s="147">
        <f>IF(D328&gt;0.005,Q328-I328,"")</f>
        <v/>
      </c>
      <c r="S328" s="147">
        <f>IF(A328&gt;Mortgage!$B$8*12,0,IF(Mortgage!$B$7=0,MAX(0,Mortgage!$H$5-Mortgage!$H$8*A328),MAX(0,Mortgage!$H$5*(1+(Mortgage!$B$7/12))^A328-Mortgage!$H$8*((1+(Mortgage!$B$7/12))^A328-1)/(Mortgage!$B$7/12))))</f>
        <v/>
      </c>
      <c r="T328" s="149">
        <f>IF(D328&gt;0.005,I328/Mortgage!$B$5,"")</f>
        <v/>
      </c>
      <c r="U328">
        <f>IF(A328&gt;Mortgage!$B$8*12,NA(),B328)</f>
        <v/>
      </c>
      <c r="V328">
        <f>IF(D328&gt;0.005,I328,NA())</f>
        <v/>
      </c>
      <c r="W328">
        <f>IF(A328&gt;Mortgage!$B$8*12,NA(),S328)</f>
        <v/>
      </c>
    </row>
    <row r="329">
      <c r="A329" s="129" t="n">
        <v>324</v>
      </c>
      <c r="B329" s="146">
        <f>EDATE(Mortgage!$B$9,A329-1)</f>
        <v/>
      </c>
      <c r="C329" s="129">
        <f>INT((A329-1)/12)+1</f>
        <v/>
      </c>
      <c r="D329" s="147">
        <f>IF(N(I328)&gt;0.005,I328,0)</f>
        <v/>
      </c>
      <c r="E329" s="147">
        <f>IF(D329&gt;0.005,D329*Mortgage!$B$7/12,0)</f>
        <v/>
      </c>
      <c r="F329" s="147">
        <f>IF(D329&gt;0.005,MIN(Mortgage!$H$8-E329,D329),0)</f>
        <v/>
      </c>
      <c r="G329" s="147">
        <f>IF(D329-F329&gt;0.005,MIN(D329-F329,Mortgage!$B$18+IF(MONTH(B329)=Mortgage!$B$20,Mortgage!$B$19,0)+SUMIFS(Mortgage!$E$6:$E$15,Mortgage!$D$6:$D$15,"&gt;="&amp;B329,Mortgage!$D$6:$D$15,"&lt;"&amp;EDATE(B329,1))+IF(Mortgage!$B$10="Bi-weekly (accelerated)",Mortgage!$H$8/12,0)),0)</f>
        <v/>
      </c>
      <c r="H329" s="147">
        <f>F329+G329</f>
        <v/>
      </c>
      <c r="I329" s="148">
        <f>D329-H329</f>
        <v/>
      </c>
      <c r="J329" s="147">
        <f>E329+F329+G329</f>
        <v/>
      </c>
      <c r="K329" s="147">
        <f>IF(AND(D329&gt;0.005,Mortgage!$H$7&gt;0.8,D329/Mortgage!$B$5&gt;Mortgage!$B$14),Mortgage!$H$5*Mortgage!$B$13/12,0)</f>
        <v/>
      </c>
      <c r="L329" s="147">
        <f>IF(D329&gt;0.005,Mortgage!$B$11/12*(1+Mortgage!$B$16)^(C329-1),0)</f>
        <v/>
      </c>
      <c r="M329" s="147">
        <f>IF(D329&gt;0.005,Mortgage!$B$12/12*(1+Mortgage!$B$16)^(C329-1),0)</f>
        <v/>
      </c>
      <c r="N329" s="147">
        <f>IF(D329&gt;0.005,Mortgage!$B$15,0)</f>
        <v/>
      </c>
      <c r="O329" s="147">
        <f>J329+K329+L329+M329+N329</f>
        <v/>
      </c>
      <c r="P329" s="147">
        <f>P328+E329</f>
        <v/>
      </c>
      <c r="Q329" s="147">
        <f>IF(D329&gt;0.005,Mortgage!$B$5*(1+Mortgage!$B$17)^(A329/12),"")</f>
        <v/>
      </c>
      <c r="R329" s="147">
        <f>IF(D329&gt;0.005,Q329-I329,"")</f>
        <v/>
      </c>
      <c r="S329" s="147">
        <f>IF(A329&gt;Mortgage!$B$8*12,0,IF(Mortgage!$B$7=0,MAX(0,Mortgage!$H$5-Mortgage!$H$8*A329),MAX(0,Mortgage!$H$5*(1+(Mortgage!$B$7/12))^A329-Mortgage!$H$8*((1+(Mortgage!$B$7/12))^A329-1)/(Mortgage!$B$7/12))))</f>
        <v/>
      </c>
      <c r="T329" s="149">
        <f>IF(D329&gt;0.005,I329/Mortgage!$B$5,"")</f>
        <v/>
      </c>
      <c r="U329">
        <f>IF(A329&gt;Mortgage!$B$8*12,NA(),B329)</f>
        <v/>
      </c>
      <c r="V329">
        <f>IF(D329&gt;0.005,I329,NA())</f>
        <v/>
      </c>
      <c r="W329">
        <f>IF(A329&gt;Mortgage!$B$8*12,NA(),S329)</f>
        <v/>
      </c>
    </row>
    <row r="330">
      <c r="A330" s="129" t="n">
        <v>325</v>
      </c>
      <c r="B330" s="146">
        <f>EDATE(Mortgage!$B$9,A330-1)</f>
        <v/>
      </c>
      <c r="C330" s="129">
        <f>INT((A330-1)/12)+1</f>
        <v/>
      </c>
      <c r="D330" s="147">
        <f>IF(N(I329)&gt;0.005,I329,0)</f>
        <v/>
      </c>
      <c r="E330" s="147">
        <f>IF(D330&gt;0.005,D330*Mortgage!$B$7/12,0)</f>
        <v/>
      </c>
      <c r="F330" s="147">
        <f>IF(D330&gt;0.005,MIN(Mortgage!$H$8-E330,D330),0)</f>
        <v/>
      </c>
      <c r="G330" s="147">
        <f>IF(D330-F330&gt;0.005,MIN(D330-F330,Mortgage!$B$18+IF(MONTH(B330)=Mortgage!$B$20,Mortgage!$B$19,0)+SUMIFS(Mortgage!$E$6:$E$15,Mortgage!$D$6:$D$15,"&gt;="&amp;B330,Mortgage!$D$6:$D$15,"&lt;"&amp;EDATE(B330,1))+IF(Mortgage!$B$10="Bi-weekly (accelerated)",Mortgage!$H$8/12,0)),0)</f>
        <v/>
      </c>
      <c r="H330" s="147">
        <f>F330+G330</f>
        <v/>
      </c>
      <c r="I330" s="148">
        <f>D330-H330</f>
        <v/>
      </c>
      <c r="J330" s="147">
        <f>E330+F330+G330</f>
        <v/>
      </c>
      <c r="K330" s="147">
        <f>IF(AND(D330&gt;0.005,Mortgage!$H$7&gt;0.8,D330/Mortgage!$B$5&gt;Mortgage!$B$14),Mortgage!$H$5*Mortgage!$B$13/12,0)</f>
        <v/>
      </c>
      <c r="L330" s="147">
        <f>IF(D330&gt;0.005,Mortgage!$B$11/12*(1+Mortgage!$B$16)^(C330-1),0)</f>
        <v/>
      </c>
      <c r="M330" s="147">
        <f>IF(D330&gt;0.005,Mortgage!$B$12/12*(1+Mortgage!$B$16)^(C330-1),0)</f>
        <v/>
      </c>
      <c r="N330" s="147">
        <f>IF(D330&gt;0.005,Mortgage!$B$15,0)</f>
        <v/>
      </c>
      <c r="O330" s="147">
        <f>J330+K330+L330+M330+N330</f>
        <v/>
      </c>
      <c r="P330" s="147">
        <f>P329+E330</f>
        <v/>
      </c>
      <c r="Q330" s="147">
        <f>IF(D330&gt;0.005,Mortgage!$B$5*(1+Mortgage!$B$17)^(A330/12),"")</f>
        <v/>
      </c>
      <c r="R330" s="147">
        <f>IF(D330&gt;0.005,Q330-I330,"")</f>
        <v/>
      </c>
      <c r="S330" s="147">
        <f>IF(A330&gt;Mortgage!$B$8*12,0,IF(Mortgage!$B$7=0,MAX(0,Mortgage!$H$5-Mortgage!$H$8*A330),MAX(0,Mortgage!$H$5*(1+(Mortgage!$B$7/12))^A330-Mortgage!$H$8*((1+(Mortgage!$B$7/12))^A330-1)/(Mortgage!$B$7/12))))</f>
        <v/>
      </c>
      <c r="T330" s="149">
        <f>IF(D330&gt;0.005,I330/Mortgage!$B$5,"")</f>
        <v/>
      </c>
      <c r="U330">
        <f>IF(A330&gt;Mortgage!$B$8*12,NA(),B330)</f>
        <v/>
      </c>
      <c r="V330">
        <f>IF(D330&gt;0.005,I330,NA())</f>
        <v/>
      </c>
      <c r="W330">
        <f>IF(A330&gt;Mortgage!$B$8*12,NA(),S330)</f>
        <v/>
      </c>
    </row>
    <row r="331">
      <c r="A331" s="129" t="n">
        <v>326</v>
      </c>
      <c r="B331" s="146">
        <f>EDATE(Mortgage!$B$9,A331-1)</f>
        <v/>
      </c>
      <c r="C331" s="129">
        <f>INT((A331-1)/12)+1</f>
        <v/>
      </c>
      <c r="D331" s="147">
        <f>IF(N(I330)&gt;0.005,I330,0)</f>
        <v/>
      </c>
      <c r="E331" s="147">
        <f>IF(D331&gt;0.005,D331*Mortgage!$B$7/12,0)</f>
        <v/>
      </c>
      <c r="F331" s="147">
        <f>IF(D331&gt;0.005,MIN(Mortgage!$H$8-E331,D331),0)</f>
        <v/>
      </c>
      <c r="G331" s="147">
        <f>IF(D331-F331&gt;0.005,MIN(D331-F331,Mortgage!$B$18+IF(MONTH(B331)=Mortgage!$B$20,Mortgage!$B$19,0)+SUMIFS(Mortgage!$E$6:$E$15,Mortgage!$D$6:$D$15,"&gt;="&amp;B331,Mortgage!$D$6:$D$15,"&lt;"&amp;EDATE(B331,1))+IF(Mortgage!$B$10="Bi-weekly (accelerated)",Mortgage!$H$8/12,0)),0)</f>
        <v/>
      </c>
      <c r="H331" s="147">
        <f>F331+G331</f>
        <v/>
      </c>
      <c r="I331" s="148">
        <f>D331-H331</f>
        <v/>
      </c>
      <c r="J331" s="147">
        <f>E331+F331+G331</f>
        <v/>
      </c>
      <c r="K331" s="147">
        <f>IF(AND(D331&gt;0.005,Mortgage!$H$7&gt;0.8,D331/Mortgage!$B$5&gt;Mortgage!$B$14),Mortgage!$H$5*Mortgage!$B$13/12,0)</f>
        <v/>
      </c>
      <c r="L331" s="147">
        <f>IF(D331&gt;0.005,Mortgage!$B$11/12*(1+Mortgage!$B$16)^(C331-1),0)</f>
        <v/>
      </c>
      <c r="M331" s="147">
        <f>IF(D331&gt;0.005,Mortgage!$B$12/12*(1+Mortgage!$B$16)^(C331-1),0)</f>
        <v/>
      </c>
      <c r="N331" s="147">
        <f>IF(D331&gt;0.005,Mortgage!$B$15,0)</f>
        <v/>
      </c>
      <c r="O331" s="147">
        <f>J331+K331+L331+M331+N331</f>
        <v/>
      </c>
      <c r="P331" s="147">
        <f>P330+E331</f>
        <v/>
      </c>
      <c r="Q331" s="147">
        <f>IF(D331&gt;0.005,Mortgage!$B$5*(1+Mortgage!$B$17)^(A331/12),"")</f>
        <v/>
      </c>
      <c r="R331" s="147">
        <f>IF(D331&gt;0.005,Q331-I331,"")</f>
        <v/>
      </c>
      <c r="S331" s="147">
        <f>IF(A331&gt;Mortgage!$B$8*12,0,IF(Mortgage!$B$7=0,MAX(0,Mortgage!$H$5-Mortgage!$H$8*A331),MAX(0,Mortgage!$H$5*(1+(Mortgage!$B$7/12))^A331-Mortgage!$H$8*((1+(Mortgage!$B$7/12))^A331-1)/(Mortgage!$B$7/12))))</f>
        <v/>
      </c>
      <c r="T331" s="149">
        <f>IF(D331&gt;0.005,I331/Mortgage!$B$5,"")</f>
        <v/>
      </c>
      <c r="U331">
        <f>IF(A331&gt;Mortgage!$B$8*12,NA(),B331)</f>
        <v/>
      </c>
      <c r="V331">
        <f>IF(D331&gt;0.005,I331,NA())</f>
        <v/>
      </c>
      <c r="W331">
        <f>IF(A331&gt;Mortgage!$B$8*12,NA(),S331)</f>
        <v/>
      </c>
    </row>
    <row r="332">
      <c r="A332" s="129" t="n">
        <v>327</v>
      </c>
      <c r="B332" s="146">
        <f>EDATE(Mortgage!$B$9,A332-1)</f>
        <v/>
      </c>
      <c r="C332" s="129">
        <f>INT((A332-1)/12)+1</f>
        <v/>
      </c>
      <c r="D332" s="147">
        <f>IF(N(I331)&gt;0.005,I331,0)</f>
        <v/>
      </c>
      <c r="E332" s="147">
        <f>IF(D332&gt;0.005,D332*Mortgage!$B$7/12,0)</f>
        <v/>
      </c>
      <c r="F332" s="147">
        <f>IF(D332&gt;0.005,MIN(Mortgage!$H$8-E332,D332),0)</f>
        <v/>
      </c>
      <c r="G332" s="147">
        <f>IF(D332-F332&gt;0.005,MIN(D332-F332,Mortgage!$B$18+IF(MONTH(B332)=Mortgage!$B$20,Mortgage!$B$19,0)+SUMIFS(Mortgage!$E$6:$E$15,Mortgage!$D$6:$D$15,"&gt;="&amp;B332,Mortgage!$D$6:$D$15,"&lt;"&amp;EDATE(B332,1))+IF(Mortgage!$B$10="Bi-weekly (accelerated)",Mortgage!$H$8/12,0)),0)</f>
        <v/>
      </c>
      <c r="H332" s="147">
        <f>F332+G332</f>
        <v/>
      </c>
      <c r="I332" s="148">
        <f>D332-H332</f>
        <v/>
      </c>
      <c r="J332" s="147">
        <f>E332+F332+G332</f>
        <v/>
      </c>
      <c r="K332" s="147">
        <f>IF(AND(D332&gt;0.005,Mortgage!$H$7&gt;0.8,D332/Mortgage!$B$5&gt;Mortgage!$B$14),Mortgage!$H$5*Mortgage!$B$13/12,0)</f>
        <v/>
      </c>
      <c r="L332" s="147">
        <f>IF(D332&gt;0.005,Mortgage!$B$11/12*(1+Mortgage!$B$16)^(C332-1),0)</f>
        <v/>
      </c>
      <c r="M332" s="147">
        <f>IF(D332&gt;0.005,Mortgage!$B$12/12*(1+Mortgage!$B$16)^(C332-1),0)</f>
        <v/>
      </c>
      <c r="N332" s="147">
        <f>IF(D332&gt;0.005,Mortgage!$B$15,0)</f>
        <v/>
      </c>
      <c r="O332" s="147">
        <f>J332+K332+L332+M332+N332</f>
        <v/>
      </c>
      <c r="P332" s="147">
        <f>P331+E332</f>
        <v/>
      </c>
      <c r="Q332" s="147">
        <f>IF(D332&gt;0.005,Mortgage!$B$5*(1+Mortgage!$B$17)^(A332/12),"")</f>
        <v/>
      </c>
      <c r="R332" s="147">
        <f>IF(D332&gt;0.005,Q332-I332,"")</f>
        <v/>
      </c>
      <c r="S332" s="147">
        <f>IF(A332&gt;Mortgage!$B$8*12,0,IF(Mortgage!$B$7=0,MAX(0,Mortgage!$H$5-Mortgage!$H$8*A332),MAX(0,Mortgage!$H$5*(1+(Mortgage!$B$7/12))^A332-Mortgage!$H$8*((1+(Mortgage!$B$7/12))^A332-1)/(Mortgage!$B$7/12))))</f>
        <v/>
      </c>
      <c r="T332" s="149">
        <f>IF(D332&gt;0.005,I332/Mortgage!$B$5,"")</f>
        <v/>
      </c>
      <c r="U332">
        <f>IF(A332&gt;Mortgage!$B$8*12,NA(),B332)</f>
        <v/>
      </c>
      <c r="V332">
        <f>IF(D332&gt;0.005,I332,NA())</f>
        <v/>
      </c>
      <c r="W332">
        <f>IF(A332&gt;Mortgage!$B$8*12,NA(),S332)</f>
        <v/>
      </c>
    </row>
    <row r="333">
      <c r="A333" s="129" t="n">
        <v>328</v>
      </c>
      <c r="B333" s="146">
        <f>EDATE(Mortgage!$B$9,A333-1)</f>
        <v/>
      </c>
      <c r="C333" s="129">
        <f>INT((A333-1)/12)+1</f>
        <v/>
      </c>
      <c r="D333" s="147">
        <f>IF(N(I332)&gt;0.005,I332,0)</f>
        <v/>
      </c>
      <c r="E333" s="147">
        <f>IF(D333&gt;0.005,D333*Mortgage!$B$7/12,0)</f>
        <v/>
      </c>
      <c r="F333" s="147">
        <f>IF(D333&gt;0.005,MIN(Mortgage!$H$8-E333,D333),0)</f>
        <v/>
      </c>
      <c r="G333" s="147">
        <f>IF(D333-F333&gt;0.005,MIN(D333-F333,Mortgage!$B$18+IF(MONTH(B333)=Mortgage!$B$20,Mortgage!$B$19,0)+SUMIFS(Mortgage!$E$6:$E$15,Mortgage!$D$6:$D$15,"&gt;="&amp;B333,Mortgage!$D$6:$D$15,"&lt;"&amp;EDATE(B333,1))+IF(Mortgage!$B$10="Bi-weekly (accelerated)",Mortgage!$H$8/12,0)),0)</f>
        <v/>
      </c>
      <c r="H333" s="147">
        <f>F333+G333</f>
        <v/>
      </c>
      <c r="I333" s="148">
        <f>D333-H333</f>
        <v/>
      </c>
      <c r="J333" s="147">
        <f>E333+F333+G333</f>
        <v/>
      </c>
      <c r="K333" s="147">
        <f>IF(AND(D333&gt;0.005,Mortgage!$H$7&gt;0.8,D333/Mortgage!$B$5&gt;Mortgage!$B$14),Mortgage!$H$5*Mortgage!$B$13/12,0)</f>
        <v/>
      </c>
      <c r="L333" s="147">
        <f>IF(D333&gt;0.005,Mortgage!$B$11/12*(1+Mortgage!$B$16)^(C333-1),0)</f>
        <v/>
      </c>
      <c r="M333" s="147">
        <f>IF(D333&gt;0.005,Mortgage!$B$12/12*(1+Mortgage!$B$16)^(C333-1),0)</f>
        <v/>
      </c>
      <c r="N333" s="147">
        <f>IF(D333&gt;0.005,Mortgage!$B$15,0)</f>
        <v/>
      </c>
      <c r="O333" s="147">
        <f>J333+K333+L333+M333+N333</f>
        <v/>
      </c>
      <c r="P333" s="147">
        <f>P332+E333</f>
        <v/>
      </c>
      <c r="Q333" s="147">
        <f>IF(D333&gt;0.005,Mortgage!$B$5*(1+Mortgage!$B$17)^(A333/12),"")</f>
        <v/>
      </c>
      <c r="R333" s="147">
        <f>IF(D333&gt;0.005,Q333-I333,"")</f>
        <v/>
      </c>
      <c r="S333" s="147">
        <f>IF(A333&gt;Mortgage!$B$8*12,0,IF(Mortgage!$B$7=0,MAX(0,Mortgage!$H$5-Mortgage!$H$8*A333),MAX(0,Mortgage!$H$5*(1+(Mortgage!$B$7/12))^A333-Mortgage!$H$8*((1+(Mortgage!$B$7/12))^A333-1)/(Mortgage!$B$7/12))))</f>
        <v/>
      </c>
      <c r="T333" s="149">
        <f>IF(D333&gt;0.005,I333/Mortgage!$B$5,"")</f>
        <v/>
      </c>
      <c r="U333">
        <f>IF(A333&gt;Mortgage!$B$8*12,NA(),B333)</f>
        <v/>
      </c>
      <c r="V333">
        <f>IF(D333&gt;0.005,I333,NA())</f>
        <v/>
      </c>
      <c r="W333">
        <f>IF(A333&gt;Mortgage!$B$8*12,NA(),S333)</f>
        <v/>
      </c>
    </row>
    <row r="334">
      <c r="A334" s="129" t="n">
        <v>329</v>
      </c>
      <c r="B334" s="146">
        <f>EDATE(Mortgage!$B$9,A334-1)</f>
        <v/>
      </c>
      <c r="C334" s="129">
        <f>INT((A334-1)/12)+1</f>
        <v/>
      </c>
      <c r="D334" s="147">
        <f>IF(N(I333)&gt;0.005,I333,0)</f>
        <v/>
      </c>
      <c r="E334" s="147">
        <f>IF(D334&gt;0.005,D334*Mortgage!$B$7/12,0)</f>
        <v/>
      </c>
      <c r="F334" s="147">
        <f>IF(D334&gt;0.005,MIN(Mortgage!$H$8-E334,D334),0)</f>
        <v/>
      </c>
      <c r="G334" s="147">
        <f>IF(D334-F334&gt;0.005,MIN(D334-F334,Mortgage!$B$18+IF(MONTH(B334)=Mortgage!$B$20,Mortgage!$B$19,0)+SUMIFS(Mortgage!$E$6:$E$15,Mortgage!$D$6:$D$15,"&gt;="&amp;B334,Mortgage!$D$6:$D$15,"&lt;"&amp;EDATE(B334,1))+IF(Mortgage!$B$10="Bi-weekly (accelerated)",Mortgage!$H$8/12,0)),0)</f>
        <v/>
      </c>
      <c r="H334" s="147">
        <f>F334+G334</f>
        <v/>
      </c>
      <c r="I334" s="148">
        <f>D334-H334</f>
        <v/>
      </c>
      <c r="J334" s="147">
        <f>E334+F334+G334</f>
        <v/>
      </c>
      <c r="K334" s="147">
        <f>IF(AND(D334&gt;0.005,Mortgage!$H$7&gt;0.8,D334/Mortgage!$B$5&gt;Mortgage!$B$14),Mortgage!$H$5*Mortgage!$B$13/12,0)</f>
        <v/>
      </c>
      <c r="L334" s="147">
        <f>IF(D334&gt;0.005,Mortgage!$B$11/12*(1+Mortgage!$B$16)^(C334-1),0)</f>
        <v/>
      </c>
      <c r="M334" s="147">
        <f>IF(D334&gt;0.005,Mortgage!$B$12/12*(1+Mortgage!$B$16)^(C334-1),0)</f>
        <v/>
      </c>
      <c r="N334" s="147">
        <f>IF(D334&gt;0.005,Mortgage!$B$15,0)</f>
        <v/>
      </c>
      <c r="O334" s="147">
        <f>J334+K334+L334+M334+N334</f>
        <v/>
      </c>
      <c r="P334" s="147">
        <f>P333+E334</f>
        <v/>
      </c>
      <c r="Q334" s="147">
        <f>IF(D334&gt;0.005,Mortgage!$B$5*(1+Mortgage!$B$17)^(A334/12),"")</f>
        <v/>
      </c>
      <c r="R334" s="147">
        <f>IF(D334&gt;0.005,Q334-I334,"")</f>
        <v/>
      </c>
      <c r="S334" s="147">
        <f>IF(A334&gt;Mortgage!$B$8*12,0,IF(Mortgage!$B$7=0,MAX(0,Mortgage!$H$5-Mortgage!$H$8*A334),MAX(0,Mortgage!$H$5*(1+(Mortgage!$B$7/12))^A334-Mortgage!$H$8*((1+(Mortgage!$B$7/12))^A334-1)/(Mortgage!$B$7/12))))</f>
        <v/>
      </c>
      <c r="T334" s="149">
        <f>IF(D334&gt;0.005,I334/Mortgage!$B$5,"")</f>
        <v/>
      </c>
      <c r="U334">
        <f>IF(A334&gt;Mortgage!$B$8*12,NA(),B334)</f>
        <v/>
      </c>
      <c r="V334">
        <f>IF(D334&gt;0.005,I334,NA())</f>
        <v/>
      </c>
      <c r="W334">
        <f>IF(A334&gt;Mortgage!$B$8*12,NA(),S334)</f>
        <v/>
      </c>
    </row>
    <row r="335">
      <c r="A335" s="129" t="n">
        <v>330</v>
      </c>
      <c r="B335" s="146">
        <f>EDATE(Mortgage!$B$9,A335-1)</f>
        <v/>
      </c>
      <c r="C335" s="129">
        <f>INT((A335-1)/12)+1</f>
        <v/>
      </c>
      <c r="D335" s="147">
        <f>IF(N(I334)&gt;0.005,I334,0)</f>
        <v/>
      </c>
      <c r="E335" s="147">
        <f>IF(D335&gt;0.005,D335*Mortgage!$B$7/12,0)</f>
        <v/>
      </c>
      <c r="F335" s="147">
        <f>IF(D335&gt;0.005,MIN(Mortgage!$H$8-E335,D335),0)</f>
        <v/>
      </c>
      <c r="G335" s="147">
        <f>IF(D335-F335&gt;0.005,MIN(D335-F335,Mortgage!$B$18+IF(MONTH(B335)=Mortgage!$B$20,Mortgage!$B$19,0)+SUMIFS(Mortgage!$E$6:$E$15,Mortgage!$D$6:$D$15,"&gt;="&amp;B335,Mortgage!$D$6:$D$15,"&lt;"&amp;EDATE(B335,1))+IF(Mortgage!$B$10="Bi-weekly (accelerated)",Mortgage!$H$8/12,0)),0)</f>
        <v/>
      </c>
      <c r="H335" s="147">
        <f>F335+G335</f>
        <v/>
      </c>
      <c r="I335" s="148">
        <f>D335-H335</f>
        <v/>
      </c>
      <c r="J335" s="147">
        <f>E335+F335+G335</f>
        <v/>
      </c>
      <c r="K335" s="147">
        <f>IF(AND(D335&gt;0.005,Mortgage!$H$7&gt;0.8,D335/Mortgage!$B$5&gt;Mortgage!$B$14),Mortgage!$H$5*Mortgage!$B$13/12,0)</f>
        <v/>
      </c>
      <c r="L335" s="147">
        <f>IF(D335&gt;0.005,Mortgage!$B$11/12*(1+Mortgage!$B$16)^(C335-1),0)</f>
        <v/>
      </c>
      <c r="M335" s="147">
        <f>IF(D335&gt;0.005,Mortgage!$B$12/12*(1+Mortgage!$B$16)^(C335-1),0)</f>
        <v/>
      </c>
      <c r="N335" s="147">
        <f>IF(D335&gt;0.005,Mortgage!$B$15,0)</f>
        <v/>
      </c>
      <c r="O335" s="147">
        <f>J335+K335+L335+M335+N335</f>
        <v/>
      </c>
      <c r="P335" s="147">
        <f>P334+E335</f>
        <v/>
      </c>
      <c r="Q335" s="147">
        <f>IF(D335&gt;0.005,Mortgage!$B$5*(1+Mortgage!$B$17)^(A335/12),"")</f>
        <v/>
      </c>
      <c r="R335" s="147">
        <f>IF(D335&gt;0.005,Q335-I335,"")</f>
        <v/>
      </c>
      <c r="S335" s="147">
        <f>IF(A335&gt;Mortgage!$B$8*12,0,IF(Mortgage!$B$7=0,MAX(0,Mortgage!$H$5-Mortgage!$H$8*A335),MAX(0,Mortgage!$H$5*(1+(Mortgage!$B$7/12))^A335-Mortgage!$H$8*((1+(Mortgage!$B$7/12))^A335-1)/(Mortgage!$B$7/12))))</f>
        <v/>
      </c>
      <c r="T335" s="149">
        <f>IF(D335&gt;0.005,I335/Mortgage!$B$5,"")</f>
        <v/>
      </c>
      <c r="U335">
        <f>IF(A335&gt;Mortgage!$B$8*12,NA(),B335)</f>
        <v/>
      </c>
      <c r="V335">
        <f>IF(D335&gt;0.005,I335,NA())</f>
        <v/>
      </c>
      <c r="W335">
        <f>IF(A335&gt;Mortgage!$B$8*12,NA(),S335)</f>
        <v/>
      </c>
    </row>
    <row r="336">
      <c r="A336" s="129" t="n">
        <v>331</v>
      </c>
      <c r="B336" s="146">
        <f>EDATE(Mortgage!$B$9,A336-1)</f>
        <v/>
      </c>
      <c r="C336" s="129">
        <f>INT((A336-1)/12)+1</f>
        <v/>
      </c>
      <c r="D336" s="147">
        <f>IF(N(I335)&gt;0.005,I335,0)</f>
        <v/>
      </c>
      <c r="E336" s="147">
        <f>IF(D336&gt;0.005,D336*Mortgage!$B$7/12,0)</f>
        <v/>
      </c>
      <c r="F336" s="147">
        <f>IF(D336&gt;0.005,MIN(Mortgage!$H$8-E336,D336),0)</f>
        <v/>
      </c>
      <c r="G336" s="147">
        <f>IF(D336-F336&gt;0.005,MIN(D336-F336,Mortgage!$B$18+IF(MONTH(B336)=Mortgage!$B$20,Mortgage!$B$19,0)+SUMIFS(Mortgage!$E$6:$E$15,Mortgage!$D$6:$D$15,"&gt;="&amp;B336,Mortgage!$D$6:$D$15,"&lt;"&amp;EDATE(B336,1))+IF(Mortgage!$B$10="Bi-weekly (accelerated)",Mortgage!$H$8/12,0)),0)</f>
        <v/>
      </c>
      <c r="H336" s="147">
        <f>F336+G336</f>
        <v/>
      </c>
      <c r="I336" s="148">
        <f>D336-H336</f>
        <v/>
      </c>
      <c r="J336" s="147">
        <f>E336+F336+G336</f>
        <v/>
      </c>
      <c r="K336" s="147">
        <f>IF(AND(D336&gt;0.005,Mortgage!$H$7&gt;0.8,D336/Mortgage!$B$5&gt;Mortgage!$B$14),Mortgage!$H$5*Mortgage!$B$13/12,0)</f>
        <v/>
      </c>
      <c r="L336" s="147">
        <f>IF(D336&gt;0.005,Mortgage!$B$11/12*(1+Mortgage!$B$16)^(C336-1),0)</f>
        <v/>
      </c>
      <c r="M336" s="147">
        <f>IF(D336&gt;0.005,Mortgage!$B$12/12*(1+Mortgage!$B$16)^(C336-1),0)</f>
        <v/>
      </c>
      <c r="N336" s="147">
        <f>IF(D336&gt;0.005,Mortgage!$B$15,0)</f>
        <v/>
      </c>
      <c r="O336" s="147">
        <f>J336+K336+L336+M336+N336</f>
        <v/>
      </c>
      <c r="P336" s="147">
        <f>P335+E336</f>
        <v/>
      </c>
      <c r="Q336" s="147">
        <f>IF(D336&gt;0.005,Mortgage!$B$5*(1+Mortgage!$B$17)^(A336/12),"")</f>
        <v/>
      </c>
      <c r="R336" s="147">
        <f>IF(D336&gt;0.005,Q336-I336,"")</f>
        <v/>
      </c>
      <c r="S336" s="147">
        <f>IF(A336&gt;Mortgage!$B$8*12,0,IF(Mortgage!$B$7=0,MAX(0,Mortgage!$H$5-Mortgage!$H$8*A336),MAX(0,Mortgage!$H$5*(1+(Mortgage!$B$7/12))^A336-Mortgage!$H$8*((1+(Mortgage!$B$7/12))^A336-1)/(Mortgage!$B$7/12))))</f>
        <v/>
      </c>
      <c r="T336" s="149">
        <f>IF(D336&gt;0.005,I336/Mortgage!$B$5,"")</f>
        <v/>
      </c>
      <c r="U336">
        <f>IF(A336&gt;Mortgage!$B$8*12,NA(),B336)</f>
        <v/>
      </c>
      <c r="V336">
        <f>IF(D336&gt;0.005,I336,NA())</f>
        <v/>
      </c>
      <c r="W336">
        <f>IF(A336&gt;Mortgage!$B$8*12,NA(),S336)</f>
        <v/>
      </c>
    </row>
    <row r="337">
      <c r="A337" s="129" t="n">
        <v>332</v>
      </c>
      <c r="B337" s="146">
        <f>EDATE(Mortgage!$B$9,A337-1)</f>
        <v/>
      </c>
      <c r="C337" s="129">
        <f>INT((A337-1)/12)+1</f>
        <v/>
      </c>
      <c r="D337" s="147">
        <f>IF(N(I336)&gt;0.005,I336,0)</f>
        <v/>
      </c>
      <c r="E337" s="147">
        <f>IF(D337&gt;0.005,D337*Mortgage!$B$7/12,0)</f>
        <v/>
      </c>
      <c r="F337" s="147">
        <f>IF(D337&gt;0.005,MIN(Mortgage!$H$8-E337,D337),0)</f>
        <v/>
      </c>
      <c r="G337" s="147">
        <f>IF(D337-F337&gt;0.005,MIN(D337-F337,Mortgage!$B$18+IF(MONTH(B337)=Mortgage!$B$20,Mortgage!$B$19,0)+SUMIFS(Mortgage!$E$6:$E$15,Mortgage!$D$6:$D$15,"&gt;="&amp;B337,Mortgage!$D$6:$D$15,"&lt;"&amp;EDATE(B337,1))+IF(Mortgage!$B$10="Bi-weekly (accelerated)",Mortgage!$H$8/12,0)),0)</f>
        <v/>
      </c>
      <c r="H337" s="147">
        <f>F337+G337</f>
        <v/>
      </c>
      <c r="I337" s="148">
        <f>D337-H337</f>
        <v/>
      </c>
      <c r="J337" s="147">
        <f>E337+F337+G337</f>
        <v/>
      </c>
      <c r="K337" s="147">
        <f>IF(AND(D337&gt;0.005,Mortgage!$H$7&gt;0.8,D337/Mortgage!$B$5&gt;Mortgage!$B$14),Mortgage!$H$5*Mortgage!$B$13/12,0)</f>
        <v/>
      </c>
      <c r="L337" s="147">
        <f>IF(D337&gt;0.005,Mortgage!$B$11/12*(1+Mortgage!$B$16)^(C337-1),0)</f>
        <v/>
      </c>
      <c r="M337" s="147">
        <f>IF(D337&gt;0.005,Mortgage!$B$12/12*(1+Mortgage!$B$16)^(C337-1),0)</f>
        <v/>
      </c>
      <c r="N337" s="147">
        <f>IF(D337&gt;0.005,Mortgage!$B$15,0)</f>
        <v/>
      </c>
      <c r="O337" s="147">
        <f>J337+K337+L337+M337+N337</f>
        <v/>
      </c>
      <c r="P337" s="147">
        <f>P336+E337</f>
        <v/>
      </c>
      <c r="Q337" s="147">
        <f>IF(D337&gt;0.005,Mortgage!$B$5*(1+Mortgage!$B$17)^(A337/12),"")</f>
        <v/>
      </c>
      <c r="R337" s="147">
        <f>IF(D337&gt;0.005,Q337-I337,"")</f>
        <v/>
      </c>
      <c r="S337" s="147">
        <f>IF(A337&gt;Mortgage!$B$8*12,0,IF(Mortgage!$B$7=0,MAX(0,Mortgage!$H$5-Mortgage!$H$8*A337),MAX(0,Mortgage!$H$5*(1+(Mortgage!$B$7/12))^A337-Mortgage!$H$8*((1+(Mortgage!$B$7/12))^A337-1)/(Mortgage!$B$7/12))))</f>
        <v/>
      </c>
      <c r="T337" s="149">
        <f>IF(D337&gt;0.005,I337/Mortgage!$B$5,"")</f>
        <v/>
      </c>
      <c r="U337">
        <f>IF(A337&gt;Mortgage!$B$8*12,NA(),B337)</f>
        <v/>
      </c>
      <c r="V337">
        <f>IF(D337&gt;0.005,I337,NA())</f>
        <v/>
      </c>
      <c r="W337">
        <f>IF(A337&gt;Mortgage!$B$8*12,NA(),S337)</f>
        <v/>
      </c>
    </row>
    <row r="338">
      <c r="A338" s="129" t="n">
        <v>333</v>
      </c>
      <c r="B338" s="146">
        <f>EDATE(Mortgage!$B$9,A338-1)</f>
        <v/>
      </c>
      <c r="C338" s="129">
        <f>INT((A338-1)/12)+1</f>
        <v/>
      </c>
      <c r="D338" s="147">
        <f>IF(N(I337)&gt;0.005,I337,0)</f>
        <v/>
      </c>
      <c r="E338" s="147">
        <f>IF(D338&gt;0.005,D338*Mortgage!$B$7/12,0)</f>
        <v/>
      </c>
      <c r="F338" s="147">
        <f>IF(D338&gt;0.005,MIN(Mortgage!$H$8-E338,D338),0)</f>
        <v/>
      </c>
      <c r="G338" s="147">
        <f>IF(D338-F338&gt;0.005,MIN(D338-F338,Mortgage!$B$18+IF(MONTH(B338)=Mortgage!$B$20,Mortgage!$B$19,0)+SUMIFS(Mortgage!$E$6:$E$15,Mortgage!$D$6:$D$15,"&gt;="&amp;B338,Mortgage!$D$6:$D$15,"&lt;"&amp;EDATE(B338,1))+IF(Mortgage!$B$10="Bi-weekly (accelerated)",Mortgage!$H$8/12,0)),0)</f>
        <v/>
      </c>
      <c r="H338" s="147">
        <f>F338+G338</f>
        <v/>
      </c>
      <c r="I338" s="148">
        <f>D338-H338</f>
        <v/>
      </c>
      <c r="J338" s="147">
        <f>E338+F338+G338</f>
        <v/>
      </c>
      <c r="K338" s="147">
        <f>IF(AND(D338&gt;0.005,Mortgage!$H$7&gt;0.8,D338/Mortgage!$B$5&gt;Mortgage!$B$14),Mortgage!$H$5*Mortgage!$B$13/12,0)</f>
        <v/>
      </c>
      <c r="L338" s="147">
        <f>IF(D338&gt;0.005,Mortgage!$B$11/12*(1+Mortgage!$B$16)^(C338-1),0)</f>
        <v/>
      </c>
      <c r="M338" s="147">
        <f>IF(D338&gt;0.005,Mortgage!$B$12/12*(1+Mortgage!$B$16)^(C338-1),0)</f>
        <v/>
      </c>
      <c r="N338" s="147">
        <f>IF(D338&gt;0.005,Mortgage!$B$15,0)</f>
        <v/>
      </c>
      <c r="O338" s="147">
        <f>J338+K338+L338+M338+N338</f>
        <v/>
      </c>
      <c r="P338" s="147">
        <f>P337+E338</f>
        <v/>
      </c>
      <c r="Q338" s="147">
        <f>IF(D338&gt;0.005,Mortgage!$B$5*(1+Mortgage!$B$17)^(A338/12),"")</f>
        <v/>
      </c>
      <c r="R338" s="147">
        <f>IF(D338&gt;0.005,Q338-I338,"")</f>
        <v/>
      </c>
      <c r="S338" s="147">
        <f>IF(A338&gt;Mortgage!$B$8*12,0,IF(Mortgage!$B$7=0,MAX(0,Mortgage!$H$5-Mortgage!$H$8*A338),MAX(0,Mortgage!$H$5*(1+(Mortgage!$B$7/12))^A338-Mortgage!$H$8*((1+(Mortgage!$B$7/12))^A338-1)/(Mortgage!$B$7/12))))</f>
        <v/>
      </c>
      <c r="T338" s="149">
        <f>IF(D338&gt;0.005,I338/Mortgage!$B$5,"")</f>
        <v/>
      </c>
      <c r="U338">
        <f>IF(A338&gt;Mortgage!$B$8*12,NA(),B338)</f>
        <v/>
      </c>
      <c r="V338">
        <f>IF(D338&gt;0.005,I338,NA())</f>
        <v/>
      </c>
      <c r="W338">
        <f>IF(A338&gt;Mortgage!$B$8*12,NA(),S338)</f>
        <v/>
      </c>
    </row>
    <row r="339">
      <c r="A339" s="129" t="n">
        <v>334</v>
      </c>
      <c r="B339" s="146">
        <f>EDATE(Mortgage!$B$9,A339-1)</f>
        <v/>
      </c>
      <c r="C339" s="129">
        <f>INT((A339-1)/12)+1</f>
        <v/>
      </c>
      <c r="D339" s="147">
        <f>IF(N(I338)&gt;0.005,I338,0)</f>
        <v/>
      </c>
      <c r="E339" s="147">
        <f>IF(D339&gt;0.005,D339*Mortgage!$B$7/12,0)</f>
        <v/>
      </c>
      <c r="F339" s="147">
        <f>IF(D339&gt;0.005,MIN(Mortgage!$H$8-E339,D339),0)</f>
        <v/>
      </c>
      <c r="G339" s="147">
        <f>IF(D339-F339&gt;0.005,MIN(D339-F339,Mortgage!$B$18+IF(MONTH(B339)=Mortgage!$B$20,Mortgage!$B$19,0)+SUMIFS(Mortgage!$E$6:$E$15,Mortgage!$D$6:$D$15,"&gt;="&amp;B339,Mortgage!$D$6:$D$15,"&lt;"&amp;EDATE(B339,1))+IF(Mortgage!$B$10="Bi-weekly (accelerated)",Mortgage!$H$8/12,0)),0)</f>
        <v/>
      </c>
      <c r="H339" s="147">
        <f>F339+G339</f>
        <v/>
      </c>
      <c r="I339" s="148">
        <f>D339-H339</f>
        <v/>
      </c>
      <c r="J339" s="147">
        <f>E339+F339+G339</f>
        <v/>
      </c>
      <c r="K339" s="147">
        <f>IF(AND(D339&gt;0.005,Mortgage!$H$7&gt;0.8,D339/Mortgage!$B$5&gt;Mortgage!$B$14),Mortgage!$H$5*Mortgage!$B$13/12,0)</f>
        <v/>
      </c>
      <c r="L339" s="147">
        <f>IF(D339&gt;0.005,Mortgage!$B$11/12*(1+Mortgage!$B$16)^(C339-1),0)</f>
        <v/>
      </c>
      <c r="M339" s="147">
        <f>IF(D339&gt;0.005,Mortgage!$B$12/12*(1+Mortgage!$B$16)^(C339-1),0)</f>
        <v/>
      </c>
      <c r="N339" s="147">
        <f>IF(D339&gt;0.005,Mortgage!$B$15,0)</f>
        <v/>
      </c>
      <c r="O339" s="147">
        <f>J339+K339+L339+M339+N339</f>
        <v/>
      </c>
      <c r="P339" s="147">
        <f>P338+E339</f>
        <v/>
      </c>
      <c r="Q339" s="147">
        <f>IF(D339&gt;0.005,Mortgage!$B$5*(1+Mortgage!$B$17)^(A339/12),"")</f>
        <v/>
      </c>
      <c r="R339" s="147">
        <f>IF(D339&gt;0.005,Q339-I339,"")</f>
        <v/>
      </c>
      <c r="S339" s="147">
        <f>IF(A339&gt;Mortgage!$B$8*12,0,IF(Mortgage!$B$7=0,MAX(0,Mortgage!$H$5-Mortgage!$H$8*A339),MAX(0,Mortgage!$H$5*(1+(Mortgage!$B$7/12))^A339-Mortgage!$H$8*((1+(Mortgage!$B$7/12))^A339-1)/(Mortgage!$B$7/12))))</f>
        <v/>
      </c>
      <c r="T339" s="149">
        <f>IF(D339&gt;0.005,I339/Mortgage!$B$5,"")</f>
        <v/>
      </c>
      <c r="U339">
        <f>IF(A339&gt;Mortgage!$B$8*12,NA(),B339)</f>
        <v/>
      </c>
      <c r="V339">
        <f>IF(D339&gt;0.005,I339,NA())</f>
        <v/>
      </c>
      <c r="W339">
        <f>IF(A339&gt;Mortgage!$B$8*12,NA(),S339)</f>
        <v/>
      </c>
    </row>
    <row r="340">
      <c r="A340" s="129" t="n">
        <v>335</v>
      </c>
      <c r="B340" s="146">
        <f>EDATE(Mortgage!$B$9,A340-1)</f>
        <v/>
      </c>
      <c r="C340" s="129">
        <f>INT((A340-1)/12)+1</f>
        <v/>
      </c>
      <c r="D340" s="147">
        <f>IF(N(I339)&gt;0.005,I339,0)</f>
        <v/>
      </c>
      <c r="E340" s="147">
        <f>IF(D340&gt;0.005,D340*Mortgage!$B$7/12,0)</f>
        <v/>
      </c>
      <c r="F340" s="147">
        <f>IF(D340&gt;0.005,MIN(Mortgage!$H$8-E340,D340),0)</f>
        <v/>
      </c>
      <c r="G340" s="147">
        <f>IF(D340-F340&gt;0.005,MIN(D340-F340,Mortgage!$B$18+IF(MONTH(B340)=Mortgage!$B$20,Mortgage!$B$19,0)+SUMIFS(Mortgage!$E$6:$E$15,Mortgage!$D$6:$D$15,"&gt;="&amp;B340,Mortgage!$D$6:$D$15,"&lt;"&amp;EDATE(B340,1))+IF(Mortgage!$B$10="Bi-weekly (accelerated)",Mortgage!$H$8/12,0)),0)</f>
        <v/>
      </c>
      <c r="H340" s="147">
        <f>F340+G340</f>
        <v/>
      </c>
      <c r="I340" s="148">
        <f>D340-H340</f>
        <v/>
      </c>
      <c r="J340" s="147">
        <f>E340+F340+G340</f>
        <v/>
      </c>
      <c r="K340" s="147">
        <f>IF(AND(D340&gt;0.005,Mortgage!$H$7&gt;0.8,D340/Mortgage!$B$5&gt;Mortgage!$B$14),Mortgage!$H$5*Mortgage!$B$13/12,0)</f>
        <v/>
      </c>
      <c r="L340" s="147">
        <f>IF(D340&gt;0.005,Mortgage!$B$11/12*(1+Mortgage!$B$16)^(C340-1),0)</f>
        <v/>
      </c>
      <c r="M340" s="147">
        <f>IF(D340&gt;0.005,Mortgage!$B$12/12*(1+Mortgage!$B$16)^(C340-1),0)</f>
        <v/>
      </c>
      <c r="N340" s="147">
        <f>IF(D340&gt;0.005,Mortgage!$B$15,0)</f>
        <v/>
      </c>
      <c r="O340" s="147">
        <f>J340+K340+L340+M340+N340</f>
        <v/>
      </c>
      <c r="P340" s="147">
        <f>P339+E340</f>
        <v/>
      </c>
      <c r="Q340" s="147">
        <f>IF(D340&gt;0.005,Mortgage!$B$5*(1+Mortgage!$B$17)^(A340/12),"")</f>
        <v/>
      </c>
      <c r="R340" s="147">
        <f>IF(D340&gt;0.005,Q340-I340,"")</f>
        <v/>
      </c>
      <c r="S340" s="147">
        <f>IF(A340&gt;Mortgage!$B$8*12,0,IF(Mortgage!$B$7=0,MAX(0,Mortgage!$H$5-Mortgage!$H$8*A340),MAX(0,Mortgage!$H$5*(1+(Mortgage!$B$7/12))^A340-Mortgage!$H$8*((1+(Mortgage!$B$7/12))^A340-1)/(Mortgage!$B$7/12))))</f>
        <v/>
      </c>
      <c r="T340" s="149">
        <f>IF(D340&gt;0.005,I340/Mortgage!$B$5,"")</f>
        <v/>
      </c>
      <c r="U340">
        <f>IF(A340&gt;Mortgage!$B$8*12,NA(),B340)</f>
        <v/>
      </c>
      <c r="V340">
        <f>IF(D340&gt;0.005,I340,NA())</f>
        <v/>
      </c>
      <c r="W340">
        <f>IF(A340&gt;Mortgage!$B$8*12,NA(),S340)</f>
        <v/>
      </c>
    </row>
    <row r="341">
      <c r="A341" s="129" t="n">
        <v>336</v>
      </c>
      <c r="B341" s="146">
        <f>EDATE(Mortgage!$B$9,A341-1)</f>
        <v/>
      </c>
      <c r="C341" s="129">
        <f>INT((A341-1)/12)+1</f>
        <v/>
      </c>
      <c r="D341" s="147">
        <f>IF(N(I340)&gt;0.005,I340,0)</f>
        <v/>
      </c>
      <c r="E341" s="147">
        <f>IF(D341&gt;0.005,D341*Mortgage!$B$7/12,0)</f>
        <v/>
      </c>
      <c r="F341" s="147">
        <f>IF(D341&gt;0.005,MIN(Mortgage!$H$8-E341,D341),0)</f>
        <v/>
      </c>
      <c r="G341" s="147">
        <f>IF(D341-F341&gt;0.005,MIN(D341-F341,Mortgage!$B$18+IF(MONTH(B341)=Mortgage!$B$20,Mortgage!$B$19,0)+SUMIFS(Mortgage!$E$6:$E$15,Mortgage!$D$6:$D$15,"&gt;="&amp;B341,Mortgage!$D$6:$D$15,"&lt;"&amp;EDATE(B341,1))+IF(Mortgage!$B$10="Bi-weekly (accelerated)",Mortgage!$H$8/12,0)),0)</f>
        <v/>
      </c>
      <c r="H341" s="147">
        <f>F341+G341</f>
        <v/>
      </c>
      <c r="I341" s="148">
        <f>D341-H341</f>
        <v/>
      </c>
      <c r="J341" s="147">
        <f>E341+F341+G341</f>
        <v/>
      </c>
      <c r="K341" s="147">
        <f>IF(AND(D341&gt;0.005,Mortgage!$H$7&gt;0.8,D341/Mortgage!$B$5&gt;Mortgage!$B$14),Mortgage!$H$5*Mortgage!$B$13/12,0)</f>
        <v/>
      </c>
      <c r="L341" s="147">
        <f>IF(D341&gt;0.005,Mortgage!$B$11/12*(1+Mortgage!$B$16)^(C341-1),0)</f>
        <v/>
      </c>
      <c r="M341" s="147">
        <f>IF(D341&gt;0.005,Mortgage!$B$12/12*(1+Mortgage!$B$16)^(C341-1),0)</f>
        <v/>
      </c>
      <c r="N341" s="147">
        <f>IF(D341&gt;0.005,Mortgage!$B$15,0)</f>
        <v/>
      </c>
      <c r="O341" s="147">
        <f>J341+K341+L341+M341+N341</f>
        <v/>
      </c>
      <c r="P341" s="147">
        <f>P340+E341</f>
        <v/>
      </c>
      <c r="Q341" s="147">
        <f>IF(D341&gt;0.005,Mortgage!$B$5*(1+Mortgage!$B$17)^(A341/12),"")</f>
        <v/>
      </c>
      <c r="R341" s="147">
        <f>IF(D341&gt;0.005,Q341-I341,"")</f>
        <v/>
      </c>
      <c r="S341" s="147">
        <f>IF(A341&gt;Mortgage!$B$8*12,0,IF(Mortgage!$B$7=0,MAX(0,Mortgage!$H$5-Mortgage!$H$8*A341),MAX(0,Mortgage!$H$5*(1+(Mortgage!$B$7/12))^A341-Mortgage!$H$8*((1+(Mortgage!$B$7/12))^A341-1)/(Mortgage!$B$7/12))))</f>
        <v/>
      </c>
      <c r="T341" s="149">
        <f>IF(D341&gt;0.005,I341/Mortgage!$B$5,"")</f>
        <v/>
      </c>
      <c r="U341">
        <f>IF(A341&gt;Mortgage!$B$8*12,NA(),B341)</f>
        <v/>
      </c>
      <c r="V341">
        <f>IF(D341&gt;0.005,I341,NA())</f>
        <v/>
      </c>
      <c r="W341">
        <f>IF(A341&gt;Mortgage!$B$8*12,NA(),S341)</f>
        <v/>
      </c>
    </row>
    <row r="342">
      <c r="A342" s="129" t="n">
        <v>337</v>
      </c>
      <c r="B342" s="146">
        <f>EDATE(Mortgage!$B$9,A342-1)</f>
        <v/>
      </c>
      <c r="C342" s="129">
        <f>INT((A342-1)/12)+1</f>
        <v/>
      </c>
      <c r="D342" s="147">
        <f>IF(N(I341)&gt;0.005,I341,0)</f>
        <v/>
      </c>
      <c r="E342" s="147">
        <f>IF(D342&gt;0.005,D342*Mortgage!$B$7/12,0)</f>
        <v/>
      </c>
      <c r="F342" s="147">
        <f>IF(D342&gt;0.005,MIN(Mortgage!$H$8-E342,D342),0)</f>
        <v/>
      </c>
      <c r="G342" s="147">
        <f>IF(D342-F342&gt;0.005,MIN(D342-F342,Mortgage!$B$18+IF(MONTH(B342)=Mortgage!$B$20,Mortgage!$B$19,0)+SUMIFS(Mortgage!$E$6:$E$15,Mortgage!$D$6:$D$15,"&gt;="&amp;B342,Mortgage!$D$6:$D$15,"&lt;"&amp;EDATE(B342,1))+IF(Mortgage!$B$10="Bi-weekly (accelerated)",Mortgage!$H$8/12,0)),0)</f>
        <v/>
      </c>
      <c r="H342" s="147">
        <f>F342+G342</f>
        <v/>
      </c>
      <c r="I342" s="148">
        <f>D342-H342</f>
        <v/>
      </c>
      <c r="J342" s="147">
        <f>E342+F342+G342</f>
        <v/>
      </c>
      <c r="K342" s="147">
        <f>IF(AND(D342&gt;0.005,Mortgage!$H$7&gt;0.8,D342/Mortgage!$B$5&gt;Mortgage!$B$14),Mortgage!$H$5*Mortgage!$B$13/12,0)</f>
        <v/>
      </c>
      <c r="L342" s="147">
        <f>IF(D342&gt;0.005,Mortgage!$B$11/12*(1+Mortgage!$B$16)^(C342-1),0)</f>
        <v/>
      </c>
      <c r="M342" s="147">
        <f>IF(D342&gt;0.005,Mortgage!$B$12/12*(1+Mortgage!$B$16)^(C342-1),0)</f>
        <v/>
      </c>
      <c r="N342" s="147">
        <f>IF(D342&gt;0.005,Mortgage!$B$15,0)</f>
        <v/>
      </c>
      <c r="O342" s="147">
        <f>J342+K342+L342+M342+N342</f>
        <v/>
      </c>
      <c r="P342" s="147">
        <f>P341+E342</f>
        <v/>
      </c>
      <c r="Q342" s="147">
        <f>IF(D342&gt;0.005,Mortgage!$B$5*(1+Mortgage!$B$17)^(A342/12),"")</f>
        <v/>
      </c>
      <c r="R342" s="147">
        <f>IF(D342&gt;0.005,Q342-I342,"")</f>
        <v/>
      </c>
      <c r="S342" s="147">
        <f>IF(A342&gt;Mortgage!$B$8*12,0,IF(Mortgage!$B$7=0,MAX(0,Mortgage!$H$5-Mortgage!$H$8*A342),MAX(0,Mortgage!$H$5*(1+(Mortgage!$B$7/12))^A342-Mortgage!$H$8*((1+(Mortgage!$B$7/12))^A342-1)/(Mortgage!$B$7/12))))</f>
        <v/>
      </c>
      <c r="T342" s="149">
        <f>IF(D342&gt;0.005,I342/Mortgage!$B$5,"")</f>
        <v/>
      </c>
      <c r="U342">
        <f>IF(A342&gt;Mortgage!$B$8*12,NA(),B342)</f>
        <v/>
      </c>
      <c r="V342">
        <f>IF(D342&gt;0.005,I342,NA())</f>
        <v/>
      </c>
      <c r="W342">
        <f>IF(A342&gt;Mortgage!$B$8*12,NA(),S342)</f>
        <v/>
      </c>
    </row>
    <row r="343">
      <c r="A343" s="129" t="n">
        <v>338</v>
      </c>
      <c r="B343" s="146">
        <f>EDATE(Mortgage!$B$9,A343-1)</f>
        <v/>
      </c>
      <c r="C343" s="129">
        <f>INT((A343-1)/12)+1</f>
        <v/>
      </c>
      <c r="D343" s="147">
        <f>IF(N(I342)&gt;0.005,I342,0)</f>
        <v/>
      </c>
      <c r="E343" s="147">
        <f>IF(D343&gt;0.005,D343*Mortgage!$B$7/12,0)</f>
        <v/>
      </c>
      <c r="F343" s="147">
        <f>IF(D343&gt;0.005,MIN(Mortgage!$H$8-E343,D343),0)</f>
        <v/>
      </c>
      <c r="G343" s="147">
        <f>IF(D343-F343&gt;0.005,MIN(D343-F343,Mortgage!$B$18+IF(MONTH(B343)=Mortgage!$B$20,Mortgage!$B$19,0)+SUMIFS(Mortgage!$E$6:$E$15,Mortgage!$D$6:$D$15,"&gt;="&amp;B343,Mortgage!$D$6:$D$15,"&lt;"&amp;EDATE(B343,1))+IF(Mortgage!$B$10="Bi-weekly (accelerated)",Mortgage!$H$8/12,0)),0)</f>
        <v/>
      </c>
      <c r="H343" s="147">
        <f>F343+G343</f>
        <v/>
      </c>
      <c r="I343" s="148">
        <f>D343-H343</f>
        <v/>
      </c>
      <c r="J343" s="147">
        <f>E343+F343+G343</f>
        <v/>
      </c>
      <c r="K343" s="147">
        <f>IF(AND(D343&gt;0.005,Mortgage!$H$7&gt;0.8,D343/Mortgage!$B$5&gt;Mortgage!$B$14),Mortgage!$H$5*Mortgage!$B$13/12,0)</f>
        <v/>
      </c>
      <c r="L343" s="147">
        <f>IF(D343&gt;0.005,Mortgage!$B$11/12*(1+Mortgage!$B$16)^(C343-1),0)</f>
        <v/>
      </c>
      <c r="M343" s="147">
        <f>IF(D343&gt;0.005,Mortgage!$B$12/12*(1+Mortgage!$B$16)^(C343-1),0)</f>
        <v/>
      </c>
      <c r="N343" s="147">
        <f>IF(D343&gt;0.005,Mortgage!$B$15,0)</f>
        <v/>
      </c>
      <c r="O343" s="147">
        <f>J343+K343+L343+M343+N343</f>
        <v/>
      </c>
      <c r="P343" s="147">
        <f>P342+E343</f>
        <v/>
      </c>
      <c r="Q343" s="147">
        <f>IF(D343&gt;0.005,Mortgage!$B$5*(1+Mortgage!$B$17)^(A343/12),"")</f>
        <v/>
      </c>
      <c r="R343" s="147">
        <f>IF(D343&gt;0.005,Q343-I343,"")</f>
        <v/>
      </c>
      <c r="S343" s="147">
        <f>IF(A343&gt;Mortgage!$B$8*12,0,IF(Mortgage!$B$7=0,MAX(0,Mortgage!$H$5-Mortgage!$H$8*A343),MAX(0,Mortgage!$H$5*(1+(Mortgage!$B$7/12))^A343-Mortgage!$H$8*((1+(Mortgage!$B$7/12))^A343-1)/(Mortgage!$B$7/12))))</f>
        <v/>
      </c>
      <c r="T343" s="149">
        <f>IF(D343&gt;0.005,I343/Mortgage!$B$5,"")</f>
        <v/>
      </c>
      <c r="U343">
        <f>IF(A343&gt;Mortgage!$B$8*12,NA(),B343)</f>
        <v/>
      </c>
      <c r="V343">
        <f>IF(D343&gt;0.005,I343,NA())</f>
        <v/>
      </c>
      <c r="W343">
        <f>IF(A343&gt;Mortgage!$B$8*12,NA(),S343)</f>
        <v/>
      </c>
    </row>
    <row r="344">
      <c r="A344" s="129" t="n">
        <v>339</v>
      </c>
      <c r="B344" s="146">
        <f>EDATE(Mortgage!$B$9,A344-1)</f>
        <v/>
      </c>
      <c r="C344" s="129">
        <f>INT((A344-1)/12)+1</f>
        <v/>
      </c>
      <c r="D344" s="147">
        <f>IF(N(I343)&gt;0.005,I343,0)</f>
        <v/>
      </c>
      <c r="E344" s="147">
        <f>IF(D344&gt;0.005,D344*Mortgage!$B$7/12,0)</f>
        <v/>
      </c>
      <c r="F344" s="147">
        <f>IF(D344&gt;0.005,MIN(Mortgage!$H$8-E344,D344),0)</f>
        <v/>
      </c>
      <c r="G344" s="147">
        <f>IF(D344-F344&gt;0.005,MIN(D344-F344,Mortgage!$B$18+IF(MONTH(B344)=Mortgage!$B$20,Mortgage!$B$19,0)+SUMIFS(Mortgage!$E$6:$E$15,Mortgage!$D$6:$D$15,"&gt;="&amp;B344,Mortgage!$D$6:$D$15,"&lt;"&amp;EDATE(B344,1))+IF(Mortgage!$B$10="Bi-weekly (accelerated)",Mortgage!$H$8/12,0)),0)</f>
        <v/>
      </c>
      <c r="H344" s="147">
        <f>F344+G344</f>
        <v/>
      </c>
      <c r="I344" s="148">
        <f>D344-H344</f>
        <v/>
      </c>
      <c r="J344" s="147">
        <f>E344+F344+G344</f>
        <v/>
      </c>
      <c r="K344" s="147">
        <f>IF(AND(D344&gt;0.005,Mortgage!$H$7&gt;0.8,D344/Mortgage!$B$5&gt;Mortgage!$B$14),Mortgage!$H$5*Mortgage!$B$13/12,0)</f>
        <v/>
      </c>
      <c r="L344" s="147">
        <f>IF(D344&gt;0.005,Mortgage!$B$11/12*(1+Mortgage!$B$16)^(C344-1),0)</f>
        <v/>
      </c>
      <c r="M344" s="147">
        <f>IF(D344&gt;0.005,Mortgage!$B$12/12*(1+Mortgage!$B$16)^(C344-1),0)</f>
        <v/>
      </c>
      <c r="N344" s="147">
        <f>IF(D344&gt;0.005,Mortgage!$B$15,0)</f>
        <v/>
      </c>
      <c r="O344" s="147">
        <f>J344+K344+L344+M344+N344</f>
        <v/>
      </c>
      <c r="P344" s="147">
        <f>P343+E344</f>
        <v/>
      </c>
      <c r="Q344" s="147">
        <f>IF(D344&gt;0.005,Mortgage!$B$5*(1+Mortgage!$B$17)^(A344/12),"")</f>
        <v/>
      </c>
      <c r="R344" s="147">
        <f>IF(D344&gt;0.005,Q344-I344,"")</f>
        <v/>
      </c>
      <c r="S344" s="147">
        <f>IF(A344&gt;Mortgage!$B$8*12,0,IF(Mortgage!$B$7=0,MAX(0,Mortgage!$H$5-Mortgage!$H$8*A344),MAX(0,Mortgage!$H$5*(1+(Mortgage!$B$7/12))^A344-Mortgage!$H$8*((1+(Mortgage!$B$7/12))^A344-1)/(Mortgage!$B$7/12))))</f>
        <v/>
      </c>
      <c r="T344" s="149">
        <f>IF(D344&gt;0.005,I344/Mortgage!$B$5,"")</f>
        <v/>
      </c>
      <c r="U344">
        <f>IF(A344&gt;Mortgage!$B$8*12,NA(),B344)</f>
        <v/>
      </c>
      <c r="V344">
        <f>IF(D344&gt;0.005,I344,NA())</f>
        <v/>
      </c>
      <c r="W344">
        <f>IF(A344&gt;Mortgage!$B$8*12,NA(),S344)</f>
        <v/>
      </c>
    </row>
    <row r="345">
      <c r="A345" s="129" t="n">
        <v>340</v>
      </c>
      <c r="B345" s="146">
        <f>EDATE(Mortgage!$B$9,A345-1)</f>
        <v/>
      </c>
      <c r="C345" s="129">
        <f>INT((A345-1)/12)+1</f>
        <v/>
      </c>
      <c r="D345" s="147">
        <f>IF(N(I344)&gt;0.005,I344,0)</f>
        <v/>
      </c>
      <c r="E345" s="147">
        <f>IF(D345&gt;0.005,D345*Mortgage!$B$7/12,0)</f>
        <v/>
      </c>
      <c r="F345" s="147">
        <f>IF(D345&gt;0.005,MIN(Mortgage!$H$8-E345,D345),0)</f>
        <v/>
      </c>
      <c r="G345" s="147">
        <f>IF(D345-F345&gt;0.005,MIN(D345-F345,Mortgage!$B$18+IF(MONTH(B345)=Mortgage!$B$20,Mortgage!$B$19,0)+SUMIFS(Mortgage!$E$6:$E$15,Mortgage!$D$6:$D$15,"&gt;="&amp;B345,Mortgage!$D$6:$D$15,"&lt;"&amp;EDATE(B345,1))+IF(Mortgage!$B$10="Bi-weekly (accelerated)",Mortgage!$H$8/12,0)),0)</f>
        <v/>
      </c>
      <c r="H345" s="147">
        <f>F345+G345</f>
        <v/>
      </c>
      <c r="I345" s="148">
        <f>D345-H345</f>
        <v/>
      </c>
      <c r="J345" s="147">
        <f>E345+F345+G345</f>
        <v/>
      </c>
      <c r="K345" s="147">
        <f>IF(AND(D345&gt;0.005,Mortgage!$H$7&gt;0.8,D345/Mortgage!$B$5&gt;Mortgage!$B$14),Mortgage!$H$5*Mortgage!$B$13/12,0)</f>
        <v/>
      </c>
      <c r="L345" s="147">
        <f>IF(D345&gt;0.005,Mortgage!$B$11/12*(1+Mortgage!$B$16)^(C345-1),0)</f>
        <v/>
      </c>
      <c r="M345" s="147">
        <f>IF(D345&gt;0.005,Mortgage!$B$12/12*(1+Mortgage!$B$16)^(C345-1),0)</f>
        <v/>
      </c>
      <c r="N345" s="147">
        <f>IF(D345&gt;0.005,Mortgage!$B$15,0)</f>
        <v/>
      </c>
      <c r="O345" s="147">
        <f>J345+K345+L345+M345+N345</f>
        <v/>
      </c>
      <c r="P345" s="147">
        <f>P344+E345</f>
        <v/>
      </c>
      <c r="Q345" s="147">
        <f>IF(D345&gt;0.005,Mortgage!$B$5*(1+Mortgage!$B$17)^(A345/12),"")</f>
        <v/>
      </c>
      <c r="R345" s="147">
        <f>IF(D345&gt;0.005,Q345-I345,"")</f>
        <v/>
      </c>
      <c r="S345" s="147">
        <f>IF(A345&gt;Mortgage!$B$8*12,0,IF(Mortgage!$B$7=0,MAX(0,Mortgage!$H$5-Mortgage!$H$8*A345),MAX(0,Mortgage!$H$5*(1+(Mortgage!$B$7/12))^A345-Mortgage!$H$8*((1+(Mortgage!$B$7/12))^A345-1)/(Mortgage!$B$7/12))))</f>
        <v/>
      </c>
      <c r="T345" s="149">
        <f>IF(D345&gt;0.005,I345/Mortgage!$B$5,"")</f>
        <v/>
      </c>
      <c r="U345">
        <f>IF(A345&gt;Mortgage!$B$8*12,NA(),B345)</f>
        <v/>
      </c>
      <c r="V345">
        <f>IF(D345&gt;0.005,I345,NA())</f>
        <v/>
      </c>
      <c r="W345">
        <f>IF(A345&gt;Mortgage!$B$8*12,NA(),S345)</f>
        <v/>
      </c>
    </row>
    <row r="346">
      <c r="A346" s="129" t="n">
        <v>341</v>
      </c>
      <c r="B346" s="146">
        <f>EDATE(Mortgage!$B$9,A346-1)</f>
        <v/>
      </c>
      <c r="C346" s="129">
        <f>INT((A346-1)/12)+1</f>
        <v/>
      </c>
      <c r="D346" s="147">
        <f>IF(N(I345)&gt;0.005,I345,0)</f>
        <v/>
      </c>
      <c r="E346" s="147">
        <f>IF(D346&gt;0.005,D346*Mortgage!$B$7/12,0)</f>
        <v/>
      </c>
      <c r="F346" s="147">
        <f>IF(D346&gt;0.005,MIN(Mortgage!$H$8-E346,D346),0)</f>
        <v/>
      </c>
      <c r="G346" s="147">
        <f>IF(D346-F346&gt;0.005,MIN(D346-F346,Mortgage!$B$18+IF(MONTH(B346)=Mortgage!$B$20,Mortgage!$B$19,0)+SUMIFS(Mortgage!$E$6:$E$15,Mortgage!$D$6:$D$15,"&gt;="&amp;B346,Mortgage!$D$6:$D$15,"&lt;"&amp;EDATE(B346,1))+IF(Mortgage!$B$10="Bi-weekly (accelerated)",Mortgage!$H$8/12,0)),0)</f>
        <v/>
      </c>
      <c r="H346" s="147">
        <f>F346+G346</f>
        <v/>
      </c>
      <c r="I346" s="148">
        <f>D346-H346</f>
        <v/>
      </c>
      <c r="J346" s="147">
        <f>E346+F346+G346</f>
        <v/>
      </c>
      <c r="K346" s="147">
        <f>IF(AND(D346&gt;0.005,Mortgage!$H$7&gt;0.8,D346/Mortgage!$B$5&gt;Mortgage!$B$14),Mortgage!$H$5*Mortgage!$B$13/12,0)</f>
        <v/>
      </c>
      <c r="L346" s="147">
        <f>IF(D346&gt;0.005,Mortgage!$B$11/12*(1+Mortgage!$B$16)^(C346-1),0)</f>
        <v/>
      </c>
      <c r="M346" s="147">
        <f>IF(D346&gt;0.005,Mortgage!$B$12/12*(1+Mortgage!$B$16)^(C346-1),0)</f>
        <v/>
      </c>
      <c r="N346" s="147">
        <f>IF(D346&gt;0.005,Mortgage!$B$15,0)</f>
        <v/>
      </c>
      <c r="O346" s="147">
        <f>J346+K346+L346+M346+N346</f>
        <v/>
      </c>
      <c r="P346" s="147">
        <f>P345+E346</f>
        <v/>
      </c>
      <c r="Q346" s="147">
        <f>IF(D346&gt;0.005,Mortgage!$B$5*(1+Mortgage!$B$17)^(A346/12),"")</f>
        <v/>
      </c>
      <c r="R346" s="147">
        <f>IF(D346&gt;0.005,Q346-I346,"")</f>
        <v/>
      </c>
      <c r="S346" s="147">
        <f>IF(A346&gt;Mortgage!$B$8*12,0,IF(Mortgage!$B$7=0,MAX(0,Mortgage!$H$5-Mortgage!$H$8*A346),MAX(0,Mortgage!$H$5*(1+(Mortgage!$B$7/12))^A346-Mortgage!$H$8*((1+(Mortgage!$B$7/12))^A346-1)/(Mortgage!$B$7/12))))</f>
        <v/>
      </c>
      <c r="T346" s="149">
        <f>IF(D346&gt;0.005,I346/Mortgage!$B$5,"")</f>
        <v/>
      </c>
      <c r="U346">
        <f>IF(A346&gt;Mortgage!$B$8*12,NA(),B346)</f>
        <v/>
      </c>
      <c r="V346">
        <f>IF(D346&gt;0.005,I346,NA())</f>
        <v/>
      </c>
      <c r="W346">
        <f>IF(A346&gt;Mortgage!$B$8*12,NA(),S346)</f>
        <v/>
      </c>
    </row>
    <row r="347">
      <c r="A347" s="129" t="n">
        <v>342</v>
      </c>
      <c r="B347" s="146">
        <f>EDATE(Mortgage!$B$9,A347-1)</f>
        <v/>
      </c>
      <c r="C347" s="129">
        <f>INT((A347-1)/12)+1</f>
        <v/>
      </c>
      <c r="D347" s="147">
        <f>IF(N(I346)&gt;0.005,I346,0)</f>
        <v/>
      </c>
      <c r="E347" s="147">
        <f>IF(D347&gt;0.005,D347*Mortgage!$B$7/12,0)</f>
        <v/>
      </c>
      <c r="F347" s="147">
        <f>IF(D347&gt;0.005,MIN(Mortgage!$H$8-E347,D347),0)</f>
        <v/>
      </c>
      <c r="G347" s="147">
        <f>IF(D347-F347&gt;0.005,MIN(D347-F347,Mortgage!$B$18+IF(MONTH(B347)=Mortgage!$B$20,Mortgage!$B$19,0)+SUMIFS(Mortgage!$E$6:$E$15,Mortgage!$D$6:$D$15,"&gt;="&amp;B347,Mortgage!$D$6:$D$15,"&lt;"&amp;EDATE(B347,1))+IF(Mortgage!$B$10="Bi-weekly (accelerated)",Mortgage!$H$8/12,0)),0)</f>
        <v/>
      </c>
      <c r="H347" s="147">
        <f>F347+G347</f>
        <v/>
      </c>
      <c r="I347" s="148">
        <f>D347-H347</f>
        <v/>
      </c>
      <c r="J347" s="147">
        <f>E347+F347+G347</f>
        <v/>
      </c>
      <c r="K347" s="147">
        <f>IF(AND(D347&gt;0.005,Mortgage!$H$7&gt;0.8,D347/Mortgage!$B$5&gt;Mortgage!$B$14),Mortgage!$H$5*Mortgage!$B$13/12,0)</f>
        <v/>
      </c>
      <c r="L347" s="147">
        <f>IF(D347&gt;0.005,Mortgage!$B$11/12*(1+Mortgage!$B$16)^(C347-1),0)</f>
        <v/>
      </c>
      <c r="M347" s="147">
        <f>IF(D347&gt;0.005,Mortgage!$B$12/12*(1+Mortgage!$B$16)^(C347-1),0)</f>
        <v/>
      </c>
      <c r="N347" s="147">
        <f>IF(D347&gt;0.005,Mortgage!$B$15,0)</f>
        <v/>
      </c>
      <c r="O347" s="147">
        <f>J347+K347+L347+M347+N347</f>
        <v/>
      </c>
      <c r="P347" s="147">
        <f>P346+E347</f>
        <v/>
      </c>
      <c r="Q347" s="147">
        <f>IF(D347&gt;0.005,Mortgage!$B$5*(1+Mortgage!$B$17)^(A347/12),"")</f>
        <v/>
      </c>
      <c r="R347" s="147">
        <f>IF(D347&gt;0.005,Q347-I347,"")</f>
        <v/>
      </c>
      <c r="S347" s="147">
        <f>IF(A347&gt;Mortgage!$B$8*12,0,IF(Mortgage!$B$7=0,MAX(0,Mortgage!$H$5-Mortgage!$H$8*A347),MAX(0,Mortgage!$H$5*(1+(Mortgage!$B$7/12))^A347-Mortgage!$H$8*((1+(Mortgage!$B$7/12))^A347-1)/(Mortgage!$B$7/12))))</f>
        <v/>
      </c>
      <c r="T347" s="149">
        <f>IF(D347&gt;0.005,I347/Mortgage!$B$5,"")</f>
        <v/>
      </c>
      <c r="U347">
        <f>IF(A347&gt;Mortgage!$B$8*12,NA(),B347)</f>
        <v/>
      </c>
      <c r="V347">
        <f>IF(D347&gt;0.005,I347,NA())</f>
        <v/>
      </c>
      <c r="W347">
        <f>IF(A347&gt;Mortgage!$B$8*12,NA(),S347)</f>
        <v/>
      </c>
    </row>
    <row r="348">
      <c r="A348" s="129" t="n">
        <v>343</v>
      </c>
      <c r="B348" s="146">
        <f>EDATE(Mortgage!$B$9,A348-1)</f>
        <v/>
      </c>
      <c r="C348" s="129">
        <f>INT((A348-1)/12)+1</f>
        <v/>
      </c>
      <c r="D348" s="147">
        <f>IF(N(I347)&gt;0.005,I347,0)</f>
        <v/>
      </c>
      <c r="E348" s="147">
        <f>IF(D348&gt;0.005,D348*Mortgage!$B$7/12,0)</f>
        <v/>
      </c>
      <c r="F348" s="147">
        <f>IF(D348&gt;0.005,MIN(Mortgage!$H$8-E348,D348),0)</f>
        <v/>
      </c>
      <c r="G348" s="147">
        <f>IF(D348-F348&gt;0.005,MIN(D348-F348,Mortgage!$B$18+IF(MONTH(B348)=Mortgage!$B$20,Mortgage!$B$19,0)+SUMIFS(Mortgage!$E$6:$E$15,Mortgage!$D$6:$D$15,"&gt;="&amp;B348,Mortgage!$D$6:$D$15,"&lt;"&amp;EDATE(B348,1))+IF(Mortgage!$B$10="Bi-weekly (accelerated)",Mortgage!$H$8/12,0)),0)</f>
        <v/>
      </c>
      <c r="H348" s="147">
        <f>F348+G348</f>
        <v/>
      </c>
      <c r="I348" s="148">
        <f>D348-H348</f>
        <v/>
      </c>
      <c r="J348" s="147">
        <f>E348+F348+G348</f>
        <v/>
      </c>
      <c r="K348" s="147">
        <f>IF(AND(D348&gt;0.005,Mortgage!$H$7&gt;0.8,D348/Mortgage!$B$5&gt;Mortgage!$B$14),Mortgage!$H$5*Mortgage!$B$13/12,0)</f>
        <v/>
      </c>
      <c r="L348" s="147">
        <f>IF(D348&gt;0.005,Mortgage!$B$11/12*(1+Mortgage!$B$16)^(C348-1),0)</f>
        <v/>
      </c>
      <c r="M348" s="147">
        <f>IF(D348&gt;0.005,Mortgage!$B$12/12*(1+Mortgage!$B$16)^(C348-1),0)</f>
        <v/>
      </c>
      <c r="N348" s="147">
        <f>IF(D348&gt;0.005,Mortgage!$B$15,0)</f>
        <v/>
      </c>
      <c r="O348" s="147">
        <f>J348+K348+L348+M348+N348</f>
        <v/>
      </c>
      <c r="P348" s="147">
        <f>P347+E348</f>
        <v/>
      </c>
      <c r="Q348" s="147">
        <f>IF(D348&gt;0.005,Mortgage!$B$5*(1+Mortgage!$B$17)^(A348/12),"")</f>
        <v/>
      </c>
      <c r="R348" s="147">
        <f>IF(D348&gt;0.005,Q348-I348,"")</f>
        <v/>
      </c>
      <c r="S348" s="147">
        <f>IF(A348&gt;Mortgage!$B$8*12,0,IF(Mortgage!$B$7=0,MAX(0,Mortgage!$H$5-Mortgage!$H$8*A348),MAX(0,Mortgage!$H$5*(1+(Mortgage!$B$7/12))^A348-Mortgage!$H$8*((1+(Mortgage!$B$7/12))^A348-1)/(Mortgage!$B$7/12))))</f>
        <v/>
      </c>
      <c r="T348" s="149">
        <f>IF(D348&gt;0.005,I348/Mortgage!$B$5,"")</f>
        <v/>
      </c>
      <c r="U348">
        <f>IF(A348&gt;Mortgage!$B$8*12,NA(),B348)</f>
        <v/>
      </c>
      <c r="V348">
        <f>IF(D348&gt;0.005,I348,NA())</f>
        <v/>
      </c>
      <c r="W348">
        <f>IF(A348&gt;Mortgage!$B$8*12,NA(),S348)</f>
        <v/>
      </c>
    </row>
    <row r="349">
      <c r="A349" s="129" t="n">
        <v>344</v>
      </c>
      <c r="B349" s="146">
        <f>EDATE(Mortgage!$B$9,A349-1)</f>
        <v/>
      </c>
      <c r="C349" s="129">
        <f>INT((A349-1)/12)+1</f>
        <v/>
      </c>
      <c r="D349" s="147">
        <f>IF(N(I348)&gt;0.005,I348,0)</f>
        <v/>
      </c>
      <c r="E349" s="147">
        <f>IF(D349&gt;0.005,D349*Mortgage!$B$7/12,0)</f>
        <v/>
      </c>
      <c r="F349" s="147">
        <f>IF(D349&gt;0.005,MIN(Mortgage!$H$8-E349,D349),0)</f>
        <v/>
      </c>
      <c r="G349" s="147">
        <f>IF(D349-F349&gt;0.005,MIN(D349-F349,Mortgage!$B$18+IF(MONTH(B349)=Mortgage!$B$20,Mortgage!$B$19,0)+SUMIFS(Mortgage!$E$6:$E$15,Mortgage!$D$6:$D$15,"&gt;="&amp;B349,Mortgage!$D$6:$D$15,"&lt;"&amp;EDATE(B349,1))+IF(Mortgage!$B$10="Bi-weekly (accelerated)",Mortgage!$H$8/12,0)),0)</f>
        <v/>
      </c>
      <c r="H349" s="147">
        <f>F349+G349</f>
        <v/>
      </c>
      <c r="I349" s="148">
        <f>D349-H349</f>
        <v/>
      </c>
      <c r="J349" s="147">
        <f>E349+F349+G349</f>
        <v/>
      </c>
      <c r="K349" s="147">
        <f>IF(AND(D349&gt;0.005,Mortgage!$H$7&gt;0.8,D349/Mortgage!$B$5&gt;Mortgage!$B$14),Mortgage!$H$5*Mortgage!$B$13/12,0)</f>
        <v/>
      </c>
      <c r="L349" s="147">
        <f>IF(D349&gt;0.005,Mortgage!$B$11/12*(1+Mortgage!$B$16)^(C349-1),0)</f>
        <v/>
      </c>
      <c r="M349" s="147">
        <f>IF(D349&gt;0.005,Mortgage!$B$12/12*(1+Mortgage!$B$16)^(C349-1),0)</f>
        <v/>
      </c>
      <c r="N349" s="147">
        <f>IF(D349&gt;0.005,Mortgage!$B$15,0)</f>
        <v/>
      </c>
      <c r="O349" s="147">
        <f>J349+K349+L349+M349+N349</f>
        <v/>
      </c>
      <c r="P349" s="147">
        <f>P348+E349</f>
        <v/>
      </c>
      <c r="Q349" s="147">
        <f>IF(D349&gt;0.005,Mortgage!$B$5*(1+Mortgage!$B$17)^(A349/12),"")</f>
        <v/>
      </c>
      <c r="R349" s="147">
        <f>IF(D349&gt;0.005,Q349-I349,"")</f>
        <v/>
      </c>
      <c r="S349" s="147">
        <f>IF(A349&gt;Mortgage!$B$8*12,0,IF(Mortgage!$B$7=0,MAX(0,Mortgage!$H$5-Mortgage!$H$8*A349),MAX(0,Mortgage!$H$5*(1+(Mortgage!$B$7/12))^A349-Mortgage!$H$8*((1+(Mortgage!$B$7/12))^A349-1)/(Mortgage!$B$7/12))))</f>
        <v/>
      </c>
      <c r="T349" s="149">
        <f>IF(D349&gt;0.005,I349/Mortgage!$B$5,"")</f>
        <v/>
      </c>
      <c r="U349">
        <f>IF(A349&gt;Mortgage!$B$8*12,NA(),B349)</f>
        <v/>
      </c>
      <c r="V349">
        <f>IF(D349&gt;0.005,I349,NA())</f>
        <v/>
      </c>
      <c r="W349">
        <f>IF(A349&gt;Mortgage!$B$8*12,NA(),S349)</f>
        <v/>
      </c>
    </row>
    <row r="350">
      <c r="A350" s="129" t="n">
        <v>345</v>
      </c>
      <c r="B350" s="146">
        <f>EDATE(Mortgage!$B$9,A350-1)</f>
        <v/>
      </c>
      <c r="C350" s="129">
        <f>INT((A350-1)/12)+1</f>
        <v/>
      </c>
      <c r="D350" s="147">
        <f>IF(N(I349)&gt;0.005,I349,0)</f>
        <v/>
      </c>
      <c r="E350" s="147">
        <f>IF(D350&gt;0.005,D350*Mortgage!$B$7/12,0)</f>
        <v/>
      </c>
      <c r="F350" s="147">
        <f>IF(D350&gt;0.005,MIN(Mortgage!$H$8-E350,D350),0)</f>
        <v/>
      </c>
      <c r="G350" s="147">
        <f>IF(D350-F350&gt;0.005,MIN(D350-F350,Mortgage!$B$18+IF(MONTH(B350)=Mortgage!$B$20,Mortgage!$B$19,0)+SUMIFS(Mortgage!$E$6:$E$15,Mortgage!$D$6:$D$15,"&gt;="&amp;B350,Mortgage!$D$6:$D$15,"&lt;"&amp;EDATE(B350,1))+IF(Mortgage!$B$10="Bi-weekly (accelerated)",Mortgage!$H$8/12,0)),0)</f>
        <v/>
      </c>
      <c r="H350" s="147">
        <f>F350+G350</f>
        <v/>
      </c>
      <c r="I350" s="148">
        <f>D350-H350</f>
        <v/>
      </c>
      <c r="J350" s="147">
        <f>E350+F350+G350</f>
        <v/>
      </c>
      <c r="K350" s="147">
        <f>IF(AND(D350&gt;0.005,Mortgage!$H$7&gt;0.8,D350/Mortgage!$B$5&gt;Mortgage!$B$14),Mortgage!$H$5*Mortgage!$B$13/12,0)</f>
        <v/>
      </c>
      <c r="L350" s="147">
        <f>IF(D350&gt;0.005,Mortgage!$B$11/12*(1+Mortgage!$B$16)^(C350-1),0)</f>
        <v/>
      </c>
      <c r="M350" s="147">
        <f>IF(D350&gt;0.005,Mortgage!$B$12/12*(1+Mortgage!$B$16)^(C350-1),0)</f>
        <v/>
      </c>
      <c r="N350" s="147">
        <f>IF(D350&gt;0.005,Mortgage!$B$15,0)</f>
        <v/>
      </c>
      <c r="O350" s="147">
        <f>J350+K350+L350+M350+N350</f>
        <v/>
      </c>
      <c r="P350" s="147">
        <f>P349+E350</f>
        <v/>
      </c>
      <c r="Q350" s="147">
        <f>IF(D350&gt;0.005,Mortgage!$B$5*(1+Mortgage!$B$17)^(A350/12),"")</f>
        <v/>
      </c>
      <c r="R350" s="147">
        <f>IF(D350&gt;0.005,Q350-I350,"")</f>
        <v/>
      </c>
      <c r="S350" s="147">
        <f>IF(A350&gt;Mortgage!$B$8*12,0,IF(Mortgage!$B$7=0,MAX(0,Mortgage!$H$5-Mortgage!$H$8*A350),MAX(0,Mortgage!$H$5*(1+(Mortgage!$B$7/12))^A350-Mortgage!$H$8*((1+(Mortgage!$B$7/12))^A350-1)/(Mortgage!$B$7/12))))</f>
        <v/>
      </c>
      <c r="T350" s="149">
        <f>IF(D350&gt;0.005,I350/Mortgage!$B$5,"")</f>
        <v/>
      </c>
      <c r="U350">
        <f>IF(A350&gt;Mortgage!$B$8*12,NA(),B350)</f>
        <v/>
      </c>
      <c r="V350">
        <f>IF(D350&gt;0.005,I350,NA())</f>
        <v/>
      </c>
      <c r="W350">
        <f>IF(A350&gt;Mortgage!$B$8*12,NA(),S350)</f>
        <v/>
      </c>
    </row>
    <row r="351">
      <c r="A351" s="129" t="n">
        <v>346</v>
      </c>
      <c r="B351" s="146">
        <f>EDATE(Mortgage!$B$9,A351-1)</f>
        <v/>
      </c>
      <c r="C351" s="129">
        <f>INT((A351-1)/12)+1</f>
        <v/>
      </c>
      <c r="D351" s="147">
        <f>IF(N(I350)&gt;0.005,I350,0)</f>
        <v/>
      </c>
      <c r="E351" s="147">
        <f>IF(D351&gt;0.005,D351*Mortgage!$B$7/12,0)</f>
        <v/>
      </c>
      <c r="F351" s="147">
        <f>IF(D351&gt;0.005,MIN(Mortgage!$H$8-E351,D351),0)</f>
        <v/>
      </c>
      <c r="G351" s="147">
        <f>IF(D351-F351&gt;0.005,MIN(D351-F351,Mortgage!$B$18+IF(MONTH(B351)=Mortgage!$B$20,Mortgage!$B$19,0)+SUMIFS(Mortgage!$E$6:$E$15,Mortgage!$D$6:$D$15,"&gt;="&amp;B351,Mortgage!$D$6:$D$15,"&lt;"&amp;EDATE(B351,1))+IF(Mortgage!$B$10="Bi-weekly (accelerated)",Mortgage!$H$8/12,0)),0)</f>
        <v/>
      </c>
      <c r="H351" s="147">
        <f>F351+G351</f>
        <v/>
      </c>
      <c r="I351" s="148">
        <f>D351-H351</f>
        <v/>
      </c>
      <c r="J351" s="147">
        <f>E351+F351+G351</f>
        <v/>
      </c>
      <c r="K351" s="147">
        <f>IF(AND(D351&gt;0.005,Mortgage!$H$7&gt;0.8,D351/Mortgage!$B$5&gt;Mortgage!$B$14),Mortgage!$H$5*Mortgage!$B$13/12,0)</f>
        <v/>
      </c>
      <c r="L351" s="147">
        <f>IF(D351&gt;0.005,Mortgage!$B$11/12*(1+Mortgage!$B$16)^(C351-1),0)</f>
        <v/>
      </c>
      <c r="M351" s="147">
        <f>IF(D351&gt;0.005,Mortgage!$B$12/12*(1+Mortgage!$B$16)^(C351-1),0)</f>
        <v/>
      </c>
      <c r="N351" s="147">
        <f>IF(D351&gt;0.005,Mortgage!$B$15,0)</f>
        <v/>
      </c>
      <c r="O351" s="147">
        <f>J351+K351+L351+M351+N351</f>
        <v/>
      </c>
      <c r="P351" s="147">
        <f>P350+E351</f>
        <v/>
      </c>
      <c r="Q351" s="147">
        <f>IF(D351&gt;0.005,Mortgage!$B$5*(1+Mortgage!$B$17)^(A351/12),"")</f>
        <v/>
      </c>
      <c r="R351" s="147">
        <f>IF(D351&gt;0.005,Q351-I351,"")</f>
        <v/>
      </c>
      <c r="S351" s="147">
        <f>IF(A351&gt;Mortgage!$B$8*12,0,IF(Mortgage!$B$7=0,MAX(0,Mortgage!$H$5-Mortgage!$H$8*A351),MAX(0,Mortgage!$H$5*(1+(Mortgage!$B$7/12))^A351-Mortgage!$H$8*((1+(Mortgage!$B$7/12))^A351-1)/(Mortgage!$B$7/12))))</f>
        <v/>
      </c>
      <c r="T351" s="149">
        <f>IF(D351&gt;0.005,I351/Mortgage!$B$5,"")</f>
        <v/>
      </c>
      <c r="U351">
        <f>IF(A351&gt;Mortgage!$B$8*12,NA(),B351)</f>
        <v/>
      </c>
      <c r="V351">
        <f>IF(D351&gt;0.005,I351,NA())</f>
        <v/>
      </c>
      <c r="W351">
        <f>IF(A351&gt;Mortgage!$B$8*12,NA(),S351)</f>
        <v/>
      </c>
    </row>
    <row r="352">
      <c r="A352" s="129" t="n">
        <v>347</v>
      </c>
      <c r="B352" s="146">
        <f>EDATE(Mortgage!$B$9,A352-1)</f>
        <v/>
      </c>
      <c r="C352" s="129">
        <f>INT((A352-1)/12)+1</f>
        <v/>
      </c>
      <c r="D352" s="147">
        <f>IF(N(I351)&gt;0.005,I351,0)</f>
        <v/>
      </c>
      <c r="E352" s="147">
        <f>IF(D352&gt;0.005,D352*Mortgage!$B$7/12,0)</f>
        <v/>
      </c>
      <c r="F352" s="147">
        <f>IF(D352&gt;0.005,MIN(Mortgage!$H$8-E352,D352),0)</f>
        <v/>
      </c>
      <c r="G352" s="147">
        <f>IF(D352-F352&gt;0.005,MIN(D352-F352,Mortgage!$B$18+IF(MONTH(B352)=Mortgage!$B$20,Mortgage!$B$19,0)+SUMIFS(Mortgage!$E$6:$E$15,Mortgage!$D$6:$D$15,"&gt;="&amp;B352,Mortgage!$D$6:$D$15,"&lt;"&amp;EDATE(B352,1))+IF(Mortgage!$B$10="Bi-weekly (accelerated)",Mortgage!$H$8/12,0)),0)</f>
        <v/>
      </c>
      <c r="H352" s="147">
        <f>F352+G352</f>
        <v/>
      </c>
      <c r="I352" s="148">
        <f>D352-H352</f>
        <v/>
      </c>
      <c r="J352" s="147">
        <f>E352+F352+G352</f>
        <v/>
      </c>
      <c r="K352" s="147">
        <f>IF(AND(D352&gt;0.005,Mortgage!$H$7&gt;0.8,D352/Mortgage!$B$5&gt;Mortgage!$B$14),Mortgage!$H$5*Mortgage!$B$13/12,0)</f>
        <v/>
      </c>
      <c r="L352" s="147">
        <f>IF(D352&gt;0.005,Mortgage!$B$11/12*(1+Mortgage!$B$16)^(C352-1),0)</f>
        <v/>
      </c>
      <c r="M352" s="147">
        <f>IF(D352&gt;0.005,Mortgage!$B$12/12*(1+Mortgage!$B$16)^(C352-1),0)</f>
        <v/>
      </c>
      <c r="N352" s="147">
        <f>IF(D352&gt;0.005,Mortgage!$B$15,0)</f>
        <v/>
      </c>
      <c r="O352" s="147">
        <f>J352+K352+L352+M352+N352</f>
        <v/>
      </c>
      <c r="P352" s="147">
        <f>P351+E352</f>
        <v/>
      </c>
      <c r="Q352" s="147">
        <f>IF(D352&gt;0.005,Mortgage!$B$5*(1+Mortgage!$B$17)^(A352/12),"")</f>
        <v/>
      </c>
      <c r="R352" s="147">
        <f>IF(D352&gt;0.005,Q352-I352,"")</f>
        <v/>
      </c>
      <c r="S352" s="147">
        <f>IF(A352&gt;Mortgage!$B$8*12,0,IF(Mortgage!$B$7=0,MAX(0,Mortgage!$H$5-Mortgage!$H$8*A352),MAX(0,Mortgage!$H$5*(1+(Mortgage!$B$7/12))^A352-Mortgage!$H$8*((1+(Mortgage!$B$7/12))^A352-1)/(Mortgage!$B$7/12))))</f>
        <v/>
      </c>
      <c r="T352" s="149">
        <f>IF(D352&gt;0.005,I352/Mortgage!$B$5,"")</f>
        <v/>
      </c>
      <c r="U352">
        <f>IF(A352&gt;Mortgage!$B$8*12,NA(),B352)</f>
        <v/>
      </c>
      <c r="V352">
        <f>IF(D352&gt;0.005,I352,NA())</f>
        <v/>
      </c>
      <c r="W352">
        <f>IF(A352&gt;Mortgage!$B$8*12,NA(),S352)</f>
        <v/>
      </c>
    </row>
    <row r="353">
      <c r="A353" s="129" t="n">
        <v>348</v>
      </c>
      <c r="B353" s="146">
        <f>EDATE(Mortgage!$B$9,A353-1)</f>
        <v/>
      </c>
      <c r="C353" s="129">
        <f>INT((A353-1)/12)+1</f>
        <v/>
      </c>
      <c r="D353" s="147">
        <f>IF(N(I352)&gt;0.005,I352,0)</f>
        <v/>
      </c>
      <c r="E353" s="147">
        <f>IF(D353&gt;0.005,D353*Mortgage!$B$7/12,0)</f>
        <v/>
      </c>
      <c r="F353" s="147">
        <f>IF(D353&gt;0.005,MIN(Mortgage!$H$8-E353,D353),0)</f>
        <v/>
      </c>
      <c r="G353" s="147">
        <f>IF(D353-F353&gt;0.005,MIN(D353-F353,Mortgage!$B$18+IF(MONTH(B353)=Mortgage!$B$20,Mortgage!$B$19,0)+SUMIFS(Mortgage!$E$6:$E$15,Mortgage!$D$6:$D$15,"&gt;="&amp;B353,Mortgage!$D$6:$D$15,"&lt;"&amp;EDATE(B353,1))+IF(Mortgage!$B$10="Bi-weekly (accelerated)",Mortgage!$H$8/12,0)),0)</f>
        <v/>
      </c>
      <c r="H353" s="147">
        <f>F353+G353</f>
        <v/>
      </c>
      <c r="I353" s="148">
        <f>D353-H353</f>
        <v/>
      </c>
      <c r="J353" s="147">
        <f>E353+F353+G353</f>
        <v/>
      </c>
      <c r="K353" s="147">
        <f>IF(AND(D353&gt;0.005,Mortgage!$H$7&gt;0.8,D353/Mortgage!$B$5&gt;Mortgage!$B$14),Mortgage!$H$5*Mortgage!$B$13/12,0)</f>
        <v/>
      </c>
      <c r="L353" s="147">
        <f>IF(D353&gt;0.005,Mortgage!$B$11/12*(1+Mortgage!$B$16)^(C353-1),0)</f>
        <v/>
      </c>
      <c r="M353" s="147">
        <f>IF(D353&gt;0.005,Mortgage!$B$12/12*(1+Mortgage!$B$16)^(C353-1),0)</f>
        <v/>
      </c>
      <c r="N353" s="147">
        <f>IF(D353&gt;0.005,Mortgage!$B$15,0)</f>
        <v/>
      </c>
      <c r="O353" s="147">
        <f>J353+K353+L353+M353+N353</f>
        <v/>
      </c>
      <c r="P353" s="147">
        <f>P352+E353</f>
        <v/>
      </c>
      <c r="Q353" s="147">
        <f>IF(D353&gt;0.005,Mortgage!$B$5*(1+Mortgage!$B$17)^(A353/12),"")</f>
        <v/>
      </c>
      <c r="R353" s="147">
        <f>IF(D353&gt;0.005,Q353-I353,"")</f>
        <v/>
      </c>
      <c r="S353" s="147">
        <f>IF(A353&gt;Mortgage!$B$8*12,0,IF(Mortgage!$B$7=0,MAX(0,Mortgage!$H$5-Mortgage!$H$8*A353),MAX(0,Mortgage!$H$5*(1+(Mortgage!$B$7/12))^A353-Mortgage!$H$8*((1+(Mortgage!$B$7/12))^A353-1)/(Mortgage!$B$7/12))))</f>
        <v/>
      </c>
      <c r="T353" s="149">
        <f>IF(D353&gt;0.005,I353/Mortgage!$B$5,"")</f>
        <v/>
      </c>
      <c r="U353">
        <f>IF(A353&gt;Mortgage!$B$8*12,NA(),B353)</f>
        <v/>
      </c>
      <c r="V353">
        <f>IF(D353&gt;0.005,I353,NA())</f>
        <v/>
      </c>
      <c r="W353">
        <f>IF(A353&gt;Mortgage!$B$8*12,NA(),S353)</f>
        <v/>
      </c>
    </row>
    <row r="354">
      <c r="A354" s="129" t="n">
        <v>349</v>
      </c>
      <c r="B354" s="146">
        <f>EDATE(Mortgage!$B$9,A354-1)</f>
        <v/>
      </c>
      <c r="C354" s="129">
        <f>INT((A354-1)/12)+1</f>
        <v/>
      </c>
      <c r="D354" s="147">
        <f>IF(N(I353)&gt;0.005,I353,0)</f>
        <v/>
      </c>
      <c r="E354" s="147">
        <f>IF(D354&gt;0.005,D354*Mortgage!$B$7/12,0)</f>
        <v/>
      </c>
      <c r="F354" s="147">
        <f>IF(D354&gt;0.005,MIN(Mortgage!$H$8-E354,D354),0)</f>
        <v/>
      </c>
      <c r="G354" s="147">
        <f>IF(D354-F354&gt;0.005,MIN(D354-F354,Mortgage!$B$18+IF(MONTH(B354)=Mortgage!$B$20,Mortgage!$B$19,0)+SUMIFS(Mortgage!$E$6:$E$15,Mortgage!$D$6:$D$15,"&gt;="&amp;B354,Mortgage!$D$6:$D$15,"&lt;"&amp;EDATE(B354,1))+IF(Mortgage!$B$10="Bi-weekly (accelerated)",Mortgage!$H$8/12,0)),0)</f>
        <v/>
      </c>
      <c r="H354" s="147">
        <f>F354+G354</f>
        <v/>
      </c>
      <c r="I354" s="148">
        <f>D354-H354</f>
        <v/>
      </c>
      <c r="J354" s="147">
        <f>E354+F354+G354</f>
        <v/>
      </c>
      <c r="K354" s="147">
        <f>IF(AND(D354&gt;0.005,Mortgage!$H$7&gt;0.8,D354/Mortgage!$B$5&gt;Mortgage!$B$14),Mortgage!$H$5*Mortgage!$B$13/12,0)</f>
        <v/>
      </c>
      <c r="L354" s="147">
        <f>IF(D354&gt;0.005,Mortgage!$B$11/12*(1+Mortgage!$B$16)^(C354-1),0)</f>
        <v/>
      </c>
      <c r="M354" s="147">
        <f>IF(D354&gt;0.005,Mortgage!$B$12/12*(1+Mortgage!$B$16)^(C354-1),0)</f>
        <v/>
      </c>
      <c r="N354" s="147">
        <f>IF(D354&gt;0.005,Mortgage!$B$15,0)</f>
        <v/>
      </c>
      <c r="O354" s="147">
        <f>J354+K354+L354+M354+N354</f>
        <v/>
      </c>
      <c r="P354" s="147">
        <f>P353+E354</f>
        <v/>
      </c>
      <c r="Q354" s="147">
        <f>IF(D354&gt;0.005,Mortgage!$B$5*(1+Mortgage!$B$17)^(A354/12),"")</f>
        <v/>
      </c>
      <c r="R354" s="147">
        <f>IF(D354&gt;0.005,Q354-I354,"")</f>
        <v/>
      </c>
      <c r="S354" s="147">
        <f>IF(A354&gt;Mortgage!$B$8*12,0,IF(Mortgage!$B$7=0,MAX(0,Mortgage!$H$5-Mortgage!$H$8*A354),MAX(0,Mortgage!$H$5*(1+(Mortgage!$B$7/12))^A354-Mortgage!$H$8*((1+(Mortgage!$B$7/12))^A354-1)/(Mortgage!$B$7/12))))</f>
        <v/>
      </c>
      <c r="T354" s="149">
        <f>IF(D354&gt;0.005,I354/Mortgage!$B$5,"")</f>
        <v/>
      </c>
      <c r="U354">
        <f>IF(A354&gt;Mortgage!$B$8*12,NA(),B354)</f>
        <v/>
      </c>
      <c r="V354">
        <f>IF(D354&gt;0.005,I354,NA())</f>
        <v/>
      </c>
      <c r="W354">
        <f>IF(A354&gt;Mortgage!$B$8*12,NA(),S354)</f>
        <v/>
      </c>
    </row>
    <row r="355">
      <c r="A355" s="129" t="n">
        <v>350</v>
      </c>
      <c r="B355" s="146">
        <f>EDATE(Mortgage!$B$9,A355-1)</f>
        <v/>
      </c>
      <c r="C355" s="129">
        <f>INT((A355-1)/12)+1</f>
        <v/>
      </c>
      <c r="D355" s="147">
        <f>IF(N(I354)&gt;0.005,I354,0)</f>
        <v/>
      </c>
      <c r="E355" s="147">
        <f>IF(D355&gt;0.005,D355*Mortgage!$B$7/12,0)</f>
        <v/>
      </c>
      <c r="F355" s="147">
        <f>IF(D355&gt;0.005,MIN(Mortgage!$H$8-E355,D355),0)</f>
        <v/>
      </c>
      <c r="G355" s="147">
        <f>IF(D355-F355&gt;0.005,MIN(D355-F355,Mortgage!$B$18+IF(MONTH(B355)=Mortgage!$B$20,Mortgage!$B$19,0)+SUMIFS(Mortgage!$E$6:$E$15,Mortgage!$D$6:$D$15,"&gt;="&amp;B355,Mortgage!$D$6:$D$15,"&lt;"&amp;EDATE(B355,1))+IF(Mortgage!$B$10="Bi-weekly (accelerated)",Mortgage!$H$8/12,0)),0)</f>
        <v/>
      </c>
      <c r="H355" s="147">
        <f>F355+G355</f>
        <v/>
      </c>
      <c r="I355" s="148">
        <f>D355-H355</f>
        <v/>
      </c>
      <c r="J355" s="147">
        <f>E355+F355+G355</f>
        <v/>
      </c>
      <c r="K355" s="147">
        <f>IF(AND(D355&gt;0.005,Mortgage!$H$7&gt;0.8,D355/Mortgage!$B$5&gt;Mortgage!$B$14),Mortgage!$H$5*Mortgage!$B$13/12,0)</f>
        <v/>
      </c>
      <c r="L355" s="147">
        <f>IF(D355&gt;0.005,Mortgage!$B$11/12*(1+Mortgage!$B$16)^(C355-1),0)</f>
        <v/>
      </c>
      <c r="M355" s="147">
        <f>IF(D355&gt;0.005,Mortgage!$B$12/12*(1+Mortgage!$B$16)^(C355-1),0)</f>
        <v/>
      </c>
      <c r="N355" s="147">
        <f>IF(D355&gt;0.005,Mortgage!$B$15,0)</f>
        <v/>
      </c>
      <c r="O355" s="147">
        <f>J355+K355+L355+M355+N355</f>
        <v/>
      </c>
      <c r="P355" s="147">
        <f>P354+E355</f>
        <v/>
      </c>
      <c r="Q355" s="147">
        <f>IF(D355&gt;0.005,Mortgage!$B$5*(1+Mortgage!$B$17)^(A355/12),"")</f>
        <v/>
      </c>
      <c r="R355" s="147">
        <f>IF(D355&gt;0.005,Q355-I355,"")</f>
        <v/>
      </c>
      <c r="S355" s="147">
        <f>IF(A355&gt;Mortgage!$B$8*12,0,IF(Mortgage!$B$7=0,MAX(0,Mortgage!$H$5-Mortgage!$H$8*A355),MAX(0,Mortgage!$H$5*(1+(Mortgage!$B$7/12))^A355-Mortgage!$H$8*((1+(Mortgage!$B$7/12))^A355-1)/(Mortgage!$B$7/12))))</f>
        <v/>
      </c>
      <c r="T355" s="149">
        <f>IF(D355&gt;0.005,I355/Mortgage!$B$5,"")</f>
        <v/>
      </c>
      <c r="U355">
        <f>IF(A355&gt;Mortgage!$B$8*12,NA(),B355)</f>
        <v/>
      </c>
      <c r="V355">
        <f>IF(D355&gt;0.005,I355,NA())</f>
        <v/>
      </c>
      <c r="W355">
        <f>IF(A355&gt;Mortgage!$B$8*12,NA(),S355)</f>
        <v/>
      </c>
    </row>
    <row r="356">
      <c r="A356" s="129" t="n">
        <v>351</v>
      </c>
      <c r="B356" s="146">
        <f>EDATE(Mortgage!$B$9,A356-1)</f>
        <v/>
      </c>
      <c r="C356" s="129">
        <f>INT((A356-1)/12)+1</f>
        <v/>
      </c>
      <c r="D356" s="147">
        <f>IF(N(I355)&gt;0.005,I355,0)</f>
        <v/>
      </c>
      <c r="E356" s="147">
        <f>IF(D356&gt;0.005,D356*Mortgage!$B$7/12,0)</f>
        <v/>
      </c>
      <c r="F356" s="147">
        <f>IF(D356&gt;0.005,MIN(Mortgage!$H$8-E356,D356),0)</f>
        <v/>
      </c>
      <c r="G356" s="147">
        <f>IF(D356-F356&gt;0.005,MIN(D356-F356,Mortgage!$B$18+IF(MONTH(B356)=Mortgage!$B$20,Mortgage!$B$19,0)+SUMIFS(Mortgage!$E$6:$E$15,Mortgage!$D$6:$D$15,"&gt;="&amp;B356,Mortgage!$D$6:$D$15,"&lt;"&amp;EDATE(B356,1))+IF(Mortgage!$B$10="Bi-weekly (accelerated)",Mortgage!$H$8/12,0)),0)</f>
        <v/>
      </c>
      <c r="H356" s="147">
        <f>F356+G356</f>
        <v/>
      </c>
      <c r="I356" s="148">
        <f>D356-H356</f>
        <v/>
      </c>
      <c r="J356" s="147">
        <f>E356+F356+G356</f>
        <v/>
      </c>
      <c r="K356" s="147">
        <f>IF(AND(D356&gt;0.005,Mortgage!$H$7&gt;0.8,D356/Mortgage!$B$5&gt;Mortgage!$B$14),Mortgage!$H$5*Mortgage!$B$13/12,0)</f>
        <v/>
      </c>
      <c r="L356" s="147">
        <f>IF(D356&gt;0.005,Mortgage!$B$11/12*(1+Mortgage!$B$16)^(C356-1),0)</f>
        <v/>
      </c>
      <c r="M356" s="147">
        <f>IF(D356&gt;0.005,Mortgage!$B$12/12*(1+Mortgage!$B$16)^(C356-1),0)</f>
        <v/>
      </c>
      <c r="N356" s="147">
        <f>IF(D356&gt;0.005,Mortgage!$B$15,0)</f>
        <v/>
      </c>
      <c r="O356" s="147">
        <f>J356+K356+L356+M356+N356</f>
        <v/>
      </c>
      <c r="P356" s="147">
        <f>P355+E356</f>
        <v/>
      </c>
      <c r="Q356" s="147">
        <f>IF(D356&gt;0.005,Mortgage!$B$5*(1+Mortgage!$B$17)^(A356/12),"")</f>
        <v/>
      </c>
      <c r="R356" s="147">
        <f>IF(D356&gt;0.005,Q356-I356,"")</f>
        <v/>
      </c>
      <c r="S356" s="147">
        <f>IF(A356&gt;Mortgage!$B$8*12,0,IF(Mortgage!$B$7=0,MAX(0,Mortgage!$H$5-Mortgage!$H$8*A356),MAX(0,Mortgage!$H$5*(1+(Mortgage!$B$7/12))^A356-Mortgage!$H$8*((1+(Mortgage!$B$7/12))^A356-1)/(Mortgage!$B$7/12))))</f>
        <v/>
      </c>
      <c r="T356" s="149">
        <f>IF(D356&gt;0.005,I356/Mortgage!$B$5,"")</f>
        <v/>
      </c>
      <c r="U356">
        <f>IF(A356&gt;Mortgage!$B$8*12,NA(),B356)</f>
        <v/>
      </c>
      <c r="V356">
        <f>IF(D356&gt;0.005,I356,NA())</f>
        <v/>
      </c>
      <c r="W356">
        <f>IF(A356&gt;Mortgage!$B$8*12,NA(),S356)</f>
        <v/>
      </c>
    </row>
    <row r="357">
      <c r="A357" s="129" t="n">
        <v>352</v>
      </c>
      <c r="B357" s="146">
        <f>EDATE(Mortgage!$B$9,A357-1)</f>
        <v/>
      </c>
      <c r="C357" s="129">
        <f>INT((A357-1)/12)+1</f>
        <v/>
      </c>
      <c r="D357" s="147">
        <f>IF(N(I356)&gt;0.005,I356,0)</f>
        <v/>
      </c>
      <c r="E357" s="147">
        <f>IF(D357&gt;0.005,D357*Mortgage!$B$7/12,0)</f>
        <v/>
      </c>
      <c r="F357" s="147">
        <f>IF(D357&gt;0.005,MIN(Mortgage!$H$8-E357,D357),0)</f>
        <v/>
      </c>
      <c r="G357" s="147">
        <f>IF(D357-F357&gt;0.005,MIN(D357-F357,Mortgage!$B$18+IF(MONTH(B357)=Mortgage!$B$20,Mortgage!$B$19,0)+SUMIFS(Mortgage!$E$6:$E$15,Mortgage!$D$6:$D$15,"&gt;="&amp;B357,Mortgage!$D$6:$D$15,"&lt;"&amp;EDATE(B357,1))+IF(Mortgage!$B$10="Bi-weekly (accelerated)",Mortgage!$H$8/12,0)),0)</f>
        <v/>
      </c>
      <c r="H357" s="147">
        <f>F357+G357</f>
        <v/>
      </c>
      <c r="I357" s="148">
        <f>D357-H357</f>
        <v/>
      </c>
      <c r="J357" s="147">
        <f>E357+F357+G357</f>
        <v/>
      </c>
      <c r="K357" s="147">
        <f>IF(AND(D357&gt;0.005,Mortgage!$H$7&gt;0.8,D357/Mortgage!$B$5&gt;Mortgage!$B$14),Mortgage!$H$5*Mortgage!$B$13/12,0)</f>
        <v/>
      </c>
      <c r="L357" s="147">
        <f>IF(D357&gt;0.005,Mortgage!$B$11/12*(1+Mortgage!$B$16)^(C357-1),0)</f>
        <v/>
      </c>
      <c r="M357" s="147">
        <f>IF(D357&gt;0.005,Mortgage!$B$12/12*(1+Mortgage!$B$16)^(C357-1),0)</f>
        <v/>
      </c>
      <c r="N357" s="147">
        <f>IF(D357&gt;0.005,Mortgage!$B$15,0)</f>
        <v/>
      </c>
      <c r="O357" s="147">
        <f>J357+K357+L357+M357+N357</f>
        <v/>
      </c>
      <c r="P357" s="147">
        <f>P356+E357</f>
        <v/>
      </c>
      <c r="Q357" s="147">
        <f>IF(D357&gt;0.005,Mortgage!$B$5*(1+Mortgage!$B$17)^(A357/12),"")</f>
        <v/>
      </c>
      <c r="R357" s="147">
        <f>IF(D357&gt;0.005,Q357-I357,"")</f>
        <v/>
      </c>
      <c r="S357" s="147">
        <f>IF(A357&gt;Mortgage!$B$8*12,0,IF(Mortgage!$B$7=0,MAX(0,Mortgage!$H$5-Mortgage!$H$8*A357),MAX(0,Mortgage!$H$5*(1+(Mortgage!$B$7/12))^A357-Mortgage!$H$8*((1+(Mortgage!$B$7/12))^A357-1)/(Mortgage!$B$7/12))))</f>
        <v/>
      </c>
      <c r="T357" s="149">
        <f>IF(D357&gt;0.005,I357/Mortgage!$B$5,"")</f>
        <v/>
      </c>
      <c r="U357">
        <f>IF(A357&gt;Mortgage!$B$8*12,NA(),B357)</f>
        <v/>
      </c>
      <c r="V357">
        <f>IF(D357&gt;0.005,I357,NA())</f>
        <v/>
      </c>
      <c r="W357">
        <f>IF(A357&gt;Mortgage!$B$8*12,NA(),S357)</f>
        <v/>
      </c>
    </row>
    <row r="358">
      <c r="A358" s="129" t="n">
        <v>353</v>
      </c>
      <c r="B358" s="146">
        <f>EDATE(Mortgage!$B$9,A358-1)</f>
        <v/>
      </c>
      <c r="C358" s="129">
        <f>INT((A358-1)/12)+1</f>
        <v/>
      </c>
      <c r="D358" s="147">
        <f>IF(N(I357)&gt;0.005,I357,0)</f>
        <v/>
      </c>
      <c r="E358" s="147">
        <f>IF(D358&gt;0.005,D358*Mortgage!$B$7/12,0)</f>
        <v/>
      </c>
      <c r="F358" s="147">
        <f>IF(D358&gt;0.005,MIN(Mortgage!$H$8-E358,D358),0)</f>
        <v/>
      </c>
      <c r="G358" s="147">
        <f>IF(D358-F358&gt;0.005,MIN(D358-F358,Mortgage!$B$18+IF(MONTH(B358)=Mortgage!$B$20,Mortgage!$B$19,0)+SUMIFS(Mortgage!$E$6:$E$15,Mortgage!$D$6:$D$15,"&gt;="&amp;B358,Mortgage!$D$6:$D$15,"&lt;"&amp;EDATE(B358,1))+IF(Mortgage!$B$10="Bi-weekly (accelerated)",Mortgage!$H$8/12,0)),0)</f>
        <v/>
      </c>
      <c r="H358" s="147">
        <f>F358+G358</f>
        <v/>
      </c>
      <c r="I358" s="148">
        <f>D358-H358</f>
        <v/>
      </c>
      <c r="J358" s="147">
        <f>E358+F358+G358</f>
        <v/>
      </c>
      <c r="K358" s="147">
        <f>IF(AND(D358&gt;0.005,Mortgage!$H$7&gt;0.8,D358/Mortgage!$B$5&gt;Mortgage!$B$14),Mortgage!$H$5*Mortgage!$B$13/12,0)</f>
        <v/>
      </c>
      <c r="L358" s="147">
        <f>IF(D358&gt;0.005,Mortgage!$B$11/12*(1+Mortgage!$B$16)^(C358-1),0)</f>
        <v/>
      </c>
      <c r="M358" s="147">
        <f>IF(D358&gt;0.005,Mortgage!$B$12/12*(1+Mortgage!$B$16)^(C358-1),0)</f>
        <v/>
      </c>
      <c r="N358" s="147">
        <f>IF(D358&gt;0.005,Mortgage!$B$15,0)</f>
        <v/>
      </c>
      <c r="O358" s="147">
        <f>J358+K358+L358+M358+N358</f>
        <v/>
      </c>
      <c r="P358" s="147">
        <f>P357+E358</f>
        <v/>
      </c>
      <c r="Q358" s="147">
        <f>IF(D358&gt;0.005,Mortgage!$B$5*(1+Mortgage!$B$17)^(A358/12),"")</f>
        <v/>
      </c>
      <c r="R358" s="147">
        <f>IF(D358&gt;0.005,Q358-I358,"")</f>
        <v/>
      </c>
      <c r="S358" s="147">
        <f>IF(A358&gt;Mortgage!$B$8*12,0,IF(Mortgage!$B$7=0,MAX(0,Mortgage!$H$5-Mortgage!$H$8*A358),MAX(0,Mortgage!$H$5*(1+(Mortgage!$B$7/12))^A358-Mortgage!$H$8*((1+(Mortgage!$B$7/12))^A358-1)/(Mortgage!$B$7/12))))</f>
        <v/>
      </c>
      <c r="T358" s="149">
        <f>IF(D358&gt;0.005,I358/Mortgage!$B$5,"")</f>
        <v/>
      </c>
      <c r="U358">
        <f>IF(A358&gt;Mortgage!$B$8*12,NA(),B358)</f>
        <v/>
      </c>
      <c r="V358">
        <f>IF(D358&gt;0.005,I358,NA())</f>
        <v/>
      </c>
      <c r="W358">
        <f>IF(A358&gt;Mortgage!$B$8*12,NA(),S358)</f>
        <v/>
      </c>
    </row>
    <row r="359">
      <c r="A359" s="129" t="n">
        <v>354</v>
      </c>
      <c r="B359" s="146">
        <f>EDATE(Mortgage!$B$9,A359-1)</f>
        <v/>
      </c>
      <c r="C359" s="129">
        <f>INT((A359-1)/12)+1</f>
        <v/>
      </c>
      <c r="D359" s="147">
        <f>IF(N(I358)&gt;0.005,I358,0)</f>
        <v/>
      </c>
      <c r="E359" s="147">
        <f>IF(D359&gt;0.005,D359*Mortgage!$B$7/12,0)</f>
        <v/>
      </c>
      <c r="F359" s="147">
        <f>IF(D359&gt;0.005,MIN(Mortgage!$H$8-E359,D359),0)</f>
        <v/>
      </c>
      <c r="G359" s="147">
        <f>IF(D359-F359&gt;0.005,MIN(D359-F359,Mortgage!$B$18+IF(MONTH(B359)=Mortgage!$B$20,Mortgage!$B$19,0)+SUMIFS(Mortgage!$E$6:$E$15,Mortgage!$D$6:$D$15,"&gt;="&amp;B359,Mortgage!$D$6:$D$15,"&lt;"&amp;EDATE(B359,1))+IF(Mortgage!$B$10="Bi-weekly (accelerated)",Mortgage!$H$8/12,0)),0)</f>
        <v/>
      </c>
      <c r="H359" s="147">
        <f>F359+G359</f>
        <v/>
      </c>
      <c r="I359" s="148">
        <f>D359-H359</f>
        <v/>
      </c>
      <c r="J359" s="147">
        <f>E359+F359+G359</f>
        <v/>
      </c>
      <c r="K359" s="147">
        <f>IF(AND(D359&gt;0.005,Mortgage!$H$7&gt;0.8,D359/Mortgage!$B$5&gt;Mortgage!$B$14),Mortgage!$H$5*Mortgage!$B$13/12,0)</f>
        <v/>
      </c>
      <c r="L359" s="147">
        <f>IF(D359&gt;0.005,Mortgage!$B$11/12*(1+Mortgage!$B$16)^(C359-1),0)</f>
        <v/>
      </c>
      <c r="M359" s="147">
        <f>IF(D359&gt;0.005,Mortgage!$B$12/12*(1+Mortgage!$B$16)^(C359-1),0)</f>
        <v/>
      </c>
      <c r="N359" s="147">
        <f>IF(D359&gt;0.005,Mortgage!$B$15,0)</f>
        <v/>
      </c>
      <c r="O359" s="147">
        <f>J359+K359+L359+M359+N359</f>
        <v/>
      </c>
      <c r="P359" s="147">
        <f>P358+E359</f>
        <v/>
      </c>
      <c r="Q359" s="147">
        <f>IF(D359&gt;0.005,Mortgage!$B$5*(1+Mortgage!$B$17)^(A359/12),"")</f>
        <v/>
      </c>
      <c r="R359" s="147">
        <f>IF(D359&gt;0.005,Q359-I359,"")</f>
        <v/>
      </c>
      <c r="S359" s="147">
        <f>IF(A359&gt;Mortgage!$B$8*12,0,IF(Mortgage!$B$7=0,MAX(0,Mortgage!$H$5-Mortgage!$H$8*A359),MAX(0,Mortgage!$H$5*(1+(Mortgage!$B$7/12))^A359-Mortgage!$H$8*((1+(Mortgage!$B$7/12))^A359-1)/(Mortgage!$B$7/12))))</f>
        <v/>
      </c>
      <c r="T359" s="149">
        <f>IF(D359&gt;0.005,I359/Mortgage!$B$5,"")</f>
        <v/>
      </c>
      <c r="U359">
        <f>IF(A359&gt;Mortgage!$B$8*12,NA(),B359)</f>
        <v/>
      </c>
      <c r="V359">
        <f>IF(D359&gt;0.005,I359,NA())</f>
        <v/>
      </c>
      <c r="W359">
        <f>IF(A359&gt;Mortgage!$B$8*12,NA(),S359)</f>
        <v/>
      </c>
    </row>
    <row r="360">
      <c r="A360" s="129" t="n">
        <v>355</v>
      </c>
      <c r="B360" s="146">
        <f>EDATE(Mortgage!$B$9,A360-1)</f>
        <v/>
      </c>
      <c r="C360" s="129">
        <f>INT((A360-1)/12)+1</f>
        <v/>
      </c>
      <c r="D360" s="147">
        <f>IF(N(I359)&gt;0.005,I359,0)</f>
        <v/>
      </c>
      <c r="E360" s="147">
        <f>IF(D360&gt;0.005,D360*Mortgage!$B$7/12,0)</f>
        <v/>
      </c>
      <c r="F360" s="147">
        <f>IF(D360&gt;0.005,MIN(Mortgage!$H$8-E360,D360),0)</f>
        <v/>
      </c>
      <c r="G360" s="147">
        <f>IF(D360-F360&gt;0.005,MIN(D360-F360,Mortgage!$B$18+IF(MONTH(B360)=Mortgage!$B$20,Mortgage!$B$19,0)+SUMIFS(Mortgage!$E$6:$E$15,Mortgage!$D$6:$D$15,"&gt;="&amp;B360,Mortgage!$D$6:$D$15,"&lt;"&amp;EDATE(B360,1))+IF(Mortgage!$B$10="Bi-weekly (accelerated)",Mortgage!$H$8/12,0)),0)</f>
        <v/>
      </c>
      <c r="H360" s="147">
        <f>F360+G360</f>
        <v/>
      </c>
      <c r="I360" s="148">
        <f>D360-H360</f>
        <v/>
      </c>
      <c r="J360" s="147">
        <f>E360+F360+G360</f>
        <v/>
      </c>
      <c r="K360" s="147">
        <f>IF(AND(D360&gt;0.005,Mortgage!$H$7&gt;0.8,D360/Mortgage!$B$5&gt;Mortgage!$B$14),Mortgage!$H$5*Mortgage!$B$13/12,0)</f>
        <v/>
      </c>
      <c r="L360" s="147">
        <f>IF(D360&gt;0.005,Mortgage!$B$11/12*(1+Mortgage!$B$16)^(C360-1),0)</f>
        <v/>
      </c>
      <c r="M360" s="147">
        <f>IF(D360&gt;0.005,Mortgage!$B$12/12*(1+Mortgage!$B$16)^(C360-1),0)</f>
        <v/>
      </c>
      <c r="N360" s="147">
        <f>IF(D360&gt;0.005,Mortgage!$B$15,0)</f>
        <v/>
      </c>
      <c r="O360" s="147">
        <f>J360+K360+L360+M360+N360</f>
        <v/>
      </c>
      <c r="P360" s="147">
        <f>P359+E360</f>
        <v/>
      </c>
      <c r="Q360" s="147">
        <f>IF(D360&gt;0.005,Mortgage!$B$5*(1+Mortgage!$B$17)^(A360/12),"")</f>
        <v/>
      </c>
      <c r="R360" s="147">
        <f>IF(D360&gt;0.005,Q360-I360,"")</f>
        <v/>
      </c>
      <c r="S360" s="147">
        <f>IF(A360&gt;Mortgage!$B$8*12,0,IF(Mortgage!$B$7=0,MAX(0,Mortgage!$H$5-Mortgage!$H$8*A360),MAX(0,Mortgage!$H$5*(1+(Mortgage!$B$7/12))^A360-Mortgage!$H$8*((1+(Mortgage!$B$7/12))^A360-1)/(Mortgage!$B$7/12))))</f>
        <v/>
      </c>
      <c r="T360" s="149">
        <f>IF(D360&gt;0.005,I360/Mortgage!$B$5,"")</f>
        <v/>
      </c>
      <c r="U360">
        <f>IF(A360&gt;Mortgage!$B$8*12,NA(),B360)</f>
        <v/>
      </c>
      <c r="V360">
        <f>IF(D360&gt;0.005,I360,NA())</f>
        <v/>
      </c>
      <c r="W360">
        <f>IF(A360&gt;Mortgage!$B$8*12,NA(),S360)</f>
        <v/>
      </c>
    </row>
    <row r="361">
      <c r="A361" s="129" t="n">
        <v>356</v>
      </c>
      <c r="B361" s="146">
        <f>EDATE(Mortgage!$B$9,A361-1)</f>
        <v/>
      </c>
      <c r="C361" s="129">
        <f>INT((A361-1)/12)+1</f>
        <v/>
      </c>
      <c r="D361" s="147">
        <f>IF(N(I360)&gt;0.005,I360,0)</f>
        <v/>
      </c>
      <c r="E361" s="147">
        <f>IF(D361&gt;0.005,D361*Mortgage!$B$7/12,0)</f>
        <v/>
      </c>
      <c r="F361" s="147">
        <f>IF(D361&gt;0.005,MIN(Mortgage!$H$8-E361,D361),0)</f>
        <v/>
      </c>
      <c r="G361" s="147">
        <f>IF(D361-F361&gt;0.005,MIN(D361-F361,Mortgage!$B$18+IF(MONTH(B361)=Mortgage!$B$20,Mortgage!$B$19,0)+SUMIFS(Mortgage!$E$6:$E$15,Mortgage!$D$6:$D$15,"&gt;="&amp;B361,Mortgage!$D$6:$D$15,"&lt;"&amp;EDATE(B361,1))+IF(Mortgage!$B$10="Bi-weekly (accelerated)",Mortgage!$H$8/12,0)),0)</f>
        <v/>
      </c>
      <c r="H361" s="147">
        <f>F361+G361</f>
        <v/>
      </c>
      <c r="I361" s="148">
        <f>D361-H361</f>
        <v/>
      </c>
      <c r="J361" s="147">
        <f>E361+F361+G361</f>
        <v/>
      </c>
      <c r="K361" s="147">
        <f>IF(AND(D361&gt;0.005,Mortgage!$H$7&gt;0.8,D361/Mortgage!$B$5&gt;Mortgage!$B$14),Mortgage!$H$5*Mortgage!$B$13/12,0)</f>
        <v/>
      </c>
      <c r="L361" s="147">
        <f>IF(D361&gt;0.005,Mortgage!$B$11/12*(1+Mortgage!$B$16)^(C361-1),0)</f>
        <v/>
      </c>
      <c r="M361" s="147">
        <f>IF(D361&gt;0.005,Mortgage!$B$12/12*(1+Mortgage!$B$16)^(C361-1),0)</f>
        <v/>
      </c>
      <c r="N361" s="147">
        <f>IF(D361&gt;0.005,Mortgage!$B$15,0)</f>
        <v/>
      </c>
      <c r="O361" s="147">
        <f>J361+K361+L361+M361+N361</f>
        <v/>
      </c>
      <c r="P361" s="147">
        <f>P360+E361</f>
        <v/>
      </c>
      <c r="Q361" s="147">
        <f>IF(D361&gt;0.005,Mortgage!$B$5*(1+Mortgage!$B$17)^(A361/12),"")</f>
        <v/>
      </c>
      <c r="R361" s="147">
        <f>IF(D361&gt;0.005,Q361-I361,"")</f>
        <v/>
      </c>
      <c r="S361" s="147">
        <f>IF(A361&gt;Mortgage!$B$8*12,0,IF(Mortgage!$B$7=0,MAX(0,Mortgage!$H$5-Mortgage!$H$8*A361),MAX(0,Mortgage!$H$5*(1+(Mortgage!$B$7/12))^A361-Mortgage!$H$8*((1+(Mortgage!$B$7/12))^A361-1)/(Mortgage!$B$7/12))))</f>
        <v/>
      </c>
      <c r="T361" s="149">
        <f>IF(D361&gt;0.005,I361/Mortgage!$B$5,"")</f>
        <v/>
      </c>
      <c r="U361">
        <f>IF(A361&gt;Mortgage!$B$8*12,NA(),B361)</f>
        <v/>
      </c>
      <c r="V361">
        <f>IF(D361&gt;0.005,I361,NA())</f>
        <v/>
      </c>
      <c r="W361">
        <f>IF(A361&gt;Mortgage!$B$8*12,NA(),S361)</f>
        <v/>
      </c>
    </row>
    <row r="362">
      <c r="A362" s="129" t="n">
        <v>357</v>
      </c>
      <c r="B362" s="146">
        <f>EDATE(Mortgage!$B$9,A362-1)</f>
        <v/>
      </c>
      <c r="C362" s="129">
        <f>INT((A362-1)/12)+1</f>
        <v/>
      </c>
      <c r="D362" s="147">
        <f>IF(N(I361)&gt;0.005,I361,0)</f>
        <v/>
      </c>
      <c r="E362" s="147">
        <f>IF(D362&gt;0.005,D362*Mortgage!$B$7/12,0)</f>
        <v/>
      </c>
      <c r="F362" s="147">
        <f>IF(D362&gt;0.005,MIN(Mortgage!$H$8-E362,D362),0)</f>
        <v/>
      </c>
      <c r="G362" s="147">
        <f>IF(D362-F362&gt;0.005,MIN(D362-F362,Mortgage!$B$18+IF(MONTH(B362)=Mortgage!$B$20,Mortgage!$B$19,0)+SUMIFS(Mortgage!$E$6:$E$15,Mortgage!$D$6:$D$15,"&gt;="&amp;B362,Mortgage!$D$6:$D$15,"&lt;"&amp;EDATE(B362,1))+IF(Mortgage!$B$10="Bi-weekly (accelerated)",Mortgage!$H$8/12,0)),0)</f>
        <v/>
      </c>
      <c r="H362" s="147">
        <f>F362+G362</f>
        <v/>
      </c>
      <c r="I362" s="148">
        <f>D362-H362</f>
        <v/>
      </c>
      <c r="J362" s="147">
        <f>E362+F362+G362</f>
        <v/>
      </c>
      <c r="K362" s="147">
        <f>IF(AND(D362&gt;0.005,Mortgage!$H$7&gt;0.8,D362/Mortgage!$B$5&gt;Mortgage!$B$14),Mortgage!$H$5*Mortgage!$B$13/12,0)</f>
        <v/>
      </c>
      <c r="L362" s="147">
        <f>IF(D362&gt;0.005,Mortgage!$B$11/12*(1+Mortgage!$B$16)^(C362-1),0)</f>
        <v/>
      </c>
      <c r="M362" s="147">
        <f>IF(D362&gt;0.005,Mortgage!$B$12/12*(1+Mortgage!$B$16)^(C362-1),0)</f>
        <v/>
      </c>
      <c r="N362" s="147">
        <f>IF(D362&gt;0.005,Mortgage!$B$15,0)</f>
        <v/>
      </c>
      <c r="O362" s="147">
        <f>J362+K362+L362+M362+N362</f>
        <v/>
      </c>
      <c r="P362" s="147">
        <f>P361+E362</f>
        <v/>
      </c>
      <c r="Q362" s="147">
        <f>IF(D362&gt;0.005,Mortgage!$B$5*(1+Mortgage!$B$17)^(A362/12),"")</f>
        <v/>
      </c>
      <c r="R362" s="147">
        <f>IF(D362&gt;0.005,Q362-I362,"")</f>
        <v/>
      </c>
      <c r="S362" s="147">
        <f>IF(A362&gt;Mortgage!$B$8*12,0,IF(Mortgage!$B$7=0,MAX(0,Mortgage!$H$5-Mortgage!$H$8*A362),MAX(0,Mortgage!$H$5*(1+(Mortgage!$B$7/12))^A362-Mortgage!$H$8*((1+(Mortgage!$B$7/12))^A362-1)/(Mortgage!$B$7/12))))</f>
        <v/>
      </c>
      <c r="T362" s="149">
        <f>IF(D362&gt;0.005,I362/Mortgage!$B$5,"")</f>
        <v/>
      </c>
      <c r="U362">
        <f>IF(A362&gt;Mortgage!$B$8*12,NA(),B362)</f>
        <v/>
      </c>
      <c r="V362">
        <f>IF(D362&gt;0.005,I362,NA())</f>
        <v/>
      </c>
      <c r="W362">
        <f>IF(A362&gt;Mortgage!$B$8*12,NA(),S362)</f>
        <v/>
      </c>
    </row>
    <row r="363">
      <c r="A363" s="129" t="n">
        <v>358</v>
      </c>
      <c r="B363" s="146">
        <f>EDATE(Mortgage!$B$9,A363-1)</f>
        <v/>
      </c>
      <c r="C363" s="129">
        <f>INT((A363-1)/12)+1</f>
        <v/>
      </c>
      <c r="D363" s="147">
        <f>IF(N(I362)&gt;0.005,I362,0)</f>
        <v/>
      </c>
      <c r="E363" s="147">
        <f>IF(D363&gt;0.005,D363*Mortgage!$B$7/12,0)</f>
        <v/>
      </c>
      <c r="F363" s="147">
        <f>IF(D363&gt;0.005,MIN(Mortgage!$H$8-E363,D363),0)</f>
        <v/>
      </c>
      <c r="G363" s="147">
        <f>IF(D363-F363&gt;0.005,MIN(D363-F363,Mortgage!$B$18+IF(MONTH(B363)=Mortgage!$B$20,Mortgage!$B$19,0)+SUMIFS(Mortgage!$E$6:$E$15,Mortgage!$D$6:$D$15,"&gt;="&amp;B363,Mortgage!$D$6:$D$15,"&lt;"&amp;EDATE(B363,1))+IF(Mortgage!$B$10="Bi-weekly (accelerated)",Mortgage!$H$8/12,0)),0)</f>
        <v/>
      </c>
      <c r="H363" s="147">
        <f>F363+G363</f>
        <v/>
      </c>
      <c r="I363" s="148">
        <f>D363-H363</f>
        <v/>
      </c>
      <c r="J363" s="147">
        <f>E363+F363+G363</f>
        <v/>
      </c>
      <c r="K363" s="147">
        <f>IF(AND(D363&gt;0.005,Mortgage!$H$7&gt;0.8,D363/Mortgage!$B$5&gt;Mortgage!$B$14),Mortgage!$H$5*Mortgage!$B$13/12,0)</f>
        <v/>
      </c>
      <c r="L363" s="147">
        <f>IF(D363&gt;0.005,Mortgage!$B$11/12*(1+Mortgage!$B$16)^(C363-1),0)</f>
        <v/>
      </c>
      <c r="M363" s="147">
        <f>IF(D363&gt;0.005,Mortgage!$B$12/12*(1+Mortgage!$B$16)^(C363-1),0)</f>
        <v/>
      </c>
      <c r="N363" s="147">
        <f>IF(D363&gt;0.005,Mortgage!$B$15,0)</f>
        <v/>
      </c>
      <c r="O363" s="147">
        <f>J363+K363+L363+M363+N363</f>
        <v/>
      </c>
      <c r="P363" s="147">
        <f>P362+E363</f>
        <v/>
      </c>
      <c r="Q363" s="147">
        <f>IF(D363&gt;0.005,Mortgage!$B$5*(1+Mortgage!$B$17)^(A363/12),"")</f>
        <v/>
      </c>
      <c r="R363" s="147">
        <f>IF(D363&gt;0.005,Q363-I363,"")</f>
        <v/>
      </c>
      <c r="S363" s="147">
        <f>IF(A363&gt;Mortgage!$B$8*12,0,IF(Mortgage!$B$7=0,MAX(0,Mortgage!$H$5-Mortgage!$H$8*A363),MAX(0,Mortgage!$H$5*(1+(Mortgage!$B$7/12))^A363-Mortgage!$H$8*((1+(Mortgage!$B$7/12))^A363-1)/(Mortgage!$B$7/12))))</f>
        <v/>
      </c>
      <c r="T363" s="149">
        <f>IF(D363&gt;0.005,I363/Mortgage!$B$5,"")</f>
        <v/>
      </c>
      <c r="U363">
        <f>IF(A363&gt;Mortgage!$B$8*12,NA(),B363)</f>
        <v/>
      </c>
      <c r="V363">
        <f>IF(D363&gt;0.005,I363,NA())</f>
        <v/>
      </c>
      <c r="W363">
        <f>IF(A363&gt;Mortgage!$B$8*12,NA(),S363)</f>
        <v/>
      </c>
    </row>
    <row r="364">
      <c r="A364" s="129" t="n">
        <v>359</v>
      </c>
      <c r="B364" s="146">
        <f>EDATE(Mortgage!$B$9,A364-1)</f>
        <v/>
      </c>
      <c r="C364" s="129">
        <f>INT((A364-1)/12)+1</f>
        <v/>
      </c>
      <c r="D364" s="147">
        <f>IF(N(I363)&gt;0.005,I363,0)</f>
        <v/>
      </c>
      <c r="E364" s="147">
        <f>IF(D364&gt;0.005,D364*Mortgage!$B$7/12,0)</f>
        <v/>
      </c>
      <c r="F364" s="147">
        <f>IF(D364&gt;0.005,MIN(Mortgage!$H$8-E364,D364),0)</f>
        <v/>
      </c>
      <c r="G364" s="147">
        <f>IF(D364-F364&gt;0.005,MIN(D364-F364,Mortgage!$B$18+IF(MONTH(B364)=Mortgage!$B$20,Mortgage!$B$19,0)+SUMIFS(Mortgage!$E$6:$E$15,Mortgage!$D$6:$D$15,"&gt;="&amp;B364,Mortgage!$D$6:$D$15,"&lt;"&amp;EDATE(B364,1))+IF(Mortgage!$B$10="Bi-weekly (accelerated)",Mortgage!$H$8/12,0)),0)</f>
        <v/>
      </c>
      <c r="H364" s="147">
        <f>F364+G364</f>
        <v/>
      </c>
      <c r="I364" s="148">
        <f>D364-H364</f>
        <v/>
      </c>
      <c r="J364" s="147">
        <f>E364+F364+G364</f>
        <v/>
      </c>
      <c r="K364" s="147">
        <f>IF(AND(D364&gt;0.005,Mortgage!$H$7&gt;0.8,D364/Mortgage!$B$5&gt;Mortgage!$B$14),Mortgage!$H$5*Mortgage!$B$13/12,0)</f>
        <v/>
      </c>
      <c r="L364" s="147">
        <f>IF(D364&gt;0.005,Mortgage!$B$11/12*(1+Mortgage!$B$16)^(C364-1),0)</f>
        <v/>
      </c>
      <c r="M364" s="147">
        <f>IF(D364&gt;0.005,Mortgage!$B$12/12*(1+Mortgage!$B$16)^(C364-1),0)</f>
        <v/>
      </c>
      <c r="N364" s="147">
        <f>IF(D364&gt;0.005,Mortgage!$B$15,0)</f>
        <v/>
      </c>
      <c r="O364" s="147">
        <f>J364+K364+L364+M364+N364</f>
        <v/>
      </c>
      <c r="P364" s="147">
        <f>P363+E364</f>
        <v/>
      </c>
      <c r="Q364" s="147">
        <f>IF(D364&gt;0.005,Mortgage!$B$5*(1+Mortgage!$B$17)^(A364/12),"")</f>
        <v/>
      </c>
      <c r="R364" s="147">
        <f>IF(D364&gt;0.005,Q364-I364,"")</f>
        <v/>
      </c>
      <c r="S364" s="147">
        <f>IF(A364&gt;Mortgage!$B$8*12,0,IF(Mortgage!$B$7=0,MAX(0,Mortgage!$H$5-Mortgage!$H$8*A364),MAX(0,Mortgage!$H$5*(1+(Mortgage!$B$7/12))^A364-Mortgage!$H$8*((1+(Mortgage!$B$7/12))^A364-1)/(Mortgage!$B$7/12))))</f>
        <v/>
      </c>
      <c r="T364" s="149">
        <f>IF(D364&gt;0.005,I364/Mortgage!$B$5,"")</f>
        <v/>
      </c>
      <c r="U364">
        <f>IF(A364&gt;Mortgage!$B$8*12,NA(),B364)</f>
        <v/>
      </c>
      <c r="V364">
        <f>IF(D364&gt;0.005,I364,NA())</f>
        <v/>
      </c>
      <c r="W364">
        <f>IF(A364&gt;Mortgage!$B$8*12,NA(),S364)</f>
        <v/>
      </c>
    </row>
    <row r="365">
      <c r="A365" s="129" t="n">
        <v>360</v>
      </c>
      <c r="B365" s="146">
        <f>EDATE(Mortgage!$B$9,A365-1)</f>
        <v/>
      </c>
      <c r="C365" s="129">
        <f>INT((A365-1)/12)+1</f>
        <v/>
      </c>
      <c r="D365" s="147">
        <f>IF(N(I364)&gt;0.005,I364,0)</f>
        <v/>
      </c>
      <c r="E365" s="147">
        <f>IF(D365&gt;0.005,D365*Mortgage!$B$7/12,0)</f>
        <v/>
      </c>
      <c r="F365" s="147">
        <f>IF(D365&gt;0.005,MIN(Mortgage!$H$8-E365,D365),0)</f>
        <v/>
      </c>
      <c r="G365" s="147">
        <f>IF(D365-F365&gt;0.005,MIN(D365-F365,Mortgage!$B$18+IF(MONTH(B365)=Mortgage!$B$20,Mortgage!$B$19,0)+SUMIFS(Mortgage!$E$6:$E$15,Mortgage!$D$6:$D$15,"&gt;="&amp;B365,Mortgage!$D$6:$D$15,"&lt;"&amp;EDATE(B365,1))+IF(Mortgage!$B$10="Bi-weekly (accelerated)",Mortgage!$H$8/12,0)),0)</f>
        <v/>
      </c>
      <c r="H365" s="147">
        <f>F365+G365</f>
        <v/>
      </c>
      <c r="I365" s="148">
        <f>D365-H365</f>
        <v/>
      </c>
      <c r="J365" s="147">
        <f>E365+F365+G365</f>
        <v/>
      </c>
      <c r="K365" s="147">
        <f>IF(AND(D365&gt;0.005,Mortgage!$H$7&gt;0.8,D365/Mortgage!$B$5&gt;Mortgage!$B$14),Mortgage!$H$5*Mortgage!$B$13/12,0)</f>
        <v/>
      </c>
      <c r="L365" s="147">
        <f>IF(D365&gt;0.005,Mortgage!$B$11/12*(1+Mortgage!$B$16)^(C365-1),0)</f>
        <v/>
      </c>
      <c r="M365" s="147">
        <f>IF(D365&gt;0.005,Mortgage!$B$12/12*(1+Mortgage!$B$16)^(C365-1),0)</f>
        <v/>
      </c>
      <c r="N365" s="147">
        <f>IF(D365&gt;0.005,Mortgage!$B$15,0)</f>
        <v/>
      </c>
      <c r="O365" s="147">
        <f>J365+K365+L365+M365+N365</f>
        <v/>
      </c>
      <c r="P365" s="147">
        <f>P364+E365</f>
        <v/>
      </c>
      <c r="Q365" s="147">
        <f>IF(D365&gt;0.005,Mortgage!$B$5*(1+Mortgage!$B$17)^(A365/12),"")</f>
        <v/>
      </c>
      <c r="R365" s="147">
        <f>IF(D365&gt;0.005,Q365-I365,"")</f>
        <v/>
      </c>
      <c r="S365" s="147">
        <f>IF(A365&gt;Mortgage!$B$8*12,0,IF(Mortgage!$B$7=0,MAX(0,Mortgage!$H$5-Mortgage!$H$8*A365),MAX(0,Mortgage!$H$5*(1+(Mortgage!$B$7/12))^A365-Mortgage!$H$8*((1+(Mortgage!$B$7/12))^A365-1)/(Mortgage!$B$7/12))))</f>
        <v/>
      </c>
      <c r="T365" s="149">
        <f>IF(D365&gt;0.005,I365/Mortgage!$B$5,"")</f>
        <v/>
      </c>
      <c r="U365">
        <f>IF(A365&gt;Mortgage!$B$8*12,NA(),B365)</f>
        <v/>
      </c>
      <c r="V365">
        <f>IF(D365&gt;0.005,I365,NA())</f>
        <v/>
      </c>
      <c r="W365">
        <f>IF(A365&gt;Mortgage!$B$8*12,NA(),S365)</f>
        <v/>
      </c>
    </row>
    <row r="366">
      <c r="A366" s="129" t="n">
        <v>361</v>
      </c>
      <c r="B366" s="146">
        <f>EDATE(Mortgage!$B$9,A366-1)</f>
        <v/>
      </c>
      <c r="C366" s="129">
        <f>INT((A366-1)/12)+1</f>
        <v/>
      </c>
      <c r="D366" s="147">
        <f>IF(N(I365)&gt;0.005,I365,0)</f>
        <v/>
      </c>
      <c r="E366" s="147">
        <f>IF(D366&gt;0.005,D366*Mortgage!$B$7/12,0)</f>
        <v/>
      </c>
      <c r="F366" s="147">
        <f>IF(D366&gt;0.005,MIN(Mortgage!$H$8-E366,D366),0)</f>
        <v/>
      </c>
      <c r="G366" s="147">
        <f>IF(D366-F366&gt;0.005,MIN(D366-F366,Mortgage!$B$18+IF(MONTH(B366)=Mortgage!$B$20,Mortgage!$B$19,0)+SUMIFS(Mortgage!$E$6:$E$15,Mortgage!$D$6:$D$15,"&gt;="&amp;B366,Mortgage!$D$6:$D$15,"&lt;"&amp;EDATE(B366,1))+IF(Mortgage!$B$10="Bi-weekly (accelerated)",Mortgage!$H$8/12,0)),0)</f>
        <v/>
      </c>
      <c r="H366" s="147">
        <f>F366+G366</f>
        <v/>
      </c>
      <c r="I366" s="148">
        <f>D366-H366</f>
        <v/>
      </c>
      <c r="J366" s="147">
        <f>E366+F366+G366</f>
        <v/>
      </c>
      <c r="K366" s="147">
        <f>IF(AND(D366&gt;0.005,Mortgage!$H$7&gt;0.8,D366/Mortgage!$B$5&gt;Mortgage!$B$14),Mortgage!$H$5*Mortgage!$B$13/12,0)</f>
        <v/>
      </c>
      <c r="L366" s="147">
        <f>IF(D366&gt;0.005,Mortgage!$B$11/12*(1+Mortgage!$B$16)^(C366-1),0)</f>
        <v/>
      </c>
      <c r="M366" s="147">
        <f>IF(D366&gt;0.005,Mortgage!$B$12/12*(1+Mortgage!$B$16)^(C366-1),0)</f>
        <v/>
      </c>
      <c r="N366" s="147">
        <f>IF(D366&gt;0.005,Mortgage!$B$15,0)</f>
        <v/>
      </c>
      <c r="O366" s="147">
        <f>J366+K366+L366+M366+N366</f>
        <v/>
      </c>
      <c r="P366" s="147">
        <f>P365+E366</f>
        <v/>
      </c>
      <c r="Q366" s="147">
        <f>IF(D366&gt;0.005,Mortgage!$B$5*(1+Mortgage!$B$17)^(A366/12),"")</f>
        <v/>
      </c>
      <c r="R366" s="147">
        <f>IF(D366&gt;0.005,Q366-I366,"")</f>
        <v/>
      </c>
      <c r="S366" s="147">
        <f>IF(A366&gt;Mortgage!$B$8*12,0,IF(Mortgage!$B$7=0,MAX(0,Mortgage!$H$5-Mortgage!$H$8*A366),MAX(0,Mortgage!$H$5*(1+(Mortgage!$B$7/12))^A366-Mortgage!$H$8*((1+(Mortgage!$B$7/12))^A366-1)/(Mortgage!$B$7/12))))</f>
        <v/>
      </c>
      <c r="T366" s="149">
        <f>IF(D366&gt;0.005,I366/Mortgage!$B$5,"")</f>
        <v/>
      </c>
      <c r="U366">
        <f>IF(A366&gt;Mortgage!$B$8*12,NA(),B366)</f>
        <v/>
      </c>
      <c r="V366">
        <f>IF(D366&gt;0.005,I366,NA())</f>
        <v/>
      </c>
      <c r="W366">
        <f>IF(A366&gt;Mortgage!$B$8*12,NA(),S366)</f>
        <v/>
      </c>
    </row>
    <row r="367">
      <c r="A367" s="129" t="n">
        <v>362</v>
      </c>
      <c r="B367" s="146">
        <f>EDATE(Mortgage!$B$9,A367-1)</f>
        <v/>
      </c>
      <c r="C367" s="129">
        <f>INT((A367-1)/12)+1</f>
        <v/>
      </c>
      <c r="D367" s="147">
        <f>IF(N(I366)&gt;0.005,I366,0)</f>
        <v/>
      </c>
      <c r="E367" s="147">
        <f>IF(D367&gt;0.005,D367*Mortgage!$B$7/12,0)</f>
        <v/>
      </c>
      <c r="F367" s="147">
        <f>IF(D367&gt;0.005,MIN(Mortgage!$H$8-E367,D367),0)</f>
        <v/>
      </c>
      <c r="G367" s="147">
        <f>IF(D367-F367&gt;0.005,MIN(D367-F367,Mortgage!$B$18+IF(MONTH(B367)=Mortgage!$B$20,Mortgage!$B$19,0)+SUMIFS(Mortgage!$E$6:$E$15,Mortgage!$D$6:$D$15,"&gt;="&amp;B367,Mortgage!$D$6:$D$15,"&lt;"&amp;EDATE(B367,1))+IF(Mortgage!$B$10="Bi-weekly (accelerated)",Mortgage!$H$8/12,0)),0)</f>
        <v/>
      </c>
      <c r="H367" s="147">
        <f>F367+G367</f>
        <v/>
      </c>
      <c r="I367" s="148">
        <f>D367-H367</f>
        <v/>
      </c>
      <c r="J367" s="147">
        <f>E367+F367+G367</f>
        <v/>
      </c>
      <c r="K367" s="147">
        <f>IF(AND(D367&gt;0.005,Mortgage!$H$7&gt;0.8,D367/Mortgage!$B$5&gt;Mortgage!$B$14),Mortgage!$H$5*Mortgage!$B$13/12,0)</f>
        <v/>
      </c>
      <c r="L367" s="147">
        <f>IF(D367&gt;0.005,Mortgage!$B$11/12*(1+Mortgage!$B$16)^(C367-1),0)</f>
        <v/>
      </c>
      <c r="M367" s="147">
        <f>IF(D367&gt;0.005,Mortgage!$B$12/12*(1+Mortgage!$B$16)^(C367-1),0)</f>
        <v/>
      </c>
      <c r="N367" s="147">
        <f>IF(D367&gt;0.005,Mortgage!$B$15,0)</f>
        <v/>
      </c>
      <c r="O367" s="147">
        <f>J367+K367+L367+M367+N367</f>
        <v/>
      </c>
      <c r="P367" s="147">
        <f>P366+E367</f>
        <v/>
      </c>
      <c r="Q367" s="147">
        <f>IF(D367&gt;0.005,Mortgage!$B$5*(1+Mortgage!$B$17)^(A367/12),"")</f>
        <v/>
      </c>
      <c r="R367" s="147">
        <f>IF(D367&gt;0.005,Q367-I367,"")</f>
        <v/>
      </c>
      <c r="S367" s="147">
        <f>IF(A367&gt;Mortgage!$B$8*12,0,IF(Mortgage!$B$7=0,MAX(0,Mortgage!$H$5-Mortgage!$H$8*A367),MAX(0,Mortgage!$H$5*(1+(Mortgage!$B$7/12))^A367-Mortgage!$H$8*((1+(Mortgage!$B$7/12))^A367-1)/(Mortgage!$B$7/12))))</f>
        <v/>
      </c>
      <c r="T367" s="149">
        <f>IF(D367&gt;0.005,I367/Mortgage!$B$5,"")</f>
        <v/>
      </c>
      <c r="U367">
        <f>IF(A367&gt;Mortgage!$B$8*12,NA(),B367)</f>
        <v/>
      </c>
      <c r="V367">
        <f>IF(D367&gt;0.005,I367,NA())</f>
        <v/>
      </c>
      <c r="W367">
        <f>IF(A367&gt;Mortgage!$B$8*12,NA(),S367)</f>
        <v/>
      </c>
    </row>
    <row r="368">
      <c r="A368" s="129" t="n">
        <v>363</v>
      </c>
      <c r="B368" s="146">
        <f>EDATE(Mortgage!$B$9,A368-1)</f>
        <v/>
      </c>
      <c r="C368" s="129">
        <f>INT((A368-1)/12)+1</f>
        <v/>
      </c>
      <c r="D368" s="147">
        <f>IF(N(I367)&gt;0.005,I367,0)</f>
        <v/>
      </c>
      <c r="E368" s="147">
        <f>IF(D368&gt;0.005,D368*Mortgage!$B$7/12,0)</f>
        <v/>
      </c>
      <c r="F368" s="147">
        <f>IF(D368&gt;0.005,MIN(Mortgage!$H$8-E368,D368),0)</f>
        <v/>
      </c>
      <c r="G368" s="147">
        <f>IF(D368-F368&gt;0.005,MIN(D368-F368,Mortgage!$B$18+IF(MONTH(B368)=Mortgage!$B$20,Mortgage!$B$19,0)+SUMIFS(Mortgage!$E$6:$E$15,Mortgage!$D$6:$D$15,"&gt;="&amp;B368,Mortgage!$D$6:$D$15,"&lt;"&amp;EDATE(B368,1))+IF(Mortgage!$B$10="Bi-weekly (accelerated)",Mortgage!$H$8/12,0)),0)</f>
        <v/>
      </c>
      <c r="H368" s="147">
        <f>F368+G368</f>
        <v/>
      </c>
      <c r="I368" s="148">
        <f>D368-H368</f>
        <v/>
      </c>
      <c r="J368" s="147">
        <f>E368+F368+G368</f>
        <v/>
      </c>
      <c r="K368" s="147">
        <f>IF(AND(D368&gt;0.005,Mortgage!$H$7&gt;0.8,D368/Mortgage!$B$5&gt;Mortgage!$B$14),Mortgage!$H$5*Mortgage!$B$13/12,0)</f>
        <v/>
      </c>
      <c r="L368" s="147">
        <f>IF(D368&gt;0.005,Mortgage!$B$11/12*(1+Mortgage!$B$16)^(C368-1),0)</f>
        <v/>
      </c>
      <c r="M368" s="147">
        <f>IF(D368&gt;0.005,Mortgage!$B$12/12*(1+Mortgage!$B$16)^(C368-1),0)</f>
        <v/>
      </c>
      <c r="N368" s="147">
        <f>IF(D368&gt;0.005,Mortgage!$B$15,0)</f>
        <v/>
      </c>
      <c r="O368" s="147">
        <f>J368+K368+L368+M368+N368</f>
        <v/>
      </c>
      <c r="P368" s="147">
        <f>P367+E368</f>
        <v/>
      </c>
      <c r="Q368" s="147">
        <f>IF(D368&gt;0.005,Mortgage!$B$5*(1+Mortgage!$B$17)^(A368/12),"")</f>
        <v/>
      </c>
      <c r="R368" s="147">
        <f>IF(D368&gt;0.005,Q368-I368,"")</f>
        <v/>
      </c>
      <c r="S368" s="147">
        <f>IF(A368&gt;Mortgage!$B$8*12,0,IF(Mortgage!$B$7=0,MAX(0,Mortgage!$H$5-Mortgage!$H$8*A368),MAX(0,Mortgage!$H$5*(1+(Mortgage!$B$7/12))^A368-Mortgage!$H$8*((1+(Mortgage!$B$7/12))^A368-1)/(Mortgage!$B$7/12))))</f>
        <v/>
      </c>
      <c r="T368" s="149">
        <f>IF(D368&gt;0.005,I368/Mortgage!$B$5,"")</f>
        <v/>
      </c>
      <c r="U368">
        <f>IF(A368&gt;Mortgage!$B$8*12,NA(),B368)</f>
        <v/>
      </c>
      <c r="V368">
        <f>IF(D368&gt;0.005,I368,NA())</f>
        <v/>
      </c>
      <c r="W368">
        <f>IF(A368&gt;Mortgage!$B$8*12,NA(),S368)</f>
        <v/>
      </c>
    </row>
    <row r="369">
      <c r="A369" s="129" t="n">
        <v>364</v>
      </c>
      <c r="B369" s="146">
        <f>EDATE(Mortgage!$B$9,A369-1)</f>
        <v/>
      </c>
      <c r="C369" s="129">
        <f>INT((A369-1)/12)+1</f>
        <v/>
      </c>
      <c r="D369" s="147">
        <f>IF(N(I368)&gt;0.005,I368,0)</f>
        <v/>
      </c>
      <c r="E369" s="147">
        <f>IF(D369&gt;0.005,D369*Mortgage!$B$7/12,0)</f>
        <v/>
      </c>
      <c r="F369" s="147">
        <f>IF(D369&gt;0.005,MIN(Mortgage!$H$8-E369,D369),0)</f>
        <v/>
      </c>
      <c r="G369" s="147">
        <f>IF(D369-F369&gt;0.005,MIN(D369-F369,Mortgage!$B$18+IF(MONTH(B369)=Mortgage!$B$20,Mortgage!$B$19,0)+SUMIFS(Mortgage!$E$6:$E$15,Mortgage!$D$6:$D$15,"&gt;="&amp;B369,Mortgage!$D$6:$D$15,"&lt;"&amp;EDATE(B369,1))+IF(Mortgage!$B$10="Bi-weekly (accelerated)",Mortgage!$H$8/12,0)),0)</f>
        <v/>
      </c>
      <c r="H369" s="147">
        <f>F369+G369</f>
        <v/>
      </c>
      <c r="I369" s="148">
        <f>D369-H369</f>
        <v/>
      </c>
      <c r="J369" s="147">
        <f>E369+F369+G369</f>
        <v/>
      </c>
      <c r="K369" s="147">
        <f>IF(AND(D369&gt;0.005,Mortgage!$H$7&gt;0.8,D369/Mortgage!$B$5&gt;Mortgage!$B$14),Mortgage!$H$5*Mortgage!$B$13/12,0)</f>
        <v/>
      </c>
      <c r="L369" s="147">
        <f>IF(D369&gt;0.005,Mortgage!$B$11/12*(1+Mortgage!$B$16)^(C369-1),0)</f>
        <v/>
      </c>
      <c r="M369" s="147">
        <f>IF(D369&gt;0.005,Mortgage!$B$12/12*(1+Mortgage!$B$16)^(C369-1),0)</f>
        <v/>
      </c>
      <c r="N369" s="147">
        <f>IF(D369&gt;0.005,Mortgage!$B$15,0)</f>
        <v/>
      </c>
      <c r="O369" s="147">
        <f>J369+K369+L369+M369+N369</f>
        <v/>
      </c>
      <c r="P369" s="147">
        <f>P368+E369</f>
        <v/>
      </c>
      <c r="Q369" s="147">
        <f>IF(D369&gt;0.005,Mortgage!$B$5*(1+Mortgage!$B$17)^(A369/12),"")</f>
        <v/>
      </c>
      <c r="R369" s="147">
        <f>IF(D369&gt;0.005,Q369-I369,"")</f>
        <v/>
      </c>
      <c r="S369" s="147">
        <f>IF(A369&gt;Mortgage!$B$8*12,0,IF(Mortgage!$B$7=0,MAX(0,Mortgage!$H$5-Mortgage!$H$8*A369),MAX(0,Mortgage!$H$5*(1+(Mortgage!$B$7/12))^A369-Mortgage!$H$8*((1+(Mortgage!$B$7/12))^A369-1)/(Mortgage!$B$7/12))))</f>
        <v/>
      </c>
      <c r="T369" s="149">
        <f>IF(D369&gt;0.005,I369/Mortgage!$B$5,"")</f>
        <v/>
      </c>
      <c r="U369">
        <f>IF(A369&gt;Mortgage!$B$8*12,NA(),B369)</f>
        <v/>
      </c>
      <c r="V369">
        <f>IF(D369&gt;0.005,I369,NA())</f>
        <v/>
      </c>
      <c r="W369">
        <f>IF(A369&gt;Mortgage!$B$8*12,NA(),S369)</f>
        <v/>
      </c>
    </row>
    <row r="370">
      <c r="A370" s="129" t="n">
        <v>365</v>
      </c>
      <c r="B370" s="146">
        <f>EDATE(Mortgage!$B$9,A370-1)</f>
        <v/>
      </c>
      <c r="C370" s="129">
        <f>INT((A370-1)/12)+1</f>
        <v/>
      </c>
      <c r="D370" s="147">
        <f>IF(N(I369)&gt;0.005,I369,0)</f>
        <v/>
      </c>
      <c r="E370" s="147">
        <f>IF(D370&gt;0.005,D370*Mortgage!$B$7/12,0)</f>
        <v/>
      </c>
      <c r="F370" s="147">
        <f>IF(D370&gt;0.005,MIN(Mortgage!$H$8-E370,D370),0)</f>
        <v/>
      </c>
      <c r="G370" s="147">
        <f>IF(D370-F370&gt;0.005,MIN(D370-F370,Mortgage!$B$18+IF(MONTH(B370)=Mortgage!$B$20,Mortgage!$B$19,0)+SUMIFS(Mortgage!$E$6:$E$15,Mortgage!$D$6:$D$15,"&gt;="&amp;B370,Mortgage!$D$6:$D$15,"&lt;"&amp;EDATE(B370,1))+IF(Mortgage!$B$10="Bi-weekly (accelerated)",Mortgage!$H$8/12,0)),0)</f>
        <v/>
      </c>
      <c r="H370" s="147">
        <f>F370+G370</f>
        <v/>
      </c>
      <c r="I370" s="148">
        <f>D370-H370</f>
        <v/>
      </c>
      <c r="J370" s="147">
        <f>E370+F370+G370</f>
        <v/>
      </c>
      <c r="K370" s="147">
        <f>IF(AND(D370&gt;0.005,Mortgage!$H$7&gt;0.8,D370/Mortgage!$B$5&gt;Mortgage!$B$14),Mortgage!$H$5*Mortgage!$B$13/12,0)</f>
        <v/>
      </c>
      <c r="L370" s="147">
        <f>IF(D370&gt;0.005,Mortgage!$B$11/12*(1+Mortgage!$B$16)^(C370-1),0)</f>
        <v/>
      </c>
      <c r="M370" s="147">
        <f>IF(D370&gt;0.005,Mortgage!$B$12/12*(1+Mortgage!$B$16)^(C370-1),0)</f>
        <v/>
      </c>
      <c r="N370" s="147">
        <f>IF(D370&gt;0.005,Mortgage!$B$15,0)</f>
        <v/>
      </c>
      <c r="O370" s="147">
        <f>J370+K370+L370+M370+N370</f>
        <v/>
      </c>
      <c r="P370" s="147">
        <f>P369+E370</f>
        <v/>
      </c>
      <c r="Q370" s="147">
        <f>IF(D370&gt;0.005,Mortgage!$B$5*(1+Mortgage!$B$17)^(A370/12),"")</f>
        <v/>
      </c>
      <c r="R370" s="147">
        <f>IF(D370&gt;0.005,Q370-I370,"")</f>
        <v/>
      </c>
      <c r="S370" s="147">
        <f>IF(A370&gt;Mortgage!$B$8*12,0,IF(Mortgage!$B$7=0,MAX(0,Mortgage!$H$5-Mortgage!$H$8*A370),MAX(0,Mortgage!$H$5*(1+(Mortgage!$B$7/12))^A370-Mortgage!$H$8*((1+(Mortgage!$B$7/12))^A370-1)/(Mortgage!$B$7/12))))</f>
        <v/>
      </c>
      <c r="T370" s="149">
        <f>IF(D370&gt;0.005,I370/Mortgage!$B$5,"")</f>
        <v/>
      </c>
      <c r="U370">
        <f>IF(A370&gt;Mortgage!$B$8*12,NA(),B370)</f>
        <v/>
      </c>
      <c r="V370">
        <f>IF(D370&gt;0.005,I370,NA())</f>
        <v/>
      </c>
      <c r="W370">
        <f>IF(A370&gt;Mortgage!$B$8*12,NA(),S370)</f>
        <v/>
      </c>
    </row>
    <row r="371">
      <c r="A371" s="129" t="n">
        <v>366</v>
      </c>
      <c r="B371" s="146">
        <f>EDATE(Mortgage!$B$9,A371-1)</f>
        <v/>
      </c>
      <c r="C371" s="129">
        <f>INT((A371-1)/12)+1</f>
        <v/>
      </c>
      <c r="D371" s="147">
        <f>IF(N(I370)&gt;0.005,I370,0)</f>
        <v/>
      </c>
      <c r="E371" s="147">
        <f>IF(D371&gt;0.005,D371*Mortgage!$B$7/12,0)</f>
        <v/>
      </c>
      <c r="F371" s="147">
        <f>IF(D371&gt;0.005,MIN(Mortgage!$H$8-E371,D371),0)</f>
        <v/>
      </c>
      <c r="G371" s="147">
        <f>IF(D371-F371&gt;0.005,MIN(D371-F371,Mortgage!$B$18+IF(MONTH(B371)=Mortgage!$B$20,Mortgage!$B$19,0)+SUMIFS(Mortgage!$E$6:$E$15,Mortgage!$D$6:$D$15,"&gt;="&amp;B371,Mortgage!$D$6:$D$15,"&lt;"&amp;EDATE(B371,1))+IF(Mortgage!$B$10="Bi-weekly (accelerated)",Mortgage!$H$8/12,0)),0)</f>
        <v/>
      </c>
      <c r="H371" s="147">
        <f>F371+G371</f>
        <v/>
      </c>
      <c r="I371" s="148">
        <f>D371-H371</f>
        <v/>
      </c>
      <c r="J371" s="147">
        <f>E371+F371+G371</f>
        <v/>
      </c>
      <c r="K371" s="147">
        <f>IF(AND(D371&gt;0.005,Mortgage!$H$7&gt;0.8,D371/Mortgage!$B$5&gt;Mortgage!$B$14),Mortgage!$H$5*Mortgage!$B$13/12,0)</f>
        <v/>
      </c>
      <c r="L371" s="147">
        <f>IF(D371&gt;0.005,Mortgage!$B$11/12*(1+Mortgage!$B$16)^(C371-1),0)</f>
        <v/>
      </c>
      <c r="M371" s="147">
        <f>IF(D371&gt;0.005,Mortgage!$B$12/12*(1+Mortgage!$B$16)^(C371-1),0)</f>
        <v/>
      </c>
      <c r="N371" s="147">
        <f>IF(D371&gt;0.005,Mortgage!$B$15,0)</f>
        <v/>
      </c>
      <c r="O371" s="147">
        <f>J371+K371+L371+M371+N371</f>
        <v/>
      </c>
      <c r="P371" s="147">
        <f>P370+E371</f>
        <v/>
      </c>
      <c r="Q371" s="147">
        <f>IF(D371&gt;0.005,Mortgage!$B$5*(1+Mortgage!$B$17)^(A371/12),"")</f>
        <v/>
      </c>
      <c r="R371" s="147">
        <f>IF(D371&gt;0.005,Q371-I371,"")</f>
        <v/>
      </c>
      <c r="S371" s="147">
        <f>IF(A371&gt;Mortgage!$B$8*12,0,IF(Mortgage!$B$7=0,MAX(0,Mortgage!$H$5-Mortgage!$H$8*A371),MAX(0,Mortgage!$H$5*(1+(Mortgage!$B$7/12))^A371-Mortgage!$H$8*((1+(Mortgage!$B$7/12))^A371-1)/(Mortgage!$B$7/12))))</f>
        <v/>
      </c>
      <c r="T371" s="149">
        <f>IF(D371&gt;0.005,I371/Mortgage!$B$5,"")</f>
        <v/>
      </c>
      <c r="U371">
        <f>IF(A371&gt;Mortgage!$B$8*12,NA(),B371)</f>
        <v/>
      </c>
      <c r="V371">
        <f>IF(D371&gt;0.005,I371,NA())</f>
        <v/>
      </c>
      <c r="W371">
        <f>IF(A371&gt;Mortgage!$B$8*12,NA(),S371)</f>
        <v/>
      </c>
    </row>
    <row r="372">
      <c r="A372" s="129" t="n">
        <v>367</v>
      </c>
      <c r="B372" s="146">
        <f>EDATE(Mortgage!$B$9,A372-1)</f>
        <v/>
      </c>
      <c r="C372" s="129">
        <f>INT((A372-1)/12)+1</f>
        <v/>
      </c>
      <c r="D372" s="147">
        <f>IF(N(I371)&gt;0.005,I371,0)</f>
        <v/>
      </c>
      <c r="E372" s="147">
        <f>IF(D372&gt;0.005,D372*Mortgage!$B$7/12,0)</f>
        <v/>
      </c>
      <c r="F372" s="147">
        <f>IF(D372&gt;0.005,MIN(Mortgage!$H$8-E372,D372),0)</f>
        <v/>
      </c>
      <c r="G372" s="147">
        <f>IF(D372-F372&gt;0.005,MIN(D372-F372,Mortgage!$B$18+IF(MONTH(B372)=Mortgage!$B$20,Mortgage!$B$19,0)+SUMIFS(Mortgage!$E$6:$E$15,Mortgage!$D$6:$D$15,"&gt;="&amp;B372,Mortgage!$D$6:$D$15,"&lt;"&amp;EDATE(B372,1))+IF(Mortgage!$B$10="Bi-weekly (accelerated)",Mortgage!$H$8/12,0)),0)</f>
        <v/>
      </c>
      <c r="H372" s="147">
        <f>F372+G372</f>
        <v/>
      </c>
      <c r="I372" s="148">
        <f>D372-H372</f>
        <v/>
      </c>
      <c r="J372" s="147">
        <f>E372+F372+G372</f>
        <v/>
      </c>
      <c r="K372" s="147">
        <f>IF(AND(D372&gt;0.005,Mortgage!$H$7&gt;0.8,D372/Mortgage!$B$5&gt;Mortgage!$B$14),Mortgage!$H$5*Mortgage!$B$13/12,0)</f>
        <v/>
      </c>
      <c r="L372" s="147">
        <f>IF(D372&gt;0.005,Mortgage!$B$11/12*(1+Mortgage!$B$16)^(C372-1),0)</f>
        <v/>
      </c>
      <c r="M372" s="147">
        <f>IF(D372&gt;0.005,Mortgage!$B$12/12*(1+Mortgage!$B$16)^(C372-1),0)</f>
        <v/>
      </c>
      <c r="N372" s="147">
        <f>IF(D372&gt;0.005,Mortgage!$B$15,0)</f>
        <v/>
      </c>
      <c r="O372" s="147">
        <f>J372+K372+L372+M372+N372</f>
        <v/>
      </c>
      <c r="P372" s="147">
        <f>P371+E372</f>
        <v/>
      </c>
      <c r="Q372" s="147">
        <f>IF(D372&gt;0.005,Mortgage!$B$5*(1+Mortgage!$B$17)^(A372/12),"")</f>
        <v/>
      </c>
      <c r="R372" s="147">
        <f>IF(D372&gt;0.005,Q372-I372,"")</f>
        <v/>
      </c>
      <c r="S372" s="147">
        <f>IF(A372&gt;Mortgage!$B$8*12,0,IF(Mortgage!$B$7=0,MAX(0,Mortgage!$H$5-Mortgage!$H$8*A372),MAX(0,Mortgage!$H$5*(1+(Mortgage!$B$7/12))^A372-Mortgage!$H$8*((1+(Mortgage!$B$7/12))^A372-1)/(Mortgage!$B$7/12))))</f>
        <v/>
      </c>
      <c r="T372" s="149">
        <f>IF(D372&gt;0.005,I372/Mortgage!$B$5,"")</f>
        <v/>
      </c>
      <c r="U372">
        <f>IF(A372&gt;Mortgage!$B$8*12,NA(),B372)</f>
        <v/>
      </c>
      <c r="V372">
        <f>IF(D372&gt;0.005,I372,NA())</f>
        <v/>
      </c>
      <c r="W372">
        <f>IF(A372&gt;Mortgage!$B$8*12,NA(),S372)</f>
        <v/>
      </c>
    </row>
    <row r="373">
      <c r="A373" s="129" t="n">
        <v>368</v>
      </c>
      <c r="B373" s="146">
        <f>EDATE(Mortgage!$B$9,A373-1)</f>
        <v/>
      </c>
      <c r="C373" s="129">
        <f>INT((A373-1)/12)+1</f>
        <v/>
      </c>
      <c r="D373" s="147">
        <f>IF(N(I372)&gt;0.005,I372,0)</f>
        <v/>
      </c>
      <c r="E373" s="147">
        <f>IF(D373&gt;0.005,D373*Mortgage!$B$7/12,0)</f>
        <v/>
      </c>
      <c r="F373" s="147">
        <f>IF(D373&gt;0.005,MIN(Mortgage!$H$8-E373,D373),0)</f>
        <v/>
      </c>
      <c r="G373" s="147">
        <f>IF(D373-F373&gt;0.005,MIN(D373-F373,Mortgage!$B$18+IF(MONTH(B373)=Mortgage!$B$20,Mortgage!$B$19,0)+SUMIFS(Mortgage!$E$6:$E$15,Mortgage!$D$6:$D$15,"&gt;="&amp;B373,Mortgage!$D$6:$D$15,"&lt;"&amp;EDATE(B373,1))+IF(Mortgage!$B$10="Bi-weekly (accelerated)",Mortgage!$H$8/12,0)),0)</f>
        <v/>
      </c>
      <c r="H373" s="147">
        <f>F373+G373</f>
        <v/>
      </c>
      <c r="I373" s="148">
        <f>D373-H373</f>
        <v/>
      </c>
      <c r="J373" s="147">
        <f>E373+F373+G373</f>
        <v/>
      </c>
      <c r="K373" s="147">
        <f>IF(AND(D373&gt;0.005,Mortgage!$H$7&gt;0.8,D373/Mortgage!$B$5&gt;Mortgage!$B$14),Mortgage!$H$5*Mortgage!$B$13/12,0)</f>
        <v/>
      </c>
      <c r="L373" s="147">
        <f>IF(D373&gt;0.005,Mortgage!$B$11/12*(1+Mortgage!$B$16)^(C373-1),0)</f>
        <v/>
      </c>
      <c r="M373" s="147">
        <f>IF(D373&gt;0.005,Mortgage!$B$12/12*(1+Mortgage!$B$16)^(C373-1),0)</f>
        <v/>
      </c>
      <c r="N373" s="147">
        <f>IF(D373&gt;0.005,Mortgage!$B$15,0)</f>
        <v/>
      </c>
      <c r="O373" s="147">
        <f>J373+K373+L373+M373+N373</f>
        <v/>
      </c>
      <c r="P373" s="147">
        <f>P372+E373</f>
        <v/>
      </c>
      <c r="Q373" s="147">
        <f>IF(D373&gt;0.005,Mortgage!$B$5*(1+Mortgage!$B$17)^(A373/12),"")</f>
        <v/>
      </c>
      <c r="R373" s="147">
        <f>IF(D373&gt;0.005,Q373-I373,"")</f>
        <v/>
      </c>
      <c r="S373" s="147">
        <f>IF(A373&gt;Mortgage!$B$8*12,0,IF(Mortgage!$B$7=0,MAX(0,Mortgage!$H$5-Mortgage!$H$8*A373),MAX(0,Mortgage!$H$5*(1+(Mortgage!$B$7/12))^A373-Mortgage!$H$8*((1+(Mortgage!$B$7/12))^A373-1)/(Mortgage!$B$7/12))))</f>
        <v/>
      </c>
      <c r="T373" s="149">
        <f>IF(D373&gt;0.005,I373/Mortgage!$B$5,"")</f>
        <v/>
      </c>
      <c r="U373">
        <f>IF(A373&gt;Mortgage!$B$8*12,NA(),B373)</f>
        <v/>
      </c>
      <c r="V373">
        <f>IF(D373&gt;0.005,I373,NA())</f>
        <v/>
      </c>
      <c r="W373">
        <f>IF(A373&gt;Mortgage!$B$8*12,NA(),S373)</f>
        <v/>
      </c>
    </row>
    <row r="374">
      <c r="A374" s="129" t="n">
        <v>369</v>
      </c>
      <c r="B374" s="146">
        <f>EDATE(Mortgage!$B$9,A374-1)</f>
        <v/>
      </c>
      <c r="C374" s="129">
        <f>INT((A374-1)/12)+1</f>
        <v/>
      </c>
      <c r="D374" s="147">
        <f>IF(N(I373)&gt;0.005,I373,0)</f>
        <v/>
      </c>
      <c r="E374" s="147">
        <f>IF(D374&gt;0.005,D374*Mortgage!$B$7/12,0)</f>
        <v/>
      </c>
      <c r="F374" s="147">
        <f>IF(D374&gt;0.005,MIN(Mortgage!$H$8-E374,D374),0)</f>
        <v/>
      </c>
      <c r="G374" s="147">
        <f>IF(D374-F374&gt;0.005,MIN(D374-F374,Mortgage!$B$18+IF(MONTH(B374)=Mortgage!$B$20,Mortgage!$B$19,0)+SUMIFS(Mortgage!$E$6:$E$15,Mortgage!$D$6:$D$15,"&gt;="&amp;B374,Mortgage!$D$6:$D$15,"&lt;"&amp;EDATE(B374,1))+IF(Mortgage!$B$10="Bi-weekly (accelerated)",Mortgage!$H$8/12,0)),0)</f>
        <v/>
      </c>
      <c r="H374" s="147">
        <f>F374+G374</f>
        <v/>
      </c>
      <c r="I374" s="148">
        <f>D374-H374</f>
        <v/>
      </c>
      <c r="J374" s="147">
        <f>E374+F374+G374</f>
        <v/>
      </c>
      <c r="K374" s="147">
        <f>IF(AND(D374&gt;0.005,Mortgage!$H$7&gt;0.8,D374/Mortgage!$B$5&gt;Mortgage!$B$14),Mortgage!$H$5*Mortgage!$B$13/12,0)</f>
        <v/>
      </c>
      <c r="L374" s="147">
        <f>IF(D374&gt;0.005,Mortgage!$B$11/12*(1+Mortgage!$B$16)^(C374-1),0)</f>
        <v/>
      </c>
      <c r="M374" s="147">
        <f>IF(D374&gt;0.005,Mortgage!$B$12/12*(1+Mortgage!$B$16)^(C374-1),0)</f>
        <v/>
      </c>
      <c r="N374" s="147">
        <f>IF(D374&gt;0.005,Mortgage!$B$15,0)</f>
        <v/>
      </c>
      <c r="O374" s="147">
        <f>J374+K374+L374+M374+N374</f>
        <v/>
      </c>
      <c r="P374" s="147">
        <f>P373+E374</f>
        <v/>
      </c>
      <c r="Q374" s="147">
        <f>IF(D374&gt;0.005,Mortgage!$B$5*(1+Mortgage!$B$17)^(A374/12),"")</f>
        <v/>
      </c>
      <c r="R374" s="147">
        <f>IF(D374&gt;0.005,Q374-I374,"")</f>
        <v/>
      </c>
      <c r="S374" s="147">
        <f>IF(A374&gt;Mortgage!$B$8*12,0,IF(Mortgage!$B$7=0,MAX(0,Mortgage!$H$5-Mortgage!$H$8*A374),MAX(0,Mortgage!$H$5*(1+(Mortgage!$B$7/12))^A374-Mortgage!$H$8*((1+(Mortgage!$B$7/12))^A374-1)/(Mortgage!$B$7/12))))</f>
        <v/>
      </c>
      <c r="T374" s="149">
        <f>IF(D374&gt;0.005,I374/Mortgage!$B$5,"")</f>
        <v/>
      </c>
      <c r="U374">
        <f>IF(A374&gt;Mortgage!$B$8*12,NA(),B374)</f>
        <v/>
      </c>
      <c r="V374">
        <f>IF(D374&gt;0.005,I374,NA())</f>
        <v/>
      </c>
      <c r="W374">
        <f>IF(A374&gt;Mortgage!$B$8*12,NA(),S374)</f>
        <v/>
      </c>
    </row>
    <row r="375">
      <c r="A375" s="129" t="n">
        <v>370</v>
      </c>
      <c r="B375" s="146">
        <f>EDATE(Mortgage!$B$9,A375-1)</f>
        <v/>
      </c>
      <c r="C375" s="129">
        <f>INT((A375-1)/12)+1</f>
        <v/>
      </c>
      <c r="D375" s="147">
        <f>IF(N(I374)&gt;0.005,I374,0)</f>
        <v/>
      </c>
      <c r="E375" s="147">
        <f>IF(D375&gt;0.005,D375*Mortgage!$B$7/12,0)</f>
        <v/>
      </c>
      <c r="F375" s="147">
        <f>IF(D375&gt;0.005,MIN(Mortgage!$H$8-E375,D375),0)</f>
        <v/>
      </c>
      <c r="G375" s="147">
        <f>IF(D375-F375&gt;0.005,MIN(D375-F375,Mortgage!$B$18+IF(MONTH(B375)=Mortgage!$B$20,Mortgage!$B$19,0)+SUMIFS(Mortgage!$E$6:$E$15,Mortgage!$D$6:$D$15,"&gt;="&amp;B375,Mortgage!$D$6:$D$15,"&lt;"&amp;EDATE(B375,1))+IF(Mortgage!$B$10="Bi-weekly (accelerated)",Mortgage!$H$8/12,0)),0)</f>
        <v/>
      </c>
      <c r="H375" s="147">
        <f>F375+G375</f>
        <v/>
      </c>
      <c r="I375" s="148">
        <f>D375-H375</f>
        <v/>
      </c>
      <c r="J375" s="147">
        <f>E375+F375+G375</f>
        <v/>
      </c>
      <c r="K375" s="147">
        <f>IF(AND(D375&gt;0.005,Mortgage!$H$7&gt;0.8,D375/Mortgage!$B$5&gt;Mortgage!$B$14),Mortgage!$H$5*Mortgage!$B$13/12,0)</f>
        <v/>
      </c>
      <c r="L375" s="147">
        <f>IF(D375&gt;0.005,Mortgage!$B$11/12*(1+Mortgage!$B$16)^(C375-1),0)</f>
        <v/>
      </c>
      <c r="M375" s="147">
        <f>IF(D375&gt;0.005,Mortgage!$B$12/12*(1+Mortgage!$B$16)^(C375-1),0)</f>
        <v/>
      </c>
      <c r="N375" s="147">
        <f>IF(D375&gt;0.005,Mortgage!$B$15,0)</f>
        <v/>
      </c>
      <c r="O375" s="147">
        <f>J375+K375+L375+M375+N375</f>
        <v/>
      </c>
      <c r="P375" s="147">
        <f>P374+E375</f>
        <v/>
      </c>
      <c r="Q375" s="147">
        <f>IF(D375&gt;0.005,Mortgage!$B$5*(1+Mortgage!$B$17)^(A375/12),"")</f>
        <v/>
      </c>
      <c r="R375" s="147">
        <f>IF(D375&gt;0.005,Q375-I375,"")</f>
        <v/>
      </c>
      <c r="S375" s="147">
        <f>IF(A375&gt;Mortgage!$B$8*12,0,IF(Mortgage!$B$7=0,MAX(0,Mortgage!$H$5-Mortgage!$H$8*A375),MAX(0,Mortgage!$H$5*(1+(Mortgage!$B$7/12))^A375-Mortgage!$H$8*((1+(Mortgage!$B$7/12))^A375-1)/(Mortgage!$B$7/12))))</f>
        <v/>
      </c>
      <c r="T375" s="149">
        <f>IF(D375&gt;0.005,I375/Mortgage!$B$5,"")</f>
        <v/>
      </c>
      <c r="U375">
        <f>IF(A375&gt;Mortgage!$B$8*12,NA(),B375)</f>
        <v/>
      </c>
      <c r="V375">
        <f>IF(D375&gt;0.005,I375,NA())</f>
        <v/>
      </c>
      <c r="W375">
        <f>IF(A375&gt;Mortgage!$B$8*12,NA(),S375)</f>
        <v/>
      </c>
    </row>
    <row r="376">
      <c r="A376" s="129" t="n">
        <v>371</v>
      </c>
      <c r="B376" s="146">
        <f>EDATE(Mortgage!$B$9,A376-1)</f>
        <v/>
      </c>
      <c r="C376" s="129">
        <f>INT((A376-1)/12)+1</f>
        <v/>
      </c>
      <c r="D376" s="147">
        <f>IF(N(I375)&gt;0.005,I375,0)</f>
        <v/>
      </c>
      <c r="E376" s="147">
        <f>IF(D376&gt;0.005,D376*Mortgage!$B$7/12,0)</f>
        <v/>
      </c>
      <c r="F376" s="147">
        <f>IF(D376&gt;0.005,MIN(Mortgage!$H$8-E376,D376),0)</f>
        <v/>
      </c>
      <c r="G376" s="147">
        <f>IF(D376-F376&gt;0.005,MIN(D376-F376,Mortgage!$B$18+IF(MONTH(B376)=Mortgage!$B$20,Mortgage!$B$19,0)+SUMIFS(Mortgage!$E$6:$E$15,Mortgage!$D$6:$D$15,"&gt;="&amp;B376,Mortgage!$D$6:$D$15,"&lt;"&amp;EDATE(B376,1))+IF(Mortgage!$B$10="Bi-weekly (accelerated)",Mortgage!$H$8/12,0)),0)</f>
        <v/>
      </c>
      <c r="H376" s="147">
        <f>F376+G376</f>
        <v/>
      </c>
      <c r="I376" s="148">
        <f>D376-H376</f>
        <v/>
      </c>
      <c r="J376" s="147">
        <f>E376+F376+G376</f>
        <v/>
      </c>
      <c r="K376" s="147">
        <f>IF(AND(D376&gt;0.005,Mortgage!$H$7&gt;0.8,D376/Mortgage!$B$5&gt;Mortgage!$B$14),Mortgage!$H$5*Mortgage!$B$13/12,0)</f>
        <v/>
      </c>
      <c r="L376" s="147">
        <f>IF(D376&gt;0.005,Mortgage!$B$11/12*(1+Mortgage!$B$16)^(C376-1),0)</f>
        <v/>
      </c>
      <c r="M376" s="147">
        <f>IF(D376&gt;0.005,Mortgage!$B$12/12*(1+Mortgage!$B$16)^(C376-1),0)</f>
        <v/>
      </c>
      <c r="N376" s="147">
        <f>IF(D376&gt;0.005,Mortgage!$B$15,0)</f>
        <v/>
      </c>
      <c r="O376" s="147">
        <f>J376+K376+L376+M376+N376</f>
        <v/>
      </c>
      <c r="P376" s="147">
        <f>P375+E376</f>
        <v/>
      </c>
      <c r="Q376" s="147">
        <f>IF(D376&gt;0.005,Mortgage!$B$5*(1+Mortgage!$B$17)^(A376/12),"")</f>
        <v/>
      </c>
      <c r="R376" s="147">
        <f>IF(D376&gt;0.005,Q376-I376,"")</f>
        <v/>
      </c>
      <c r="S376" s="147">
        <f>IF(A376&gt;Mortgage!$B$8*12,0,IF(Mortgage!$B$7=0,MAX(0,Mortgage!$H$5-Mortgage!$H$8*A376),MAX(0,Mortgage!$H$5*(1+(Mortgage!$B$7/12))^A376-Mortgage!$H$8*((1+(Mortgage!$B$7/12))^A376-1)/(Mortgage!$B$7/12))))</f>
        <v/>
      </c>
      <c r="T376" s="149">
        <f>IF(D376&gt;0.005,I376/Mortgage!$B$5,"")</f>
        <v/>
      </c>
      <c r="U376">
        <f>IF(A376&gt;Mortgage!$B$8*12,NA(),B376)</f>
        <v/>
      </c>
      <c r="V376">
        <f>IF(D376&gt;0.005,I376,NA())</f>
        <v/>
      </c>
      <c r="W376">
        <f>IF(A376&gt;Mortgage!$B$8*12,NA(),S376)</f>
        <v/>
      </c>
    </row>
    <row r="377">
      <c r="A377" s="129" t="n">
        <v>372</v>
      </c>
      <c r="B377" s="146">
        <f>EDATE(Mortgage!$B$9,A377-1)</f>
        <v/>
      </c>
      <c r="C377" s="129">
        <f>INT((A377-1)/12)+1</f>
        <v/>
      </c>
      <c r="D377" s="147">
        <f>IF(N(I376)&gt;0.005,I376,0)</f>
        <v/>
      </c>
      <c r="E377" s="147">
        <f>IF(D377&gt;0.005,D377*Mortgage!$B$7/12,0)</f>
        <v/>
      </c>
      <c r="F377" s="147">
        <f>IF(D377&gt;0.005,MIN(Mortgage!$H$8-E377,D377),0)</f>
        <v/>
      </c>
      <c r="G377" s="147">
        <f>IF(D377-F377&gt;0.005,MIN(D377-F377,Mortgage!$B$18+IF(MONTH(B377)=Mortgage!$B$20,Mortgage!$B$19,0)+SUMIFS(Mortgage!$E$6:$E$15,Mortgage!$D$6:$D$15,"&gt;="&amp;B377,Mortgage!$D$6:$D$15,"&lt;"&amp;EDATE(B377,1))+IF(Mortgage!$B$10="Bi-weekly (accelerated)",Mortgage!$H$8/12,0)),0)</f>
        <v/>
      </c>
      <c r="H377" s="147">
        <f>F377+G377</f>
        <v/>
      </c>
      <c r="I377" s="148">
        <f>D377-H377</f>
        <v/>
      </c>
      <c r="J377" s="147">
        <f>E377+F377+G377</f>
        <v/>
      </c>
      <c r="K377" s="147">
        <f>IF(AND(D377&gt;0.005,Mortgage!$H$7&gt;0.8,D377/Mortgage!$B$5&gt;Mortgage!$B$14),Mortgage!$H$5*Mortgage!$B$13/12,0)</f>
        <v/>
      </c>
      <c r="L377" s="147">
        <f>IF(D377&gt;0.005,Mortgage!$B$11/12*(1+Mortgage!$B$16)^(C377-1),0)</f>
        <v/>
      </c>
      <c r="M377" s="147">
        <f>IF(D377&gt;0.005,Mortgage!$B$12/12*(1+Mortgage!$B$16)^(C377-1),0)</f>
        <v/>
      </c>
      <c r="N377" s="147">
        <f>IF(D377&gt;0.005,Mortgage!$B$15,0)</f>
        <v/>
      </c>
      <c r="O377" s="147">
        <f>J377+K377+L377+M377+N377</f>
        <v/>
      </c>
      <c r="P377" s="147">
        <f>P376+E377</f>
        <v/>
      </c>
      <c r="Q377" s="147">
        <f>IF(D377&gt;0.005,Mortgage!$B$5*(1+Mortgage!$B$17)^(A377/12),"")</f>
        <v/>
      </c>
      <c r="R377" s="147">
        <f>IF(D377&gt;0.005,Q377-I377,"")</f>
        <v/>
      </c>
      <c r="S377" s="147">
        <f>IF(A377&gt;Mortgage!$B$8*12,0,IF(Mortgage!$B$7=0,MAX(0,Mortgage!$H$5-Mortgage!$H$8*A377),MAX(0,Mortgage!$H$5*(1+(Mortgage!$B$7/12))^A377-Mortgage!$H$8*((1+(Mortgage!$B$7/12))^A377-1)/(Mortgage!$B$7/12))))</f>
        <v/>
      </c>
      <c r="T377" s="149">
        <f>IF(D377&gt;0.005,I377/Mortgage!$B$5,"")</f>
        <v/>
      </c>
      <c r="U377">
        <f>IF(A377&gt;Mortgage!$B$8*12,NA(),B377)</f>
        <v/>
      </c>
      <c r="V377">
        <f>IF(D377&gt;0.005,I377,NA())</f>
        <v/>
      </c>
      <c r="W377">
        <f>IF(A377&gt;Mortgage!$B$8*12,NA(),S377)</f>
        <v/>
      </c>
    </row>
    <row r="378">
      <c r="A378" s="129" t="n">
        <v>373</v>
      </c>
      <c r="B378" s="146">
        <f>EDATE(Mortgage!$B$9,A378-1)</f>
        <v/>
      </c>
      <c r="C378" s="129">
        <f>INT((A378-1)/12)+1</f>
        <v/>
      </c>
      <c r="D378" s="147">
        <f>IF(N(I377)&gt;0.005,I377,0)</f>
        <v/>
      </c>
      <c r="E378" s="147">
        <f>IF(D378&gt;0.005,D378*Mortgage!$B$7/12,0)</f>
        <v/>
      </c>
      <c r="F378" s="147">
        <f>IF(D378&gt;0.005,MIN(Mortgage!$H$8-E378,D378),0)</f>
        <v/>
      </c>
      <c r="G378" s="147">
        <f>IF(D378-F378&gt;0.005,MIN(D378-F378,Mortgage!$B$18+IF(MONTH(B378)=Mortgage!$B$20,Mortgage!$B$19,0)+SUMIFS(Mortgage!$E$6:$E$15,Mortgage!$D$6:$D$15,"&gt;="&amp;B378,Mortgage!$D$6:$D$15,"&lt;"&amp;EDATE(B378,1))+IF(Mortgage!$B$10="Bi-weekly (accelerated)",Mortgage!$H$8/12,0)),0)</f>
        <v/>
      </c>
      <c r="H378" s="147">
        <f>F378+G378</f>
        <v/>
      </c>
      <c r="I378" s="148">
        <f>D378-H378</f>
        <v/>
      </c>
      <c r="J378" s="147">
        <f>E378+F378+G378</f>
        <v/>
      </c>
      <c r="K378" s="147">
        <f>IF(AND(D378&gt;0.005,Mortgage!$H$7&gt;0.8,D378/Mortgage!$B$5&gt;Mortgage!$B$14),Mortgage!$H$5*Mortgage!$B$13/12,0)</f>
        <v/>
      </c>
      <c r="L378" s="147">
        <f>IF(D378&gt;0.005,Mortgage!$B$11/12*(1+Mortgage!$B$16)^(C378-1),0)</f>
        <v/>
      </c>
      <c r="M378" s="147">
        <f>IF(D378&gt;0.005,Mortgage!$B$12/12*(1+Mortgage!$B$16)^(C378-1),0)</f>
        <v/>
      </c>
      <c r="N378" s="147">
        <f>IF(D378&gt;0.005,Mortgage!$B$15,0)</f>
        <v/>
      </c>
      <c r="O378" s="147">
        <f>J378+K378+L378+M378+N378</f>
        <v/>
      </c>
      <c r="P378" s="147">
        <f>P377+E378</f>
        <v/>
      </c>
      <c r="Q378" s="147">
        <f>IF(D378&gt;0.005,Mortgage!$B$5*(1+Mortgage!$B$17)^(A378/12),"")</f>
        <v/>
      </c>
      <c r="R378" s="147">
        <f>IF(D378&gt;0.005,Q378-I378,"")</f>
        <v/>
      </c>
      <c r="S378" s="147">
        <f>IF(A378&gt;Mortgage!$B$8*12,0,IF(Mortgage!$B$7=0,MAX(0,Mortgage!$H$5-Mortgage!$H$8*A378),MAX(0,Mortgage!$H$5*(1+(Mortgage!$B$7/12))^A378-Mortgage!$H$8*((1+(Mortgage!$B$7/12))^A378-1)/(Mortgage!$B$7/12))))</f>
        <v/>
      </c>
      <c r="T378" s="149">
        <f>IF(D378&gt;0.005,I378/Mortgage!$B$5,"")</f>
        <v/>
      </c>
      <c r="U378">
        <f>IF(A378&gt;Mortgage!$B$8*12,NA(),B378)</f>
        <v/>
      </c>
      <c r="V378">
        <f>IF(D378&gt;0.005,I378,NA())</f>
        <v/>
      </c>
      <c r="W378">
        <f>IF(A378&gt;Mortgage!$B$8*12,NA(),S378)</f>
        <v/>
      </c>
    </row>
    <row r="379">
      <c r="A379" s="129" t="n">
        <v>374</v>
      </c>
      <c r="B379" s="146">
        <f>EDATE(Mortgage!$B$9,A379-1)</f>
        <v/>
      </c>
      <c r="C379" s="129">
        <f>INT((A379-1)/12)+1</f>
        <v/>
      </c>
      <c r="D379" s="147">
        <f>IF(N(I378)&gt;0.005,I378,0)</f>
        <v/>
      </c>
      <c r="E379" s="147">
        <f>IF(D379&gt;0.005,D379*Mortgage!$B$7/12,0)</f>
        <v/>
      </c>
      <c r="F379" s="147">
        <f>IF(D379&gt;0.005,MIN(Mortgage!$H$8-E379,D379),0)</f>
        <v/>
      </c>
      <c r="G379" s="147">
        <f>IF(D379-F379&gt;0.005,MIN(D379-F379,Mortgage!$B$18+IF(MONTH(B379)=Mortgage!$B$20,Mortgage!$B$19,0)+SUMIFS(Mortgage!$E$6:$E$15,Mortgage!$D$6:$D$15,"&gt;="&amp;B379,Mortgage!$D$6:$D$15,"&lt;"&amp;EDATE(B379,1))+IF(Mortgage!$B$10="Bi-weekly (accelerated)",Mortgage!$H$8/12,0)),0)</f>
        <v/>
      </c>
      <c r="H379" s="147">
        <f>F379+G379</f>
        <v/>
      </c>
      <c r="I379" s="148">
        <f>D379-H379</f>
        <v/>
      </c>
      <c r="J379" s="147">
        <f>E379+F379+G379</f>
        <v/>
      </c>
      <c r="K379" s="147">
        <f>IF(AND(D379&gt;0.005,Mortgage!$H$7&gt;0.8,D379/Mortgage!$B$5&gt;Mortgage!$B$14),Mortgage!$H$5*Mortgage!$B$13/12,0)</f>
        <v/>
      </c>
      <c r="L379" s="147">
        <f>IF(D379&gt;0.005,Mortgage!$B$11/12*(1+Mortgage!$B$16)^(C379-1),0)</f>
        <v/>
      </c>
      <c r="M379" s="147">
        <f>IF(D379&gt;0.005,Mortgage!$B$12/12*(1+Mortgage!$B$16)^(C379-1),0)</f>
        <v/>
      </c>
      <c r="N379" s="147">
        <f>IF(D379&gt;0.005,Mortgage!$B$15,0)</f>
        <v/>
      </c>
      <c r="O379" s="147">
        <f>J379+K379+L379+M379+N379</f>
        <v/>
      </c>
      <c r="P379" s="147">
        <f>P378+E379</f>
        <v/>
      </c>
      <c r="Q379" s="147">
        <f>IF(D379&gt;0.005,Mortgage!$B$5*(1+Mortgage!$B$17)^(A379/12),"")</f>
        <v/>
      </c>
      <c r="R379" s="147">
        <f>IF(D379&gt;0.005,Q379-I379,"")</f>
        <v/>
      </c>
      <c r="S379" s="147">
        <f>IF(A379&gt;Mortgage!$B$8*12,0,IF(Mortgage!$B$7=0,MAX(0,Mortgage!$H$5-Mortgage!$H$8*A379),MAX(0,Mortgage!$H$5*(1+(Mortgage!$B$7/12))^A379-Mortgage!$H$8*((1+(Mortgage!$B$7/12))^A379-1)/(Mortgage!$B$7/12))))</f>
        <v/>
      </c>
      <c r="T379" s="149">
        <f>IF(D379&gt;0.005,I379/Mortgage!$B$5,"")</f>
        <v/>
      </c>
      <c r="U379">
        <f>IF(A379&gt;Mortgage!$B$8*12,NA(),B379)</f>
        <v/>
      </c>
      <c r="V379">
        <f>IF(D379&gt;0.005,I379,NA())</f>
        <v/>
      </c>
      <c r="W379">
        <f>IF(A379&gt;Mortgage!$B$8*12,NA(),S379)</f>
        <v/>
      </c>
    </row>
    <row r="380">
      <c r="A380" s="129" t="n">
        <v>375</v>
      </c>
      <c r="B380" s="146">
        <f>EDATE(Mortgage!$B$9,A380-1)</f>
        <v/>
      </c>
      <c r="C380" s="129">
        <f>INT((A380-1)/12)+1</f>
        <v/>
      </c>
      <c r="D380" s="147">
        <f>IF(N(I379)&gt;0.005,I379,0)</f>
        <v/>
      </c>
      <c r="E380" s="147">
        <f>IF(D380&gt;0.005,D380*Mortgage!$B$7/12,0)</f>
        <v/>
      </c>
      <c r="F380" s="147">
        <f>IF(D380&gt;0.005,MIN(Mortgage!$H$8-E380,D380),0)</f>
        <v/>
      </c>
      <c r="G380" s="147">
        <f>IF(D380-F380&gt;0.005,MIN(D380-F380,Mortgage!$B$18+IF(MONTH(B380)=Mortgage!$B$20,Mortgage!$B$19,0)+SUMIFS(Mortgage!$E$6:$E$15,Mortgage!$D$6:$D$15,"&gt;="&amp;B380,Mortgage!$D$6:$D$15,"&lt;"&amp;EDATE(B380,1))+IF(Mortgage!$B$10="Bi-weekly (accelerated)",Mortgage!$H$8/12,0)),0)</f>
        <v/>
      </c>
      <c r="H380" s="147">
        <f>F380+G380</f>
        <v/>
      </c>
      <c r="I380" s="148">
        <f>D380-H380</f>
        <v/>
      </c>
      <c r="J380" s="147">
        <f>E380+F380+G380</f>
        <v/>
      </c>
      <c r="K380" s="147">
        <f>IF(AND(D380&gt;0.005,Mortgage!$H$7&gt;0.8,D380/Mortgage!$B$5&gt;Mortgage!$B$14),Mortgage!$H$5*Mortgage!$B$13/12,0)</f>
        <v/>
      </c>
      <c r="L380" s="147">
        <f>IF(D380&gt;0.005,Mortgage!$B$11/12*(1+Mortgage!$B$16)^(C380-1),0)</f>
        <v/>
      </c>
      <c r="M380" s="147">
        <f>IF(D380&gt;0.005,Mortgage!$B$12/12*(1+Mortgage!$B$16)^(C380-1),0)</f>
        <v/>
      </c>
      <c r="N380" s="147">
        <f>IF(D380&gt;0.005,Mortgage!$B$15,0)</f>
        <v/>
      </c>
      <c r="O380" s="147">
        <f>J380+K380+L380+M380+N380</f>
        <v/>
      </c>
      <c r="P380" s="147">
        <f>P379+E380</f>
        <v/>
      </c>
      <c r="Q380" s="147">
        <f>IF(D380&gt;0.005,Mortgage!$B$5*(1+Mortgage!$B$17)^(A380/12),"")</f>
        <v/>
      </c>
      <c r="R380" s="147">
        <f>IF(D380&gt;0.005,Q380-I380,"")</f>
        <v/>
      </c>
      <c r="S380" s="147">
        <f>IF(A380&gt;Mortgage!$B$8*12,0,IF(Mortgage!$B$7=0,MAX(0,Mortgage!$H$5-Mortgage!$H$8*A380),MAX(0,Mortgage!$H$5*(1+(Mortgage!$B$7/12))^A380-Mortgage!$H$8*((1+(Mortgage!$B$7/12))^A380-1)/(Mortgage!$B$7/12))))</f>
        <v/>
      </c>
      <c r="T380" s="149">
        <f>IF(D380&gt;0.005,I380/Mortgage!$B$5,"")</f>
        <v/>
      </c>
      <c r="U380">
        <f>IF(A380&gt;Mortgage!$B$8*12,NA(),B380)</f>
        <v/>
      </c>
      <c r="V380">
        <f>IF(D380&gt;0.005,I380,NA())</f>
        <v/>
      </c>
      <c r="W380">
        <f>IF(A380&gt;Mortgage!$B$8*12,NA(),S380)</f>
        <v/>
      </c>
    </row>
    <row r="381">
      <c r="A381" s="129" t="n">
        <v>376</v>
      </c>
      <c r="B381" s="146">
        <f>EDATE(Mortgage!$B$9,A381-1)</f>
        <v/>
      </c>
      <c r="C381" s="129">
        <f>INT((A381-1)/12)+1</f>
        <v/>
      </c>
      <c r="D381" s="147">
        <f>IF(N(I380)&gt;0.005,I380,0)</f>
        <v/>
      </c>
      <c r="E381" s="147">
        <f>IF(D381&gt;0.005,D381*Mortgage!$B$7/12,0)</f>
        <v/>
      </c>
      <c r="F381" s="147">
        <f>IF(D381&gt;0.005,MIN(Mortgage!$H$8-E381,D381),0)</f>
        <v/>
      </c>
      <c r="G381" s="147">
        <f>IF(D381-F381&gt;0.005,MIN(D381-F381,Mortgage!$B$18+IF(MONTH(B381)=Mortgage!$B$20,Mortgage!$B$19,0)+SUMIFS(Mortgage!$E$6:$E$15,Mortgage!$D$6:$D$15,"&gt;="&amp;B381,Mortgage!$D$6:$D$15,"&lt;"&amp;EDATE(B381,1))+IF(Mortgage!$B$10="Bi-weekly (accelerated)",Mortgage!$H$8/12,0)),0)</f>
        <v/>
      </c>
      <c r="H381" s="147">
        <f>F381+G381</f>
        <v/>
      </c>
      <c r="I381" s="148">
        <f>D381-H381</f>
        <v/>
      </c>
      <c r="J381" s="147">
        <f>E381+F381+G381</f>
        <v/>
      </c>
      <c r="K381" s="147">
        <f>IF(AND(D381&gt;0.005,Mortgage!$H$7&gt;0.8,D381/Mortgage!$B$5&gt;Mortgage!$B$14),Mortgage!$H$5*Mortgage!$B$13/12,0)</f>
        <v/>
      </c>
      <c r="L381" s="147">
        <f>IF(D381&gt;0.005,Mortgage!$B$11/12*(1+Mortgage!$B$16)^(C381-1),0)</f>
        <v/>
      </c>
      <c r="M381" s="147">
        <f>IF(D381&gt;0.005,Mortgage!$B$12/12*(1+Mortgage!$B$16)^(C381-1),0)</f>
        <v/>
      </c>
      <c r="N381" s="147">
        <f>IF(D381&gt;0.005,Mortgage!$B$15,0)</f>
        <v/>
      </c>
      <c r="O381" s="147">
        <f>J381+K381+L381+M381+N381</f>
        <v/>
      </c>
      <c r="P381" s="147">
        <f>P380+E381</f>
        <v/>
      </c>
      <c r="Q381" s="147">
        <f>IF(D381&gt;0.005,Mortgage!$B$5*(1+Mortgage!$B$17)^(A381/12),"")</f>
        <v/>
      </c>
      <c r="R381" s="147">
        <f>IF(D381&gt;0.005,Q381-I381,"")</f>
        <v/>
      </c>
      <c r="S381" s="147">
        <f>IF(A381&gt;Mortgage!$B$8*12,0,IF(Mortgage!$B$7=0,MAX(0,Mortgage!$H$5-Mortgage!$H$8*A381),MAX(0,Mortgage!$H$5*(1+(Mortgage!$B$7/12))^A381-Mortgage!$H$8*((1+(Mortgage!$B$7/12))^A381-1)/(Mortgage!$B$7/12))))</f>
        <v/>
      </c>
      <c r="T381" s="149">
        <f>IF(D381&gt;0.005,I381/Mortgage!$B$5,"")</f>
        <v/>
      </c>
      <c r="U381">
        <f>IF(A381&gt;Mortgage!$B$8*12,NA(),B381)</f>
        <v/>
      </c>
      <c r="V381">
        <f>IF(D381&gt;0.005,I381,NA())</f>
        <v/>
      </c>
      <c r="W381">
        <f>IF(A381&gt;Mortgage!$B$8*12,NA(),S381)</f>
        <v/>
      </c>
    </row>
    <row r="382">
      <c r="A382" s="129" t="n">
        <v>377</v>
      </c>
      <c r="B382" s="146">
        <f>EDATE(Mortgage!$B$9,A382-1)</f>
        <v/>
      </c>
      <c r="C382" s="129">
        <f>INT((A382-1)/12)+1</f>
        <v/>
      </c>
      <c r="D382" s="147">
        <f>IF(N(I381)&gt;0.005,I381,0)</f>
        <v/>
      </c>
      <c r="E382" s="147">
        <f>IF(D382&gt;0.005,D382*Mortgage!$B$7/12,0)</f>
        <v/>
      </c>
      <c r="F382" s="147">
        <f>IF(D382&gt;0.005,MIN(Mortgage!$H$8-E382,D382),0)</f>
        <v/>
      </c>
      <c r="G382" s="147">
        <f>IF(D382-F382&gt;0.005,MIN(D382-F382,Mortgage!$B$18+IF(MONTH(B382)=Mortgage!$B$20,Mortgage!$B$19,0)+SUMIFS(Mortgage!$E$6:$E$15,Mortgage!$D$6:$D$15,"&gt;="&amp;B382,Mortgage!$D$6:$D$15,"&lt;"&amp;EDATE(B382,1))+IF(Mortgage!$B$10="Bi-weekly (accelerated)",Mortgage!$H$8/12,0)),0)</f>
        <v/>
      </c>
      <c r="H382" s="147">
        <f>F382+G382</f>
        <v/>
      </c>
      <c r="I382" s="148">
        <f>D382-H382</f>
        <v/>
      </c>
      <c r="J382" s="147">
        <f>E382+F382+G382</f>
        <v/>
      </c>
      <c r="K382" s="147">
        <f>IF(AND(D382&gt;0.005,Mortgage!$H$7&gt;0.8,D382/Mortgage!$B$5&gt;Mortgage!$B$14),Mortgage!$H$5*Mortgage!$B$13/12,0)</f>
        <v/>
      </c>
      <c r="L382" s="147">
        <f>IF(D382&gt;0.005,Mortgage!$B$11/12*(1+Mortgage!$B$16)^(C382-1),0)</f>
        <v/>
      </c>
      <c r="M382" s="147">
        <f>IF(D382&gt;0.005,Mortgage!$B$12/12*(1+Mortgage!$B$16)^(C382-1),0)</f>
        <v/>
      </c>
      <c r="N382" s="147">
        <f>IF(D382&gt;0.005,Mortgage!$B$15,0)</f>
        <v/>
      </c>
      <c r="O382" s="147">
        <f>J382+K382+L382+M382+N382</f>
        <v/>
      </c>
      <c r="P382" s="147">
        <f>P381+E382</f>
        <v/>
      </c>
      <c r="Q382" s="147">
        <f>IF(D382&gt;0.005,Mortgage!$B$5*(1+Mortgage!$B$17)^(A382/12),"")</f>
        <v/>
      </c>
      <c r="R382" s="147">
        <f>IF(D382&gt;0.005,Q382-I382,"")</f>
        <v/>
      </c>
      <c r="S382" s="147">
        <f>IF(A382&gt;Mortgage!$B$8*12,0,IF(Mortgage!$B$7=0,MAX(0,Mortgage!$H$5-Mortgage!$H$8*A382),MAX(0,Mortgage!$H$5*(1+(Mortgage!$B$7/12))^A382-Mortgage!$H$8*((1+(Mortgage!$B$7/12))^A382-1)/(Mortgage!$B$7/12))))</f>
        <v/>
      </c>
      <c r="T382" s="149">
        <f>IF(D382&gt;0.005,I382/Mortgage!$B$5,"")</f>
        <v/>
      </c>
      <c r="U382">
        <f>IF(A382&gt;Mortgage!$B$8*12,NA(),B382)</f>
        <v/>
      </c>
      <c r="V382">
        <f>IF(D382&gt;0.005,I382,NA())</f>
        <v/>
      </c>
      <c r="W382">
        <f>IF(A382&gt;Mortgage!$B$8*12,NA(),S382)</f>
        <v/>
      </c>
    </row>
    <row r="383">
      <c r="A383" s="129" t="n">
        <v>378</v>
      </c>
      <c r="B383" s="146">
        <f>EDATE(Mortgage!$B$9,A383-1)</f>
        <v/>
      </c>
      <c r="C383" s="129">
        <f>INT((A383-1)/12)+1</f>
        <v/>
      </c>
      <c r="D383" s="147">
        <f>IF(N(I382)&gt;0.005,I382,0)</f>
        <v/>
      </c>
      <c r="E383" s="147">
        <f>IF(D383&gt;0.005,D383*Mortgage!$B$7/12,0)</f>
        <v/>
      </c>
      <c r="F383" s="147">
        <f>IF(D383&gt;0.005,MIN(Mortgage!$H$8-E383,D383),0)</f>
        <v/>
      </c>
      <c r="G383" s="147">
        <f>IF(D383-F383&gt;0.005,MIN(D383-F383,Mortgage!$B$18+IF(MONTH(B383)=Mortgage!$B$20,Mortgage!$B$19,0)+SUMIFS(Mortgage!$E$6:$E$15,Mortgage!$D$6:$D$15,"&gt;="&amp;B383,Mortgage!$D$6:$D$15,"&lt;"&amp;EDATE(B383,1))+IF(Mortgage!$B$10="Bi-weekly (accelerated)",Mortgage!$H$8/12,0)),0)</f>
        <v/>
      </c>
      <c r="H383" s="147">
        <f>F383+G383</f>
        <v/>
      </c>
      <c r="I383" s="148">
        <f>D383-H383</f>
        <v/>
      </c>
      <c r="J383" s="147">
        <f>E383+F383+G383</f>
        <v/>
      </c>
      <c r="K383" s="147">
        <f>IF(AND(D383&gt;0.005,Mortgage!$H$7&gt;0.8,D383/Mortgage!$B$5&gt;Mortgage!$B$14),Mortgage!$H$5*Mortgage!$B$13/12,0)</f>
        <v/>
      </c>
      <c r="L383" s="147">
        <f>IF(D383&gt;0.005,Mortgage!$B$11/12*(1+Mortgage!$B$16)^(C383-1),0)</f>
        <v/>
      </c>
      <c r="M383" s="147">
        <f>IF(D383&gt;0.005,Mortgage!$B$12/12*(1+Mortgage!$B$16)^(C383-1),0)</f>
        <v/>
      </c>
      <c r="N383" s="147">
        <f>IF(D383&gt;0.005,Mortgage!$B$15,0)</f>
        <v/>
      </c>
      <c r="O383" s="147">
        <f>J383+K383+L383+M383+N383</f>
        <v/>
      </c>
      <c r="P383" s="147">
        <f>P382+E383</f>
        <v/>
      </c>
      <c r="Q383" s="147">
        <f>IF(D383&gt;0.005,Mortgage!$B$5*(1+Mortgage!$B$17)^(A383/12),"")</f>
        <v/>
      </c>
      <c r="R383" s="147">
        <f>IF(D383&gt;0.005,Q383-I383,"")</f>
        <v/>
      </c>
      <c r="S383" s="147">
        <f>IF(A383&gt;Mortgage!$B$8*12,0,IF(Mortgage!$B$7=0,MAX(0,Mortgage!$H$5-Mortgage!$H$8*A383),MAX(0,Mortgage!$H$5*(1+(Mortgage!$B$7/12))^A383-Mortgage!$H$8*((1+(Mortgage!$B$7/12))^A383-1)/(Mortgage!$B$7/12))))</f>
        <v/>
      </c>
      <c r="T383" s="149">
        <f>IF(D383&gt;0.005,I383/Mortgage!$B$5,"")</f>
        <v/>
      </c>
      <c r="U383">
        <f>IF(A383&gt;Mortgage!$B$8*12,NA(),B383)</f>
        <v/>
      </c>
      <c r="V383">
        <f>IF(D383&gt;0.005,I383,NA())</f>
        <v/>
      </c>
      <c r="W383">
        <f>IF(A383&gt;Mortgage!$B$8*12,NA(),S383)</f>
        <v/>
      </c>
    </row>
    <row r="384">
      <c r="A384" s="129" t="n">
        <v>379</v>
      </c>
      <c r="B384" s="146">
        <f>EDATE(Mortgage!$B$9,A384-1)</f>
        <v/>
      </c>
      <c r="C384" s="129">
        <f>INT((A384-1)/12)+1</f>
        <v/>
      </c>
      <c r="D384" s="147">
        <f>IF(N(I383)&gt;0.005,I383,0)</f>
        <v/>
      </c>
      <c r="E384" s="147">
        <f>IF(D384&gt;0.005,D384*Mortgage!$B$7/12,0)</f>
        <v/>
      </c>
      <c r="F384" s="147">
        <f>IF(D384&gt;0.005,MIN(Mortgage!$H$8-E384,D384),0)</f>
        <v/>
      </c>
      <c r="G384" s="147">
        <f>IF(D384-F384&gt;0.005,MIN(D384-F384,Mortgage!$B$18+IF(MONTH(B384)=Mortgage!$B$20,Mortgage!$B$19,0)+SUMIFS(Mortgage!$E$6:$E$15,Mortgage!$D$6:$D$15,"&gt;="&amp;B384,Mortgage!$D$6:$D$15,"&lt;"&amp;EDATE(B384,1))+IF(Mortgage!$B$10="Bi-weekly (accelerated)",Mortgage!$H$8/12,0)),0)</f>
        <v/>
      </c>
      <c r="H384" s="147">
        <f>F384+G384</f>
        <v/>
      </c>
      <c r="I384" s="148">
        <f>D384-H384</f>
        <v/>
      </c>
      <c r="J384" s="147">
        <f>E384+F384+G384</f>
        <v/>
      </c>
      <c r="K384" s="147">
        <f>IF(AND(D384&gt;0.005,Mortgage!$H$7&gt;0.8,D384/Mortgage!$B$5&gt;Mortgage!$B$14),Mortgage!$H$5*Mortgage!$B$13/12,0)</f>
        <v/>
      </c>
      <c r="L384" s="147">
        <f>IF(D384&gt;0.005,Mortgage!$B$11/12*(1+Mortgage!$B$16)^(C384-1),0)</f>
        <v/>
      </c>
      <c r="M384" s="147">
        <f>IF(D384&gt;0.005,Mortgage!$B$12/12*(1+Mortgage!$B$16)^(C384-1),0)</f>
        <v/>
      </c>
      <c r="N384" s="147">
        <f>IF(D384&gt;0.005,Mortgage!$B$15,0)</f>
        <v/>
      </c>
      <c r="O384" s="147">
        <f>J384+K384+L384+M384+N384</f>
        <v/>
      </c>
      <c r="P384" s="147">
        <f>P383+E384</f>
        <v/>
      </c>
      <c r="Q384" s="147">
        <f>IF(D384&gt;0.005,Mortgage!$B$5*(1+Mortgage!$B$17)^(A384/12),"")</f>
        <v/>
      </c>
      <c r="R384" s="147">
        <f>IF(D384&gt;0.005,Q384-I384,"")</f>
        <v/>
      </c>
      <c r="S384" s="147">
        <f>IF(A384&gt;Mortgage!$B$8*12,0,IF(Mortgage!$B$7=0,MAX(0,Mortgage!$H$5-Mortgage!$H$8*A384),MAX(0,Mortgage!$H$5*(1+(Mortgage!$B$7/12))^A384-Mortgage!$H$8*((1+(Mortgage!$B$7/12))^A384-1)/(Mortgage!$B$7/12))))</f>
        <v/>
      </c>
      <c r="T384" s="149">
        <f>IF(D384&gt;0.005,I384/Mortgage!$B$5,"")</f>
        <v/>
      </c>
      <c r="U384">
        <f>IF(A384&gt;Mortgage!$B$8*12,NA(),B384)</f>
        <v/>
      </c>
      <c r="V384">
        <f>IF(D384&gt;0.005,I384,NA())</f>
        <v/>
      </c>
      <c r="W384">
        <f>IF(A384&gt;Mortgage!$B$8*12,NA(),S384)</f>
        <v/>
      </c>
    </row>
    <row r="385">
      <c r="A385" s="129" t="n">
        <v>380</v>
      </c>
      <c r="B385" s="146">
        <f>EDATE(Mortgage!$B$9,A385-1)</f>
        <v/>
      </c>
      <c r="C385" s="129">
        <f>INT((A385-1)/12)+1</f>
        <v/>
      </c>
      <c r="D385" s="147">
        <f>IF(N(I384)&gt;0.005,I384,0)</f>
        <v/>
      </c>
      <c r="E385" s="147">
        <f>IF(D385&gt;0.005,D385*Mortgage!$B$7/12,0)</f>
        <v/>
      </c>
      <c r="F385" s="147">
        <f>IF(D385&gt;0.005,MIN(Mortgage!$H$8-E385,D385),0)</f>
        <v/>
      </c>
      <c r="G385" s="147">
        <f>IF(D385-F385&gt;0.005,MIN(D385-F385,Mortgage!$B$18+IF(MONTH(B385)=Mortgage!$B$20,Mortgage!$B$19,0)+SUMIFS(Mortgage!$E$6:$E$15,Mortgage!$D$6:$D$15,"&gt;="&amp;B385,Mortgage!$D$6:$D$15,"&lt;"&amp;EDATE(B385,1))+IF(Mortgage!$B$10="Bi-weekly (accelerated)",Mortgage!$H$8/12,0)),0)</f>
        <v/>
      </c>
      <c r="H385" s="147">
        <f>F385+G385</f>
        <v/>
      </c>
      <c r="I385" s="148">
        <f>D385-H385</f>
        <v/>
      </c>
      <c r="J385" s="147">
        <f>E385+F385+G385</f>
        <v/>
      </c>
      <c r="K385" s="147">
        <f>IF(AND(D385&gt;0.005,Mortgage!$H$7&gt;0.8,D385/Mortgage!$B$5&gt;Mortgage!$B$14),Mortgage!$H$5*Mortgage!$B$13/12,0)</f>
        <v/>
      </c>
      <c r="L385" s="147">
        <f>IF(D385&gt;0.005,Mortgage!$B$11/12*(1+Mortgage!$B$16)^(C385-1),0)</f>
        <v/>
      </c>
      <c r="M385" s="147">
        <f>IF(D385&gt;0.005,Mortgage!$B$12/12*(1+Mortgage!$B$16)^(C385-1),0)</f>
        <v/>
      </c>
      <c r="N385" s="147">
        <f>IF(D385&gt;0.005,Mortgage!$B$15,0)</f>
        <v/>
      </c>
      <c r="O385" s="147">
        <f>J385+K385+L385+M385+N385</f>
        <v/>
      </c>
      <c r="P385" s="147">
        <f>P384+E385</f>
        <v/>
      </c>
      <c r="Q385" s="147">
        <f>IF(D385&gt;0.005,Mortgage!$B$5*(1+Mortgage!$B$17)^(A385/12),"")</f>
        <v/>
      </c>
      <c r="R385" s="147">
        <f>IF(D385&gt;0.005,Q385-I385,"")</f>
        <v/>
      </c>
      <c r="S385" s="147">
        <f>IF(A385&gt;Mortgage!$B$8*12,0,IF(Mortgage!$B$7=0,MAX(0,Mortgage!$H$5-Mortgage!$H$8*A385),MAX(0,Mortgage!$H$5*(1+(Mortgage!$B$7/12))^A385-Mortgage!$H$8*((1+(Mortgage!$B$7/12))^A385-1)/(Mortgage!$B$7/12))))</f>
        <v/>
      </c>
      <c r="T385" s="149">
        <f>IF(D385&gt;0.005,I385/Mortgage!$B$5,"")</f>
        <v/>
      </c>
      <c r="U385">
        <f>IF(A385&gt;Mortgage!$B$8*12,NA(),B385)</f>
        <v/>
      </c>
      <c r="V385">
        <f>IF(D385&gt;0.005,I385,NA())</f>
        <v/>
      </c>
      <c r="W385">
        <f>IF(A385&gt;Mortgage!$B$8*12,NA(),S385)</f>
        <v/>
      </c>
    </row>
    <row r="386">
      <c r="A386" s="129" t="n">
        <v>381</v>
      </c>
      <c r="B386" s="146">
        <f>EDATE(Mortgage!$B$9,A386-1)</f>
        <v/>
      </c>
      <c r="C386" s="129">
        <f>INT((A386-1)/12)+1</f>
        <v/>
      </c>
      <c r="D386" s="147">
        <f>IF(N(I385)&gt;0.005,I385,0)</f>
        <v/>
      </c>
      <c r="E386" s="147">
        <f>IF(D386&gt;0.005,D386*Mortgage!$B$7/12,0)</f>
        <v/>
      </c>
      <c r="F386" s="147">
        <f>IF(D386&gt;0.005,MIN(Mortgage!$H$8-E386,D386),0)</f>
        <v/>
      </c>
      <c r="G386" s="147">
        <f>IF(D386-F386&gt;0.005,MIN(D386-F386,Mortgage!$B$18+IF(MONTH(B386)=Mortgage!$B$20,Mortgage!$B$19,0)+SUMIFS(Mortgage!$E$6:$E$15,Mortgage!$D$6:$D$15,"&gt;="&amp;B386,Mortgage!$D$6:$D$15,"&lt;"&amp;EDATE(B386,1))+IF(Mortgage!$B$10="Bi-weekly (accelerated)",Mortgage!$H$8/12,0)),0)</f>
        <v/>
      </c>
      <c r="H386" s="147">
        <f>F386+G386</f>
        <v/>
      </c>
      <c r="I386" s="148">
        <f>D386-H386</f>
        <v/>
      </c>
      <c r="J386" s="147">
        <f>E386+F386+G386</f>
        <v/>
      </c>
      <c r="K386" s="147">
        <f>IF(AND(D386&gt;0.005,Mortgage!$H$7&gt;0.8,D386/Mortgage!$B$5&gt;Mortgage!$B$14),Mortgage!$H$5*Mortgage!$B$13/12,0)</f>
        <v/>
      </c>
      <c r="L386" s="147">
        <f>IF(D386&gt;0.005,Mortgage!$B$11/12*(1+Mortgage!$B$16)^(C386-1),0)</f>
        <v/>
      </c>
      <c r="M386" s="147">
        <f>IF(D386&gt;0.005,Mortgage!$B$12/12*(1+Mortgage!$B$16)^(C386-1),0)</f>
        <v/>
      </c>
      <c r="N386" s="147">
        <f>IF(D386&gt;0.005,Mortgage!$B$15,0)</f>
        <v/>
      </c>
      <c r="O386" s="147">
        <f>J386+K386+L386+M386+N386</f>
        <v/>
      </c>
      <c r="P386" s="147">
        <f>P385+E386</f>
        <v/>
      </c>
      <c r="Q386" s="147">
        <f>IF(D386&gt;0.005,Mortgage!$B$5*(1+Mortgage!$B$17)^(A386/12),"")</f>
        <v/>
      </c>
      <c r="R386" s="147">
        <f>IF(D386&gt;0.005,Q386-I386,"")</f>
        <v/>
      </c>
      <c r="S386" s="147">
        <f>IF(A386&gt;Mortgage!$B$8*12,0,IF(Mortgage!$B$7=0,MAX(0,Mortgage!$H$5-Mortgage!$H$8*A386),MAX(0,Mortgage!$H$5*(1+(Mortgage!$B$7/12))^A386-Mortgage!$H$8*((1+(Mortgage!$B$7/12))^A386-1)/(Mortgage!$B$7/12))))</f>
        <v/>
      </c>
      <c r="T386" s="149">
        <f>IF(D386&gt;0.005,I386/Mortgage!$B$5,"")</f>
        <v/>
      </c>
      <c r="U386">
        <f>IF(A386&gt;Mortgage!$B$8*12,NA(),B386)</f>
        <v/>
      </c>
      <c r="V386">
        <f>IF(D386&gt;0.005,I386,NA())</f>
        <v/>
      </c>
      <c r="W386">
        <f>IF(A386&gt;Mortgage!$B$8*12,NA(),S386)</f>
        <v/>
      </c>
    </row>
    <row r="387">
      <c r="A387" s="129" t="n">
        <v>382</v>
      </c>
      <c r="B387" s="146">
        <f>EDATE(Mortgage!$B$9,A387-1)</f>
        <v/>
      </c>
      <c r="C387" s="129">
        <f>INT((A387-1)/12)+1</f>
        <v/>
      </c>
      <c r="D387" s="147">
        <f>IF(N(I386)&gt;0.005,I386,0)</f>
        <v/>
      </c>
      <c r="E387" s="147">
        <f>IF(D387&gt;0.005,D387*Mortgage!$B$7/12,0)</f>
        <v/>
      </c>
      <c r="F387" s="147">
        <f>IF(D387&gt;0.005,MIN(Mortgage!$H$8-E387,D387),0)</f>
        <v/>
      </c>
      <c r="G387" s="147">
        <f>IF(D387-F387&gt;0.005,MIN(D387-F387,Mortgage!$B$18+IF(MONTH(B387)=Mortgage!$B$20,Mortgage!$B$19,0)+SUMIFS(Mortgage!$E$6:$E$15,Mortgage!$D$6:$D$15,"&gt;="&amp;B387,Mortgage!$D$6:$D$15,"&lt;"&amp;EDATE(B387,1))+IF(Mortgage!$B$10="Bi-weekly (accelerated)",Mortgage!$H$8/12,0)),0)</f>
        <v/>
      </c>
      <c r="H387" s="147">
        <f>F387+G387</f>
        <v/>
      </c>
      <c r="I387" s="148">
        <f>D387-H387</f>
        <v/>
      </c>
      <c r="J387" s="147">
        <f>E387+F387+G387</f>
        <v/>
      </c>
      <c r="K387" s="147">
        <f>IF(AND(D387&gt;0.005,Mortgage!$H$7&gt;0.8,D387/Mortgage!$B$5&gt;Mortgage!$B$14),Mortgage!$H$5*Mortgage!$B$13/12,0)</f>
        <v/>
      </c>
      <c r="L387" s="147">
        <f>IF(D387&gt;0.005,Mortgage!$B$11/12*(1+Mortgage!$B$16)^(C387-1),0)</f>
        <v/>
      </c>
      <c r="M387" s="147">
        <f>IF(D387&gt;0.005,Mortgage!$B$12/12*(1+Mortgage!$B$16)^(C387-1),0)</f>
        <v/>
      </c>
      <c r="N387" s="147">
        <f>IF(D387&gt;0.005,Mortgage!$B$15,0)</f>
        <v/>
      </c>
      <c r="O387" s="147">
        <f>J387+K387+L387+M387+N387</f>
        <v/>
      </c>
      <c r="P387" s="147">
        <f>P386+E387</f>
        <v/>
      </c>
      <c r="Q387" s="147">
        <f>IF(D387&gt;0.005,Mortgage!$B$5*(1+Mortgage!$B$17)^(A387/12),"")</f>
        <v/>
      </c>
      <c r="R387" s="147">
        <f>IF(D387&gt;0.005,Q387-I387,"")</f>
        <v/>
      </c>
      <c r="S387" s="147">
        <f>IF(A387&gt;Mortgage!$B$8*12,0,IF(Mortgage!$B$7=0,MAX(0,Mortgage!$H$5-Mortgage!$H$8*A387),MAX(0,Mortgage!$H$5*(1+(Mortgage!$B$7/12))^A387-Mortgage!$H$8*((1+(Mortgage!$B$7/12))^A387-1)/(Mortgage!$B$7/12))))</f>
        <v/>
      </c>
      <c r="T387" s="149">
        <f>IF(D387&gt;0.005,I387/Mortgage!$B$5,"")</f>
        <v/>
      </c>
      <c r="U387">
        <f>IF(A387&gt;Mortgage!$B$8*12,NA(),B387)</f>
        <v/>
      </c>
      <c r="V387">
        <f>IF(D387&gt;0.005,I387,NA())</f>
        <v/>
      </c>
      <c r="W387">
        <f>IF(A387&gt;Mortgage!$B$8*12,NA(),S387)</f>
        <v/>
      </c>
    </row>
    <row r="388">
      <c r="A388" s="129" t="n">
        <v>383</v>
      </c>
      <c r="B388" s="146">
        <f>EDATE(Mortgage!$B$9,A388-1)</f>
        <v/>
      </c>
      <c r="C388" s="129">
        <f>INT((A388-1)/12)+1</f>
        <v/>
      </c>
      <c r="D388" s="147">
        <f>IF(N(I387)&gt;0.005,I387,0)</f>
        <v/>
      </c>
      <c r="E388" s="147">
        <f>IF(D388&gt;0.005,D388*Mortgage!$B$7/12,0)</f>
        <v/>
      </c>
      <c r="F388" s="147">
        <f>IF(D388&gt;0.005,MIN(Mortgage!$H$8-E388,D388),0)</f>
        <v/>
      </c>
      <c r="G388" s="147">
        <f>IF(D388-F388&gt;0.005,MIN(D388-F388,Mortgage!$B$18+IF(MONTH(B388)=Mortgage!$B$20,Mortgage!$B$19,0)+SUMIFS(Mortgage!$E$6:$E$15,Mortgage!$D$6:$D$15,"&gt;="&amp;B388,Mortgage!$D$6:$D$15,"&lt;"&amp;EDATE(B388,1))+IF(Mortgage!$B$10="Bi-weekly (accelerated)",Mortgage!$H$8/12,0)),0)</f>
        <v/>
      </c>
      <c r="H388" s="147">
        <f>F388+G388</f>
        <v/>
      </c>
      <c r="I388" s="148">
        <f>D388-H388</f>
        <v/>
      </c>
      <c r="J388" s="147">
        <f>E388+F388+G388</f>
        <v/>
      </c>
      <c r="K388" s="147">
        <f>IF(AND(D388&gt;0.005,Mortgage!$H$7&gt;0.8,D388/Mortgage!$B$5&gt;Mortgage!$B$14),Mortgage!$H$5*Mortgage!$B$13/12,0)</f>
        <v/>
      </c>
      <c r="L388" s="147">
        <f>IF(D388&gt;0.005,Mortgage!$B$11/12*(1+Mortgage!$B$16)^(C388-1),0)</f>
        <v/>
      </c>
      <c r="M388" s="147">
        <f>IF(D388&gt;0.005,Mortgage!$B$12/12*(1+Mortgage!$B$16)^(C388-1),0)</f>
        <v/>
      </c>
      <c r="N388" s="147">
        <f>IF(D388&gt;0.005,Mortgage!$B$15,0)</f>
        <v/>
      </c>
      <c r="O388" s="147">
        <f>J388+K388+L388+M388+N388</f>
        <v/>
      </c>
      <c r="P388" s="147">
        <f>P387+E388</f>
        <v/>
      </c>
      <c r="Q388" s="147">
        <f>IF(D388&gt;0.005,Mortgage!$B$5*(1+Mortgage!$B$17)^(A388/12),"")</f>
        <v/>
      </c>
      <c r="R388" s="147">
        <f>IF(D388&gt;0.005,Q388-I388,"")</f>
        <v/>
      </c>
      <c r="S388" s="147">
        <f>IF(A388&gt;Mortgage!$B$8*12,0,IF(Mortgage!$B$7=0,MAX(0,Mortgage!$H$5-Mortgage!$H$8*A388),MAX(0,Mortgage!$H$5*(1+(Mortgage!$B$7/12))^A388-Mortgage!$H$8*((1+(Mortgage!$B$7/12))^A388-1)/(Mortgage!$B$7/12))))</f>
        <v/>
      </c>
      <c r="T388" s="149">
        <f>IF(D388&gt;0.005,I388/Mortgage!$B$5,"")</f>
        <v/>
      </c>
      <c r="U388">
        <f>IF(A388&gt;Mortgage!$B$8*12,NA(),B388)</f>
        <v/>
      </c>
      <c r="V388">
        <f>IF(D388&gt;0.005,I388,NA())</f>
        <v/>
      </c>
      <c r="W388">
        <f>IF(A388&gt;Mortgage!$B$8*12,NA(),S388)</f>
        <v/>
      </c>
    </row>
    <row r="389">
      <c r="A389" s="129" t="n">
        <v>384</v>
      </c>
      <c r="B389" s="146">
        <f>EDATE(Mortgage!$B$9,A389-1)</f>
        <v/>
      </c>
      <c r="C389" s="129">
        <f>INT((A389-1)/12)+1</f>
        <v/>
      </c>
      <c r="D389" s="147">
        <f>IF(N(I388)&gt;0.005,I388,0)</f>
        <v/>
      </c>
      <c r="E389" s="147">
        <f>IF(D389&gt;0.005,D389*Mortgage!$B$7/12,0)</f>
        <v/>
      </c>
      <c r="F389" s="147">
        <f>IF(D389&gt;0.005,MIN(Mortgage!$H$8-E389,D389),0)</f>
        <v/>
      </c>
      <c r="G389" s="147">
        <f>IF(D389-F389&gt;0.005,MIN(D389-F389,Mortgage!$B$18+IF(MONTH(B389)=Mortgage!$B$20,Mortgage!$B$19,0)+SUMIFS(Mortgage!$E$6:$E$15,Mortgage!$D$6:$D$15,"&gt;="&amp;B389,Mortgage!$D$6:$D$15,"&lt;"&amp;EDATE(B389,1))+IF(Mortgage!$B$10="Bi-weekly (accelerated)",Mortgage!$H$8/12,0)),0)</f>
        <v/>
      </c>
      <c r="H389" s="147">
        <f>F389+G389</f>
        <v/>
      </c>
      <c r="I389" s="148">
        <f>D389-H389</f>
        <v/>
      </c>
      <c r="J389" s="147">
        <f>E389+F389+G389</f>
        <v/>
      </c>
      <c r="K389" s="147">
        <f>IF(AND(D389&gt;0.005,Mortgage!$H$7&gt;0.8,D389/Mortgage!$B$5&gt;Mortgage!$B$14),Mortgage!$H$5*Mortgage!$B$13/12,0)</f>
        <v/>
      </c>
      <c r="L389" s="147">
        <f>IF(D389&gt;0.005,Mortgage!$B$11/12*(1+Mortgage!$B$16)^(C389-1),0)</f>
        <v/>
      </c>
      <c r="M389" s="147">
        <f>IF(D389&gt;0.005,Mortgage!$B$12/12*(1+Mortgage!$B$16)^(C389-1),0)</f>
        <v/>
      </c>
      <c r="N389" s="147">
        <f>IF(D389&gt;0.005,Mortgage!$B$15,0)</f>
        <v/>
      </c>
      <c r="O389" s="147">
        <f>J389+K389+L389+M389+N389</f>
        <v/>
      </c>
      <c r="P389" s="147">
        <f>P388+E389</f>
        <v/>
      </c>
      <c r="Q389" s="147">
        <f>IF(D389&gt;0.005,Mortgage!$B$5*(1+Mortgage!$B$17)^(A389/12),"")</f>
        <v/>
      </c>
      <c r="R389" s="147">
        <f>IF(D389&gt;0.005,Q389-I389,"")</f>
        <v/>
      </c>
      <c r="S389" s="147">
        <f>IF(A389&gt;Mortgage!$B$8*12,0,IF(Mortgage!$B$7=0,MAX(0,Mortgage!$H$5-Mortgage!$H$8*A389),MAX(0,Mortgage!$H$5*(1+(Mortgage!$B$7/12))^A389-Mortgage!$H$8*((1+(Mortgage!$B$7/12))^A389-1)/(Mortgage!$B$7/12))))</f>
        <v/>
      </c>
      <c r="T389" s="149">
        <f>IF(D389&gt;0.005,I389/Mortgage!$B$5,"")</f>
        <v/>
      </c>
      <c r="U389">
        <f>IF(A389&gt;Mortgage!$B$8*12,NA(),B389)</f>
        <v/>
      </c>
      <c r="V389">
        <f>IF(D389&gt;0.005,I389,NA())</f>
        <v/>
      </c>
      <c r="W389">
        <f>IF(A389&gt;Mortgage!$B$8*12,NA(),S389)</f>
        <v/>
      </c>
    </row>
    <row r="390">
      <c r="A390" s="129" t="n">
        <v>385</v>
      </c>
      <c r="B390" s="146">
        <f>EDATE(Mortgage!$B$9,A390-1)</f>
        <v/>
      </c>
      <c r="C390" s="129">
        <f>INT((A390-1)/12)+1</f>
        <v/>
      </c>
      <c r="D390" s="147">
        <f>IF(N(I389)&gt;0.005,I389,0)</f>
        <v/>
      </c>
      <c r="E390" s="147">
        <f>IF(D390&gt;0.005,D390*Mortgage!$B$7/12,0)</f>
        <v/>
      </c>
      <c r="F390" s="147">
        <f>IF(D390&gt;0.005,MIN(Mortgage!$H$8-E390,D390),0)</f>
        <v/>
      </c>
      <c r="G390" s="147">
        <f>IF(D390-F390&gt;0.005,MIN(D390-F390,Mortgage!$B$18+IF(MONTH(B390)=Mortgage!$B$20,Mortgage!$B$19,0)+SUMIFS(Mortgage!$E$6:$E$15,Mortgage!$D$6:$D$15,"&gt;="&amp;B390,Mortgage!$D$6:$D$15,"&lt;"&amp;EDATE(B390,1))+IF(Mortgage!$B$10="Bi-weekly (accelerated)",Mortgage!$H$8/12,0)),0)</f>
        <v/>
      </c>
      <c r="H390" s="147">
        <f>F390+G390</f>
        <v/>
      </c>
      <c r="I390" s="148">
        <f>D390-H390</f>
        <v/>
      </c>
      <c r="J390" s="147">
        <f>E390+F390+G390</f>
        <v/>
      </c>
      <c r="K390" s="147">
        <f>IF(AND(D390&gt;0.005,Mortgage!$H$7&gt;0.8,D390/Mortgage!$B$5&gt;Mortgage!$B$14),Mortgage!$H$5*Mortgage!$B$13/12,0)</f>
        <v/>
      </c>
      <c r="L390" s="147">
        <f>IF(D390&gt;0.005,Mortgage!$B$11/12*(1+Mortgage!$B$16)^(C390-1),0)</f>
        <v/>
      </c>
      <c r="M390" s="147">
        <f>IF(D390&gt;0.005,Mortgage!$B$12/12*(1+Mortgage!$B$16)^(C390-1),0)</f>
        <v/>
      </c>
      <c r="N390" s="147">
        <f>IF(D390&gt;0.005,Mortgage!$B$15,0)</f>
        <v/>
      </c>
      <c r="O390" s="147">
        <f>J390+K390+L390+M390+N390</f>
        <v/>
      </c>
      <c r="P390" s="147">
        <f>P389+E390</f>
        <v/>
      </c>
      <c r="Q390" s="147">
        <f>IF(D390&gt;0.005,Mortgage!$B$5*(1+Mortgage!$B$17)^(A390/12),"")</f>
        <v/>
      </c>
      <c r="R390" s="147">
        <f>IF(D390&gt;0.005,Q390-I390,"")</f>
        <v/>
      </c>
      <c r="S390" s="147">
        <f>IF(A390&gt;Mortgage!$B$8*12,0,IF(Mortgage!$B$7=0,MAX(0,Mortgage!$H$5-Mortgage!$H$8*A390),MAX(0,Mortgage!$H$5*(1+(Mortgage!$B$7/12))^A390-Mortgage!$H$8*((1+(Mortgage!$B$7/12))^A390-1)/(Mortgage!$B$7/12))))</f>
        <v/>
      </c>
      <c r="T390" s="149">
        <f>IF(D390&gt;0.005,I390/Mortgage!$B$5,"")</f>
        <v/>
      </c>
      <c r="U390">
        <f>IF(A390&gt;Mortgage!$B$8*12,NA(),B390)</f>
        <v/>
      </c>
      <c r="V390">
        <f>IF(D390&gt;0.005,I390,NA())</f>
        <v/>
      </c>
      <c r="W390">
        <f>IF(A390&gt;Mortgage!$B$8*12,NA(),S390)</f>
        <v/>
      </c>
    </row>
    <row r="391">
      <c r="A391" s="129" t="n">
        <v>386</v>
      </c>
      <c r="B391" s="146">
        <f>EDATE(Mortgage!$B$9,A391-1)</f>
        <v/>
      </c>
      <c r="C391" s="129">
        <f>INT((A391-1)/12)+1</f>
        <v/>
      </c>
      <c r="D391" s="147">
        <f>IF(N(I390)&gt;0.005,I390,0)</f>
        <v/>
      </c>
      <c r="E391" s="147">
        <f>IF(D391&gt;0.005,D391*Mortgage!$B$7/12,0)</f>
        <v/>
      </c>
      <c r="F391" s="147">
        <f>IF(D391&gt;0.005,MIN(Mortgage!$H$8-E391,D391),0)</f>
        <v/>
      </c>
      <c r="G391" s="147">
        <f>IF(D391-F391&gt;0.005,MIN(D391-F391,Mortgage!$B$18+IF(MONTH(B391)=Mortgage!$B$20,Mortgage!$B$19,0)+SUMIFS(Mortgage!$E$6:$E$15,Mortgage!$D$6:$D$15,"&gt;="&amp;B391,Mortgage!$D$6:$D$15,"&lt;"&amp;EDATE(B391,1))+IF(Mortgage!$B$10="Bi-weekly (accelerated)",Mortgage!$H$8/12,0)),0)</f>
        <v/>
      </c>
      <c r="H391" s="147">
        <f>F391+G391</f>
        <v/>
      </c>
      <c r="I391" s="148">
        <f>D391-H391</f>
        <v/>
      </c>
      <c r="J391" s="147">
        <f>E391+F391+G391</f>
        <v/>
      </c>
      <c r="K391" s="147">
        <f>IF(AND(D391&gt;0.005,Mortgage!$H$7&gt;0.8,D391/Mortgage!$B$5&gt;Mortgage!$B$14),Mortgage!$H$5*Mortgage!$B$13/12,0)</f>
        <v/>
      </c>
      <c r="L391" s="147">
        <f>IF(D391&gt;0.005,Mortgage!$B$11/12*(1+Mortgage!$B$16)^(C391-1),0)</f>
        <v/>
      </c>
      <c r="M391" s="147">
        <f>IF(D391&gt;0.005,Mortgage!$B$12/12*(1+Mortgage!$B$16)^(C391-1),0)</f>
        <v/>
      </c>
      <c r="N391" s="147">
        <f>IF(D391&gt;0.005,Mortgage!$B$15,0)</f>
        <v/>
      </c>
      <c r="O391" s="147">
        <f>J391+K391+L391+M391+N391</f>
        <v/>
      </c>
      <c r="P391" s="147">
        <f>P390+E391</f>
        <v/>
      </c>
      <c r="Q391" s="147">
        <f>IF(D391&gt;0.005,Mortgage!$B$5*(1+Mortgage!$B$17)^(A391/12),"")</f>
        <v/>
      </c>
      <c r="R391" s="147">
        <f>IF(D391&gt;0.005,Q391-I391,"")</f>
        <v/>
      </c>
      <c r="S391" s="147">
        <f>IF(A391&gt;Mortgage!$B$8*12,0,IF(Mortgage!$B$7=0,MAX(0,Mortgage!$H$5-Mortgage!$H$8*A391),MAX(0,Mortgage!$H$5*(1+(Mortgage!$B$7/12))^A391-Mortgage!$H$8*((1+(Mortgage!$B$7/12))^A391-1)/(Mortgage!$B$7/12))))</f>
        <v/>
      </c>
      <c r="T391" s="149">
        <f>IF(D391&gt;0.005,I391/Mortgage!$B$5,"")</f>
        <v/>
      </c>
      <c r="U391">
        <f>IF(A391&gt;Mortgage!$B$8*12,NA(),B391)</f>
        <v/>
      </c>
      <c r="V391">
        <f>IF(D391&gt;0.005,I391,NA())</f>
        <v/>
      </c>
      <c r="W391">
        <f>IF(A391&gt;Mortgage!$B$8*12,NA(),S391)</f>
        <v/>
      </c>
    </row>
    <row r="392">
      <c r="A392" s="129" t="n">
        <v>387</v>
      </c>
      <c r="B392" s="146">
        <f>EDATE(Mortgage!$B$9,A392-1)</f>
        <v/>
      </c>
      <c r="C392" s="129">
        <f>INT((A392-1)/12)+1</f>
        <v/>
      </c>
      <c r="D392" s="147">
        <f>IF(N(I391)&gt;0.005,I391,0)</f>
        <v/>
      </c>
      <c r="E392" s="147">
        <f>IF(D392&gt;0.005,D392*Mortgage!$B$7/12,0)</f>
        <v/>
      </c>
      <c r="F392" s="147">
        <f>IF(D392&gt;0.005,MIN(Mortgage!$H$8-E392,D392),0)</f>
        <v/>
      </c>
      <c r="G392" s="147">
        <f>IF(D392-F392&gt;0.005,MIN(D392-F392,Mortgage!$B$18+IF(MONTH(B392)=Mortgage!$B$20,Mortgage!$B$19,0)+SUMIFS(Mortgage!$E$6:$E$15,Mortgage!$D$6:$D$15,"&gt;="&amp;B392,Mortgage!$D$6:$D$15,"&lt;"&amp;EDATE(B392,1))+IF(Mortgage!$B$10="Bi-weekly (accelerated)",Mortgage!$H$8/12,0)),0)</f>
        <v/>
      </c>
      <c r="H392" s="147">
        <f>F392+G392</f>
        <v/>
      </c>
      <c r="I392" s="148">
        <f>D392-H392</f>
        <v/>
      </c>
      <c r="J392" s="147">
        <f>E392+F392+G392</f>
        <v/>
      </c>
      <c r="K392" s="147">
        <f>IF(AND(D392&gt;0.005,Mortgage!$H$7&gt;0.8,D392/Mortgage!$B$5&gt;Mortgage!$B$14),Mortgage!$H$5*Mortgage!$B$13/12,0)</f>
        <v/>
      </c>
      <c r="L392" s="147">
        <f>IF(D392&gt;0.005,Mortgage!$B$11/12*(1+Mortgage!$B$16)^(C392-1),0)</f>
        <v/>
      </c>
      <c r="M392" s="147">
        <f>IF(D392&gt;0.005,Mortgage!$B$12/12*(1+Mortgage!$B$16)^(C392-1),0)</f>
        <v/>
      </c>
      <c r="N392" s="147">
        <f>IF(D392&gt;0.005,Mortgage!$B$15,0)</f>
        <v/>
      </c>
      <c r="O392" s="147">
        <f>J392+K392+L392+M392+N392</f>
        <v/>
      </c>
      <c r="P392" s="147">
        <f>P391+E392</f>
        <v/>
      </c>
      <c r="Q392" s="147">
        <f>IF(D392&gt;0.005,Mortgage!$B$5*(1+Mortgage!$B$17)^(A392/12),"")</f>
        <v/>
      </c>
      <c r="R392" s="147">
        <f>IF(D392&gt;0.005,Q392-I392,"")</f>
        <v/>
      </c>
      <c r="S392" s="147">
        <f>IF(A392&gt;Mortgage!$B$8*12,0,IF(Mortgage!$B$7=0,MAX(0,Mortgage!$H$5-Mortgage!$H$8*A392),MAX(0,Mortgage!$H$5*(1+(Mortgage!$B$7/12))^A392-Mortgage!$H$8*((1+(Mortgage!$B$7/12))^A392-1)/(Mortgage!$B$7/12))))</f>
        <v/>
      </c>
      <c r="T392" s="149">
        <f>IF(D392&gt;0.005,I392/Mortgage!$B$5,"")</f>
        <v/>
      </c>
      <c r="U392">
        <f>IF(A392&gt;Mortgage!$B$8*12,NA(),B392)</f>
        <v/>
      </c>
      <c r="V392">
        <f>IF(D392&gt;0.005,I392,NA())</f>
        <v/>
      </c>
      <c r="W392">
        <f>IF(A392&gt;Mortgage!$B$8*12,NA(),S392)</f>
        <v/>
      </c>
    </row>
    <row r="393">
      <c r="A393" s="129" t="n">
        <v>388</v>
      </c>
      <c r="B393" s="146">
        <f>EDATE(Mortgage!$B$9,A393-1)</f>
        <v/>
      </c>
      <c r="C393" s="129">
        <f>INT((A393-1)/12)+1</f>
        <v/>
      </c>
      <c r="D393" s="147">
        <f>IF(N(I392)&gt;0.005,I392,0)</f>
        <v/>
      </c>
      <c r="E393" s="147">
        <f>IF(D393&gt;0.005,D393*Mortgage!$B$7/12,0)</f>
        <v/>
      </c>
      <c r="F393" s="147">
        <f>IF(D393&gt;0.005,MIN(Mortgage!$H$8-E393,D393),0)</f>
        <v/>
      </c>
      <c r="G393" s="147">
        <f>IF(D393-F393&gt;0.005,MIN(D393-F393,Mortgage!$B$18+IF(MONTH(B393)=Mortgage!$B$20,Mortgage!$B$19,0)+SUMIFS(Mortgage!$E$6:$E$15,Mortgage!$D$6:$D$15,"&gt;="&amp;B393,Mortgage!$D$6:$D$15,"&lt;"&amp;EDATE(B393,1))+IF(Mortgage!$B$10="Bi-weekly (accelerated)",Mortgage!$H$8/12,0)),0)</f>
        <v/>
      </c>
      <c r="H393" s="147">
        <f>F393+G393</f>
        <v/>
      </c>
      <c r="I393" s="148">
        <f>D393-H393</f>
        <v/>
      </c>
      <c r="J393" s="147">
        <f>E393+F393+G393</f>
        <v/>
      </c>
      <c r="K393" s="147">
        <f>IF(AND(D393&gt;0.005,Mortgage!$H$7&gt;0.8,D393/Mortgage!$B$5&gt;Mortgage!$B$14),Mortgage!$H$5*Mortgage!$B$13/12,0)</f>
        <v/>
      </c>
      <c r="L393" s="147">
        <f>IF(D393&gt;0.005,Mortgage!$B$11/12*(1+Mortgage!$B$16)^(C393-1),0)</f>
        <v/>
      </c>
      <c r="M393" s="147">
        <f>IF(D393&gt;0.005,Mortgage!$B$12/12*(1+Mortgage!$B$16)^(C393-1),0)</f>
        <v/>
      </c>
      <c r="N393" s="147">
        <f>IF(D393&gt;0.005,Mortgage!$B$15,0)</f>
        <v/>
      </c>
      <c r="O393" s="147">
        <f>J393+K393+L393+M393+N393</f>
        <v/>
      </c>
      <c r="P393" s="147">
        <f>P392+E393</f>
        <v/>
      </c>
      <c r="Q393" s="147">
        <f>IF(D393&gt;0.005,Mortgage!$B$5*(1+Mortgage!$B$17)^(A393/12),"")</f>
        <v/>
      </c>
      <c r="R393" s="147">
        <f>IF(D393&gt;0.005,Q393-I393,"")</f>
        <v/>
      </c>
      <c r="S393" s="147">
        <f>IF(A393&gt;Mortgage!$B$8*12,0,IF(Mortgage!$B$7=0,MAX(0,Mortgage!$H$5-Mortgage!$H$8*A393),MAX(0,Mortgage!$H$5*(1+(Mortgage!$B$7/12))^A393-Mortgage!$H$8*((1+(Mortgage!$B$7/12))^A393-1)/(Mortgage!$B$7/12))))</f>
        <v/>
      </c>
      <c r="T393" s="149">
        <f>IF(D393&gt;0.005,I393/Mortgage!$B$5,"")</f>
        <v/>
      </c>
      <c r="U393">
        <f>IF(A393&gt;Mortgage!$B$8*12,NA(),B393)</f>
        <v/>
      </c>
      <c r="V393">
        <f>IF(D393&gt;0.005,I393,NA())</f>
        <v/>
      </c>
      <c r="W393">
        <f>IF(A393&gt;Mortgage!$B$8*12,NA(),S393)</f>
        <v/>
      </c>
    </row>
    <row r="394">
      <c r="A394" s="129" t="n">
        <v>389</v>
      </c>
      <c r="B394" s="146">
        <f>EDATE(Mortgage!$B$9,A394-1)</f>
        <v/>
      </c>
      <c r="C394" s="129">
        <f>INT((A394-1)/12)+1</f>
        <v/>
      </c>
      <c r="D394" s="147">
        <f>IF(N(I393)&gt;0.005,I393,0)</f>
        <v/>
      </c>
      <c r="E394" s="147">
        <f>IF(D394&gt;0.005,D394*Mortgage!$B$7/12,0)</f>
        <v/>
      </c>
      <c r="F394" s="147">
        <f>IF(D394&gt;0.005,MIN(Mortgage!$H$8-E394,D394),0)</f>
        <v/>
      </c>
      <c r="G394" s="147">
        <f>IF(D394-F394&gt;0.005,MIN(D394-F394,Mortgage!$B$18+IF(MONTH(B394)=Mortgage!$B$20,Mortgage!$B$19,0)+SUMIFS(Mortgage!$E$6:$E$15,Mortgage!$D$6:$D$15,"&gt;="&amp;B394,Mortgage!$D$6:$D$15,"&lt;"&amp;EDATE(B394,1))+IF(Mortgage!$B$10="Bi-weekly (accelerated)",Mortgage!$H$8/12,0)),0)</f>
        <v/>
      </c>
      <c r="H394" s="147">
        <f>F394+G394</f>
        <v/>
      </c>
      <c r="I394" s="148">
        <f>D394-H394</f>
        <v/>
      </c>
      <c r="J394" s="147">
        <f>E394+F394+G394</f>
        <v/>
      </c>
      <c r="K394" s="147">
        <f>IF(AND(D394&gt;0.005,Mortgage!$H$7&gt;0.8,D394/Mortgage!$B$5&gt;Mortgage!$B$14),Mortgage!$H$5*Mortgage!$B$13/12,0)</f>
        <v/>
      </c>
      <c r="L394" s="147">
        <f>IF(D394&gt;0.005,Mortgage!$B$11/12*(1+Mortgage!$B$16)^(C394-1),0)</f>
        <v/>
      </c>
      <c r="M394" s="147">
        <f>IF(D394&gt;0.005,Mortgage!$B$12/12*(1+Mortgage!$B$16)^(C394-1),0)</f>
        <v/>
      </c>
      <c r="N394" s="147">
        <f>IF(D394&gt;0.005,Mortgage!$B$15,0)</f>
        <v/>
      </c>
      <c r="O394" s="147">
        <f>J394+K394+L394+M394+N394</f>
        <v/>
      </c>
      <c r="P394" s="147">
        <f>P393+E394</f>
        <v/>
      </c>
      <c r="Q394" s="147">
        <f>IF(D394&gt;0.005,Mortgage!$B$5*(1+Mortgage!$B$17)^(A394/12),"")</f>
        <v/>
      </c>
      <c r="R394" s="147">
        <f>IF(D394&gt;0.005,Q394-I394,"")</f>
        <v/>
      </c>
      <c r="S394" s="147">
        <f>IF(A394&gt;Mortgage!$B$8*12,0,IF(Mortgage!$B$7=0,MAX(0,Mortgage!$H$5-Mortgage!$H$8*A394),MAX(0,Mortgage!$H$5*(1+(Mortgage!$B$7/12))^A394-Mortgage!$H$8*((1+(Mortgage!$B$7/12))^A394-1)/(Mortgage!$B$7/12))))</f>
        <v/>
      </c>
      <c r="T394" s="149">
        <f>IF(D394&gt;0.005,I394/Mortgage!$B$5,"")</f>
        <v/>
      </c>
      <c r="U394">
        <f>IF(A394&gt;Mortgage!$B$8*12,NA(),B394)</f>
        <v/>
      </c>
      <c r="V394">
        <f>IF(D394&gt;0.005,I394,NA())</f>
        <v/>
      </c>
      <c r="W394">
        <f>IF(A394&gt;Mortgage!$B$8*12,NA(),S394)</f>
        <v/>
      </c>
    </row>
    <row r="395">
      <c r="A395" s="129" t="n">
        <v>390</v>
      </c>
      <c r="B395" s="146">
        <f>EDATE(Mortgage!$B$9,A395-1)</f>
        <v/>
      </c>
      <c r="C395" s="129">
        <f>INT((A395-1)/12)+1</f>
        <v/>
      </c>
      <c r="D395" s="147">
        <f>IF(N(I394)&gt;0.005,I394,0)</f>
        <v/>
      </c>
      <c r="E395" s="147">
        <f>IF(D395&gt;0.005,D395*Mortgage!$B$7/12,0)</f>
        <v/>
      </c>
      <c r="F395" s="147">
        <f>IF(D395&gt;0.005,MIN(Mortgage!$H$8-E395,D395),0)</f>
        <v/>
      </c>
      <c r="G395" s="147">
        <f>IF(D395-F395&gt;0.005,MIN(D395-F395,Mortgage!$B$18+IF(MONTH(B395)=Mortgage!$B$20,Mortgage!$B$19,0)+SUMIFS(Mortgage!$E$6:$E$15,Mortgage!$D$6:$D$15,"&gt;="&amp;B395,Mortgage!$D$6:$D$15,"&lt;"&amp;EDATE(B395,1))+IF(Mortgage!$B$10="Bi-weekly (accelerated)",Mortgage!$H$8/12,0)),0)</f>
        <v/>
      </c>
      <c r="H395" s="147">
        <f>F395+G395</f>
        <v/>
      </c>
      <c r="I395" s="148">
        <f>D395-H395</f>
        <v/>
      </c>
      <c r="J395" s="147">
        <f>E395+F395+G395</f>
        <v/>
      </c>
      <c r="K395" s="147">
        <f>IF(AND(D395&gt;0.005,Mortgage!$H$7&gt;0.8,D395/Mortgage!$B$5&gt;Mortgage!$B$14),Mortgage!$H$5*Mortgage!$B$13/12,0)</f>
        <v/>
      </c>
      <c r="L395" s="147">
        <f>IF(D395&gt;0.005,Mortgage!$B$11/12*(1+Mortgage!$B$16)^(C395-1),0)</f>
        <v/>
      </c>
      <c r="M395" s="147">
        <f>IF(D395&gt;0.005,Mortgage!$B$12/12*(1+Mortgage!$B$16)^(C395-1),0)</f>
        <v/>
      </c>
      <c r="N395" s="147">
        <f>IF(D395&gt;0.005,Mortgage!$B$15,0)</f>
        <v/>
      </c>
      <c r="O395" s="147">
        <f>J395+K395+L395+M395+N395</f>
        <v/>
      </c>
      <c r="P395" s="147">
        <f>P394+E395</f>
        <v/>
      </c>
      <c r="Q395" s="147">
        <f>IF(D395&gt;0.005,Mortgage!$B$5*(1+Mortgage!$B$17)^(A395/12),"")</f>
        <v/>
      </c>
      <c r="R395" s="147">
        <f>IF(D395&gt;0.005,Q395-I395,"")</f>
        <v/>
      </c>
      <c r="S395" s="147">
        <f>IF(A395&gt;Mortgage!$B$8*12,0,IF(Mortgage!$B$7=0,MAX(0,Mortgage!$H$5-Mortgage!$H$8*A395),MAX(0,Mortgage!$H$5*(1+(Mortgage!$B$7/12))^A395-Mortgage!$H$8*((1+(Mortgage!$B$7/12))^A395-1)/(Mortgage!$B$7/12))))</f>
        <v/>
      </c>
      <c r="T395" s="149">
        <f>IF(D395&gt;0.005,I395/Mortgage!$B$5,"")</f>
        <v/>
      </c>
      <c r="U395">
        <f>IF(A395&gt;Mortgage!$B$8*12,NA(),B395)</f>
        <v/>
      </c>
      <c r="V395">
        <f>IF(D395&gt;0.005,I395,NA())</f>
        <v/>
      </c>
      <c r="W395">
        <f>IF(A395&gt;Mortgage!$B$8*12,NA(),S395)</f>
        <v/>
      </c>
    </row>
    <row r="396">
      <c r="A396" s="129" t="n">
        <v>391</v>
      </c>
      <c r="B396" s="146">
        <f>EDATE(Mortgage!$B$9,A396-1)</f>
        <v/>
      </c>
      <c r="C396" s="129">
        <f>INT((A396-1)/12)+1</f>
        <v/>
      </c>
      <c r="D396" s="147">
        <f>IF(N(I395)&gt;0.005,I395,0)</f>
        <v/>
      </c>
      <c r="E396" s="147">
        <f>IF(D396&gt;0.005,D396*Mortgage!$B$7/12,0)</f>
        <v/>
      </c>
      <c r="F396" s="147">
        <f>IF(D396&gt;0.005,MIN(Mortgage!$H$8-E396,D396),0)</f>
        <v/>
      </c>
      <c r="G396" s="147">
        <f>IF(D396-F396&gt;0.005,MIN(D396-F396,Mortgage!$B$18+IF(MONTH(B396)=Mortgage!$B$20,Mortgage!$B$19,0)+SUMIFS(Mortgage!$E$6:$E$15,Mortgage!$D$6:$D$15,"&gt;="&amp;B396,Mortgage!$D$6:$D$15,"&lt;"&amp;EDATE(B396,1))+IF(Mortgage!$B$10="Bi-weekly (accelerated)",Mortgage!$H$8/12,0)),0)</f>
        <v/>
      </c>
      <c r="H396" s="147">
        <f>F396+G396</f>
        <v/>
      </c>
      <c r="I396" s="148">
        <f>D396-H396</f>
        <v/>
      </c>
      <c r="J396" s="147">
        <f>E396+F396+G396</f>
        <v/>
      </c>
      <c r="K396" s="147">
        <f>IF(AND(D396&gt;0.005,Mortgage!$H$7&gt;0.8,D396/Mortgage!$B$5&gt;Mortgage!$B$14),Mortgage!$H$5*Mortgage!$B$13/12,0)</f>
        <v/>
      </c>
      <c r="L396" s="147">
        <f>IF(D396&gt;0.005,Mortgage!$B$11/12*(1+Mortgage!$B$16)^(C396-1),0)</f>
        <v/>
      </c>
      <c r="M396" s="147">
        <f>IF(D396&gt;0.005,Mortgage!$B$12/12*(1+Mortgage!$B$16)^(C396-1),0)</f>
        <v/>
      </c>
      <c r="N396" s="147">
        <f>IF(D396&gt;0.005,Mortgage!$B$15,0)</f>
        <v/>
      </c>
      <c r="O396" s="147">
        <f>J396+K396+L396+M396+N396</f>
        <v/>
      </c>
      <c r="P396" s="147">
        <f>P395+E396</f>
        <v/>
      </c>
      <c r="Q396" s="147">
        <f>IF(D396&gt;0.005,Mortgage!$B$5*(1+Mortgage!$B$17)^(A396/12),"")</f>
        <v/>
      </c>
      <c r="R396" s="147">
        <f>IF(D396&gt;0.005,Q396-I396,"")</f>
        <v/>
      </c>
      <c r="S396" s="147">
        <f>IF(A396&gt;Mortgage!$B$8*12,0,IF(Mortgage!$B$7=0,MAX(0,Mortgage!$H$5-Mortgage!$H$8*A396),MAX(0,Mortgage!$H$5*(1+(Mortgage!$B$7/12))^A396-Mortgage!$H$8*((1+(Mortgage!$B$7/12))^A396-1)/(Mortgage!$B$7/12))))</f>
        <v/>
      </c>
      <c r="T396" s="149">
        <f>IF(D396&gt;0.005,I396/Mortgage!$B$5,"")</f>
        <v/>
      </c>
      <c r="U396">
        <f>IF(A396&gt;Mortgage!$B$8*12,NA(),B396)</f>
        <v/>
      </c>
      <c r="V396">
        <f>IF(D396&gt;0.005,I396,NA())</f>
        <v/>
      </c>
      <c r="W396">
        <f>IF(A396&gt;Mortgage!$B$8*12,NA(),S396)</f>
        <v/>
      </c>
    </row>
    <row r="397">
      <c r="A397" s="129" t="n">
        <v>392</v>
      </c>
      <c r="B397" s="146">
        <f>EDATE(Mortgage!$B$9,A397-1)</f>
        <v/>
      </c>
      <c r="C397" s="129">
        <f>INT((A397-1)/12)+1</f>
        <v/>
      </c>
      <c r="D397" s="147">
        <f>IF(N(I396)&gt;0.005,I396,0)</f>
        <v/>
      </c>
      <c r="E397" s="147">
        <f>IF(D397&gt;0.005,D397*Mortgage!$B$7/12,0)</f>
        <v/>
      </c>
      <c r="F397" s="147">
        <f>IF(D397&gt;0.005,MIN(Mortgage!$H$8-E397,D397),0)</f>
        <v/>
      </c>
      <c r="G397" s="147">
        <f>IF(D397-F397&gt;0.005,MIN(D397-F397,Mortgage!$B$18+IF(MONTH(B397)=Mortgage!$B$20,Mortgage!$B$19,0)+SUMIFS(Mortgage!$E$6:$E$15,Mortgage!$D$6:$D$15,"&gt;="&amp;B397,Mortgage!$D$6:$D$15,"&lt;"&amp;EDATE(B397,1))+IF(Mortgage!$B$10="Bi-weekly (accelerated)",Mortgage!$H$8/12,0)),0)</f>
        <v/>
      </c>
      <c r="H397" s="147">
        <f>F397+G397</f>
        <v/>
      </c>
      <c r="I397" s="148">
        <f>D397-H397</f>
        <v/>
      </c>
      <c r="J397" s="147">
        <f>E397+F397+G397</f>
        <v/>
      </c>
      <c r="K397" s="147">
        <f>IF(AND(D397&gt;0.005,Mortgage!$H$7&gt;0.8,D397/Mortgage!$B$5&gt;Mortgage!$B$14),Mortgage!$H$5*Mortgage!$B$13/12,0)</f>
        <v/>
      </c>
      <c r="L397" s="147">
        <f>IF(D397&gt;0.005,Mortgage!$B$11/12*(1+Mortgage!$B$16)^(C397-1),0)</f>
        <v/>
      </c>
      <c r="M397" s="147">
        <f>IF(D397&gt;0.005,Mortgage!$B$12/12*(1+Mortgage!$B$16)^(C397-1),0)</f>
        <v/>
      </c>
      <c r="N397" s="147">
        <f>IF(D397&gt;0.005,Mortgage!$B$15,0)</f>
        <v/>
      </c>
      <c r="O397" s="147">
        <f>J397+K397+L397+M397+N397</f>
        <v/>
      </c>
      <c r="P397" s="147">
        <f>P396+E397</f>
        <v/>
      </c>
      <c r="Q397" s="147">
        <f>IF(D397&gt;0.005,Mortgage!$B$5*(1+Mortgage!$B$17)^(A397/12),"")</f>
        <v/>
      </c>
      <c r="R397" s="147">
        <f>IF(D397&gt;0.005,Q397-I397,"")</f>
        <v/>
      </c>
      <c r="S397" s="147">
        <f>IF(A397&gt;Mortgage!$B$8*12,0,IF(Mortgage!$B$7=0,MAX(0,Mortgage!$H$5-Mortgage!$H$8*A397),MAX(0,Mortgage!$H$5*(1+(Mortgage!$B$7/12))^A397-Mortgage!$H$8*((1+(Mortgage!$B$7/12))^A397-1)/(Mortgage!$B$7/12))))</f>
        <v/>
      </c>
      <c r="T397" s="149">
        <f>IF(D397&gt;0.005,I397/Mortgage!$B$5,"")</f>
        <v/>
      </c>
      <c r="U397">
        <f>IF(A397&gt;Mortgage!$B$8*12,NA(),B397)</f>
        <v/>
      </c>
      <c r="V397">
        <f>IF(D397&gt;0.005,I397,NA())</f>
        <v/>
      </c>
      <c r="W397">
        <f>IF(A397&gt;Mortgage!$B$8*12,NA(),S397)</f>
        <v/>
      </c>
    </row>
    <row r="398">
      <c r="A398" s="129" t="n">
        <v>393</v>
      </c>
      <c r="B398" s="146">
        <f>EDATE(Mortgage!$B$9,A398-1)</f>
        <v/>
      </c>
      <c r="C398" s="129">
        <f>INT((A398-1)/12)+1</f>
        <v/>
      </c>
      <c r="D398" s="147">
        <f>IF(N(I397)&gt;0.005,I397,0)</f>
        <v/>
      </c>
      <c r="E398" s="147">
        <f>IF(D398&gt;0.005,D398*Mortgage!$B$7/12,0)</f>
        <v/>
      </c>
      <c r="F398" s="147">
        <f>IF(D398&gt;0.005,MIN(Mortgage!$H$8-E398,D398),0)</f>
        <v/>
      </c>
      <c r="G398" s="147">
        <f>IF(D398-F398&gt;0.005,MIN(D398-F398,Mortgage!$B$18+IF(MONTH(B398)=Mortgage!$B$20,Mortgage!$B$19,0)+SUMIFS(Mortgage!$E$6:$E$15,Mortgage!$D$6:$D$15,"&gt;="&amp;B398,Mortgage!$D$6:$D$15,"&lt;"&amp;EDATE(B398,1))+IF(Mortgage!$B$10="Bi-weekly (accelerated)",Mortgage!$H$8/12,0)),0)</f>
        <v/>
      </c>
      <c r="H398" s="147">
        <f>F398+G398</f>
        <v/>
      </c>
      <c r="I398" s="148">
        <f>D398-H398</f>
        <v/>
      </c>
      <c r="J398" s="147">
        <f>E398+F398+G398</f>
        <v/>
      </c>
      <c r="K398" s="147">
        <f>IF(AND(D398&gt;0.005,Mortgage!$H$7&gt;0.8,D398/Mortgage!$B$5&gt;Mortgage!$B$14),Mortgage!$H$5*Mortgage!$B$13/12,0)</f>
        <v/>
      </c>
      <c r="L398" s="147">
        <f>IF(D398&gt;0.005,Mortgage!$B$11/12*(1+Mortgage!$B$16)^(C398-1),0)</f>
        <v/>
      </c>
      <c r="M398" s="147">
        <f>IF(D398&gt;0.005,Mortgage!$B$12/12*(1+Mortgage!$B$16)^(C398-1),0)</f>
        <v/>
      </c>
      <c r="N398" s="147">
        <f>IF(D398&gt;0.005,Mortgage!$B$15,0)</f>
        <v/>
      </c>
      <c r="O398" s="147">
        <f>J398+K398+L398+M398+N398</f>
        <v/>
      </c>
      <c r="P398" s="147">
        <f>P397+E398</f>
        <v/>
      </c>
      <c r="Q398" s="147">
        <f>IF(D398&gt;0.005,Mortgage!$B$5*(1+Mortgage!$B$17)^(A398/12),"")</f>
        <v/>
      </c>
      <c r="R398" s="147">
        <f>IF(D398&gt;0.005,Q398-I398,"")</f>
        <v/>
      </c>
      <c r="S398" s="147">
        <f>IF(A398&gt;Mortgage!$B$8*12,0,IF(Mortgage!$B$7=0,MAX(0,Mortgage!$H$5-Mortgage!$H$8*A398),MAX(0,Mortgage!$H$5*(1+(Mortgage!$B$7/12))^A398-Mortgage!$H$8*((1+(Mortgage!$B$7/12))^A398-1)/(Mortgage!$B$7/12))))</f>
        <v/>
      </c>
      <c r="T398" s="149">
        <f>IF(D398&gt;0.005,I398/Mortgage!$B$5,"")</f>
        <v/>
      </c>
      <c r="U398">
        <f>IF(A398&gt;Mortgage!$B$8*12,NA(),B398)</f>
        <v/>
      </c>
      <c r="V398">
        <f>IF(D398&gt;0.005,I398,NA())</f>
        <v/>
      </c>
      <c r="W398">
        <f>IF(A398&gt;Mortgage!$B$8*12,NA(),S398)</f>
        <v/>
      </c>
    </row>
    <row r="399">
      <c r="A399" s="129" t="n">
        <v>394</v>
      </c>
      <c r="B399" s="146">
        <f>EDATE(Mortgage!$B$9,A399-1)</f>
        <v/>
      </c>
      <c r="C399" s="129">
        <f>INT((A399-1)/12)+1</f>
        <v/>
      </c>
      <c r="D399" s="147">
        <f>IF(N(I398)&gt;0.005,I398,0)</f>
        <v/>
      </c>
      <c r="E399" s="147">
        <f>IF(D399&gt;0.005,D399*Mortgage!$B$7/12,0)</f>
        <v/>
      </c>
      <c r="F399" s="147">
        <f>IF(D399&gt;0.005,MIN(Mortgage!$H$8-E399,D399),0)</f>
        <v/>
      </c>
      <c r="G399" s="147">
        <f>IF(D399-F399&gt;0.005,MIN(D399-F399,Mortgage!$B$18+IF(MONTH(B399)=Mortgage!$B$20,Mortgage!$B$19,0)+SUMIFS(Mortgage!$E$6:$E$15,Mortgage!$D$6:$D$15,"&gt;="&amp;B399,Mortgage!$D$6:$D$15,"&lt;"&amp;EDATE(B399,1))+IF(Mortgage!$B$10="Bi-weekly (accelerated)",Mortgage!$H$8/12,0)),0)</f>
        <v/>
      </c>
      <c r="H399" s="147">
        <f>F399+G399</f>
        <v/>
      </c>
      <c r="I399" s="148">
        <f>D399-H399</f>
        <v/>
      </c>
      <c r="J399" s="147">
        <f>E399+F399+G399</f>
        <v/>
      </c>
      <c r="K399" s="147">
        <f>IF(AND(D399&gt;0.005,Mortgage!$H$7&gt;0.8,D399/Mortgage!$B$5&gt;Mortgage!$B$14),Mortgage!$H$5*Mortgage!$B$13/12,0)</f>
        <v/>
      </c>
      <c r="L399" s="147">
        <f>IF(D399&gt;0.005,Mortgage!$B$11/12*(1+Mortgage!$B$16)^(C399-1),0)</f>
        <v/>
      </c>
      <c r="M399" s="147">
        <f>IF(D399&gt;0.005,Mortgage!$B$12/12*(1+Mortgage!$B$16)^(C399-1),0)</f>
        <v/>
      </c>
      <c r="N399" s="147">
        <f>IF(D399&gt;0.005,Mortgage!$B$15,0)</f>
        <v/>
      </c>
      <c r="O399" s="147">
        <f>J399+K399+L399+M399+N399</f>
        <v/>
      </c>
      <c r="P399" s="147">
        <f>P398+E399</f>
        <v/>
      </c>
      <c r="Q399" s="147">
        <f>IF(D399&gt;0.005,Mortgage!$B$5*(1+Mortgage!$B$17)^(A399/12),"")</f>
        <v/>
      </c>
      <c r="R399" s="147">
        <f>IF(D399&gt;0.005,Q399-I399,"")</f>
        <v/>
      </c>
      <c r="S399" s="147">
        <f>IF(A399&gt;Mortgage!$B$8*12,0,IF(Mortgage!$B$7=0,MAX(0,Mortgage!$H$5-Mortgage!$H$8*A399),MAX(0,Mortgage!$H$5*(1+(Mortgage!$B$7/12))^A399-Mortgage!$H$8*((1+(Mortgage!$B$7/12))^A399-1)/(Mortgage!$B$7/12))))</f>
        <v/>
      </c>
      <c r="T399" s="149">
        <f>IF(D399&gt;0.005,I399/Mortgage!$B$5,"")</f>
        <v/>
      </c>
      <c r="U399">
        <f>IF(A399&gt;Mortgage!$B$8*12,NA(),B399)</f>
        <v/>
      </c>
      <c r="V399">
        <f>IF(D399&gt;0.005,I399,NA())</f>
        <v/>
      </c>
      <c r="W399">
        <f>IF(A399&gt;Mortgage!$B$8*12,NA(),S399)</f>
        <v/>
      </c>
    </row>
    <row r="400">
      <c r="A400" s="129" t="n">
        <v>395</v>
      </c>
      <c r="B400" s="146">
        <f>EDATE(Mortgage!$B$9,A400-1)</f>
        <v/>
      </c>
      <c r="C400" s="129">
        <f>INT((A400-1)/12)+1</f>
        <v/>
      </c>
      <c r="D400" s="147">
        <f>IF(N(I399)&gt;0.005,I399,0)</f>
        <v/>
      </c>
      <c r="E400" s="147">
        <f>IF(D400&gt;0.005,D400*Mortgage!$B$7/12,0)</f>
        <v/>
      </c>
      <c r="F400" s="147">
        <f>IF(D400&gt;0.005,MIN(Mortgage!$H$8-E400,D400),0)</f>
        <v/>
      </c>
      <c r="G400" s="147">
        <f>IF(D400-F400&gt;0.005,MIN(D400-F400,Mortgage!$B$18+IF(MONTH(B400)=Mortgage!$B$20,Mortgage!$B$19,0)+SUMIFS(Mortgage!$E$6:$E$15,Mortgage!$D$6:$D$15,"&gt;="&amp;B400,Mortgage!$D$6:$D$15,"&lt;"&amp;EDATE(B400,1))+IF(Mortgage!$B$10="Bi-weekly (accelerated)",Mortgage!$H$8/12,0)),0)</f>
        <v/>
      </c>
      <c r="H400" s="147">
        <f>F400+G400</f>
        <v/>
      </c>
      <c r="I400" s="148">
        <f>D400-H400</f>
        <v/>
      </c>
      <c r="J400" s="147">
        <f>E400+F400+G400</f>
        <v/>
      </c>
      <c r="K400" s="147">
        <f>IF(AND(D400&gt;0.005,Mortgage!$H$7&gt;0.8,D400/Mortgage!$B$5&gt;Mortgage!$B$14),Mortgage!$H$5*Mortgage!$B$13/12,0)</f>
        <v/>
      </c>
      <c r="L400" s="147">
        <f>IF(D400&gt;0.005,Mortgage!$B$11/12*(1+Mortgage!$B$16)^(C400-1),0)</f>
        <v/>
      </c>
      <c r="M400" s="147">
        <f>IF(D400&gt;0.005,Mortgage!$B$12/12*(1+Mortgage!$B$16)^(C400-1),0)</f>
        <v/>
      </c>
      <c r="N400" s="147">
        <f>IF(D400&gt;0.005,Mortgage!$B$15,0)</f>
        <v/>
      </c>
      <c r="O400" s="147">
        <f>J400+K400+L400+M400+N400</f>
        <v/>
      </c>
      <c r="P400" s="147">
        <f>P399+E400</f>
        <v/>
      </c>
      <c r="Q400" s="147">
        <f>IF(D400&gt;0.005,Mortgage!$B$5*(1+Mortgage!$B$17)^(A400/12),"")</f>
        <v/>
      </c>
      <c r="R400" s="147">
        <f>IF(D400&gt;0.005,Q400-I400,"")</f>
        <v/>
      </c>
      <c r="S400" s="147">
        <f>IF(A400&gt;Mortgage!$B$8*12,0,IF(Mortgage!$B$7=0,MAX(0,Mortgage!$H$5-Mortgage!$H$8*A400),MAX(0,Mortgage!$H$5*(1+(Mortgage!$B$7/12))^A400-Mortgage!$H$8*((1+(Mortgage!$B$7/12))^A400-1)/(Mortgage!$B$7/12))))</f>
        <v/>
      </c>
      <c r="T400" s="149">
        <f>IF(D400&gt;0.005,I400/Mortgage!$B$5,"")</f>
        <v/>
      </c>
      <c r="U400">
        <f>IF(A400&gt;Mortgage!$B$8*12,NA(),B400)</f>
        <v/>
      </c>
      <c r="V400">
        <f>IF(D400&gt;0.005,I400,NA())</f>
        <v/>
      </c>
      <c r="W400">
        <f>IF(A400&gt;Mortgage!$B$8*12,NA(),S400)</f>
        <v/>
      </c>
    </row>
    <row r="401">
      <c r="A401" s="129" t="n">
        <v>396</v>
      </c>
      <c r="B401" s="146">
        <f>EDATE(Mortgage!$B$9,A401-1)</f>
        <v/>
      </c>
      <c r="C401" s="129">
        <f>INT((A401-1)/12)+1</f>
        <v/>
      </c>
      <c r="D401" s="147">
        <f>IF(N(I400)&gt;0.005,I400,0)</f>
        <v/>
      </c>
      <c r="E401" s="147">
        <f>IF(D401&gt;0.005,D401*Mortgage!$B$7/12,0)</f>
        <v/>
      </c>
      <c r="F401" s="147">
        <f>IF(D401&gt;0.005,MIN(Mortgage!$H$8-E401,D401),0)</f>
        <v/>
      </c>
      <c r="G401" s="147">
        <f>IF(D401-F401&gt;0.005,MIN(D401-F401,Mortgage!$B$18+IF(MONTH(B401)=Mortgage!$B$20,Mortgage!$B$19,0)+SUMIFS(Mortgage!$E$6:$E$15,Mortgage!$D$6:$D$15,"&gt;="&amp;B401,Mortgage!$D$6:$D$15,"&lt;"&amp;EDATE(B401,1))+IF(Mortgage!$B$10="Bi-weekly (accelerated)",Mortgage!$H$8/12,0)),0)</f>
        <v/>
      </c>
      <c r="H401" s="147">
        <f>F401+G401</f>
        <v/>
      </c>
      <c r="I401" s="148">
        <f>D401-H401</f>
        <v/>
      </c>
      <c r="J401" s="147">
        <f>E401+F401+G401</f>
        <v/>
      </c>
      <c r="K401" s="147">
        <f>IF(AND(D401&gt;0.005,Mortgage!$H$7&gt;0.8,D401/Mortgage!$B$5&gt;Mortgage!$B$14),Mortgage!$H$5*Mortgage!$B$13/12,0)</f>
        <v/>
      </c>
      <c r="L401" s="147">
        <f>IF(D401&gt;0.005,Mortgage!$B$11/12*(1+Mortgage!$B$16)^(C401-1),0)</f>
        <v/>
      </c>
      <c r="M401" s="147">
        <f>IF(D401&gt;0.005,Mortgage!$B$12/12*(1+Mortgage!$B$16)^(C401-1),0)</f>
        <v/>
      </c>
      <c r="N401" s="147">
        <f>IF(D401&gt;0.005,Mortgage!$B$15,0)</f>
        <v/>
      </c>
      <c r="O401" s="147">
        <f>J401+K401+L401+M401+N401</f>
        <v/>
      </c>
      <c r="P401" s="147">
        <f>P400+E401</f>
        <v/>
      </c>
      <c r="Q401" s="147">
        <f>IF(D401&gt;0.005,Mortgage!$B$5*(1+Mortgage!$B$17)^(A401/12),"")</f>
        <v/>
      </c>
      <c r="R401" s="147">
        <f>IF(D401&gt;0.005,Q401-I401,"")</f>
        <v/>
      </c>
      <c r="S401" s="147">
        <f>IF(A401&gt;Mortgage!$B$8*12,0,IF(Mortgage!$B$7=0,MAX(0,Mortgage!$H$5-Mortgage!$H$8*A401),MAX(0,Mortgage!$H$5*(1+(Mortgage!$B$7/12))^A401-Mortgage!$H$8*((1+(Mortgage!$B$7/12))^A401-1)/(Mortgage!$B$7/12))))</f>
        <v/>
      </c>
      <c r="T401" s="149">
        <f>IF(D401&gt;0.005,I401/Mortgage!$B$5,"")</f>
        <v/>
      </c>
      <c r="U401">
        <f>IF(A401&gt;Mortgage!$B$8*12,NA(),B401)</f>
        <v/>
      </c>
      <c r="V401">
        <f>IF(D401&gt;0.005,I401,NA())</f>
        <v/>
      </c>
      <c r="W401">
        <f>IF(A401&gt;Mortgage!$B$8*12,NA(),S401)</f>
        <v/>
      </c>
    </row>
    <row r="402">
      <c r="A402" s="129" t="n">
        <v>397</v>
      </c>
      <c r="B402" s="146">
        <f>EDATE(Mortgage!$B$9,A402-1)</f>
        <v/>
      </c>
      <c r="C402" s="129">
        <f>INT((A402-1)/12)+1</f>
        <v/>
      </c>
      <c r="D402" s="147">
        <f>IF(N(I401)&gt;0.005,I401,0)</f>
        <v/>
      </c>
      <c r="E402" s="147">
        <f>IF(D402&gt;0.005,D402*Mortgage!$B$7/12,0)</f>
        <v/>
      </c>
      <c r="F402" s="147">
        <f>IF(D402&gt;0.005,MIN(Mortgage!$H$8-E402,D402),0)</f>
        <v/>
      </c>
      <c r="G402" s="147">
        <f>IF(D402-F402&gt;0.005,MIN(D402-F402,Mortgage!$B$18+IF(MONTH(B402)=Mortgage!$B$20,Mortgage!$B$19,0)+SUMIFS(Mortgage!$E$6:$E$15,Mortgage!$D$6:$D$15,"&gt;="&amp;B402,Mortgage!$D$6:$D$15,"&lt;"&amp;EDATE(B402,1))+IF(Mortgage!$B$10="Bi-weekly (accelerated)",Mortgage!$H$8/12,0)),0)</f>
        <v/>
      </c>
      <c r="H402" s="147">
        <f>F402+G402</f>
        <v/>
      </c>
      <c r="I402" s="148">
        <f>D402-H402</f>
        <v/>
      </c>
      <c r="J402" s="147">
        <f>E402+F402+G402</f>
        <v/>
      </c>
      <c r="K402" s="147">
        <f>IF(AND(D402&gt;0.005,Mortgage!$H$7&gt;0.8,D402/Mortgage!$B$5&gt;Mortgage!$B$14),Mortgage!$H$5*Mortgage!$B$13/12,0)</f>
        <v/>
      </c>
      <c r="L402" s="147">
        <f>IF(D402&gt;0.005,Mortgage!$B$11/12*(1+Mortgage!$B$16)^(C402-1),0)</f>
        <v/>
      </c>
      <c r="M402" s="147">
        <f>IF(D402&gt;0.005,Mortgage!$B$12/12*(1+Mortgage!$B$16)^(C402-1),0)</f>
        <v/>
      </c>
      <c r="N402" s="147">
        <f>IF(D402&gt;0.005,Mortgage!$B$15,0)</f>
        <v/>
      </c>
      <c r="O402" s="147">
        <f>J402+K402+L402+M402+N402</f>
        <v/>
      </c>
      <c r="P402" s="147">
        <f>P401+E402</f>
        <v/>
      </c>
      <c r="Q402" s="147">
        <f>IF(D402&gt;0.005,Mortgage!$B$5*(1+Mortgage!$B$17)^(A402/12),"")</f>
        <v/>
      </c>
      <c r="R402" s="147">
        <f>IF(D402&gt;0.005,Q402-I402,"")</f>
        <v/>
      </c>
      <c r="S402" s="147">
        <f>IF(A402&gt;Mortgage!$B$8*12,0,IF(Mortgage!$B$7=0,MAX(0,Mortgage!$H$5-Mortgage!$H$8*A402),MAX(0,Mortgage!$H$5*(1+(Mortgage!$B$7/12))^A402-Mortgage!$H$8*((1+(Mortgage!$B$7/12))^A402-1)/(Mortgage!$B$7/12))))</f>
        <v/>
      </c>
      <c r="T402" s="149">
        <f>IF(D402&gt;0.005,I402/Mortgage!$B$5,"")</f>
        <v/>
      </c>
      <c r="U402">
        <f>IF(A402&gt;Mortgage!$B$8*12,NA(),B402)</f>
        <v/>
      </c>
      <c r="V402">
        <f>IF(D402&gt;0.005,I402,NA())</f>
        <v/>
      </c>
      <c r="W402">
        <f>IF(A402&gt;Mortgage!$B$8*12,NA(),S402)</f>
        <v/>
      </c>
    </row>
    <row r="403">
      <c r="A403" s="129" t="n">
        <v>398</v>
      </c>
      <c r="B403" s="146">
        <f>EDATE(Mortgage!$B$9,A403-1)</f>
        <v/>
      </c>
      <c r="C403" s="129">
        <f>INT((A403-1)/12)+1</f>
        <v/>
      </c>
      <c r="D403" s="147">
        <f>IF(N(I402)&gt;0.005,I402,0)</f>
        <v/>
      </c>
      <c r="E403" s="147">
        <f>IF(D403&gt;0.005,D403*Mortgage!$B$7/12,0)</f>
        <v/>
      </c>
      <c r="F403" s="147">
        <f>IF(D403&gt;0.005,MIN(Mortgage!$H$8-E403,D403),0)</f>
        <v/>
      </c>
      <c r="G403" s="147">
        <f>IF(D403-F403&gt;0.005,MIN(D403-F403,Mortgage!$B$18+IF(MONTH(B403)=Mortgage!$B$20,Mortgage!$B$19,0)+SUMIFS(Mortgage!$E$6:$E$15,Mortgage!$D$6:$D$15,"&gt;="&amp;B403,Mortgage!$D$6:$D$15,"&lt;"&amp;EDATE(B403,1))+IF(Mortgage!$B$10="Bi-weekly (accelerated)",Mortgage!$H$8/12,0)),0)</f>
        <v/>
      </c>
      <c r="H403" s="147">
        <f>F403+G403</f>
        <v/>
      </c>
      <c r="I403" s="148">
        <f>D403-H403</f>
        <v/>
      </c>
      <c r="J403" s="147">
        <f>E403+F403+G403</f>
        <v/>
      </c>
      <c r="K403" s="147">
        <f>IF(AND(D403&gt;0.005,Mortgage!$H$7&gt;0.8,D403/Mortgage!$B$5&gt;Mortgage!$B$14),Mortgage!$H$5*Mortgage!$B$13/12,0)</f>
        <v/>
      </c>
      <c r="L403" s="147">
        <f>IF(D403&gt;0.005,Mortgage!$B$11/12*(1+Mortgage!$B$16)^(C403-1),0)</f>
        <v/>
      </c>
      <c r="M403" s="147">
        <f>IF(D403&gt;0.005,Mortgage!$B$12/12*(1+Mortgage!$B$16)^(C403-1),0)</f>
        <v/>
      </c>
      <c r="N403" s="147">
        <f>IF(D403&gt;0.005,Mortgage!$B$15,0)</f>
        <v/>
      </c>
      <c r="O403" s="147">
        <f>J403+K403+L403+M403+N403</f>
        <v/>
      </c>
      <c r="P403" s="147">
        <f>P402+E403</f>
        <v/>
      </c>
      <c r="Q403" s="147">
        <f>IF(D403&gt;0.005,Mortgage!$B$5*(1+Mortgage!$B$17)^(A403/12),"")</f>
        <v/>
      </c>
      <c r="R403" s="147">
        <f>IF(D403&gt;0.005,Q403-I403,"")</f>
        <v/>
      </c>
      <c r="S403" s="147">
        <f>IF(A403&gt;Mortgage!$B$8*12,0,IF(Mortgage!$B$7=0,MAX(0,Mortgage!$H$5-Mortgage!$H$8*A403),MAX(0,Mortgage!$H$5*(1+(Mortgage!$B$7/12))^A403-Mortgage!$H$8*((1+(Mortgage!$B$7/12))^A403-1)/(Mortgage!$B$7/12))))</f>
        <v/>
      </c>
      <c r="T403" s="149">
        <f>IF(D403&gt;0.005,I403/Mortgage!$B$5,"")</f>
        <v/>
      </c>
      <c r="U403">
        <f>IF(A403&gt;Mortgage!$B$8*12,NA(),B403)</f>
        <v/>
      </c>
      <c r="V403">
        <f>IF(D403&gt;0.005,I403,NA())</f>
        <v/>
      </c>
      <c r="W403">
        <f>IF(A403&gt;Mortgage!$B$8*12,NA(),S403)</f>
        <v/>
      </c>
    </row>
    <row r="404">
      <c r="A404" s="129" t="n">
        <v>399</v>
      </c>
      <c r="B404" s="146">
        <f>EDATE(Mortgage!$B$9,A404-1)</f>
        <v/>
      </c>
      <c r="C404" s="129">
        <f>INT((A404-1)/12)+1</f>
        <v/>
      </c>
      <c r="D404" s="147">
        <f>IF(N(I403)&gt;0.005,I403,0)</f>
        <v/>
      </c>
      <c r="E404" s="147">
        <f>IF(D404&gt;0.005,D404*Mortgage!$B$7/12,0)</f>
        <v/>
      </c>
      <c r="F404" s="147">
        <f>IF(D404&gt;0.005,MIN(Mortgage!$H$8-E404,D404),0)</f>
        <v/>
      </c>
      <c r="G404" s="147">
        <f>IF(D404-F404&gt;0.005,MIN(D404-F404,Mortgage!$B$18+IF(MONTH(B404)=Mortgage!$B$20,Mortgage!$B$19,0)+SUMIFS(Mortgage!$E$6:$E$15,Mortgage!$D$6:$D$15,"&gt;="&amp;B404,Mortgage!$D$6:$D$15,"&lt;"&amp;EDATE(B404,1))+IF(Mortgage!$B$10="Bi-weekly (accelerated)",Mortgage!$H$8/12,0)),0)</f>
        <v/>
      </c>
      <c r="H404" s="147">
        <f>F404+G404</f>
        <v/>
      </c>
      <c r="I404" s="148">
        <f>D404-H404</f>
        <v/>
      </c>
      <c r="J404" s="147">
        <f>E404+F404+G404</f>
        <v/>
      </c>
      <c r="K404" s="147">
        <f>IF(AND(D404&gt;0.005,Mortgage!$H$7&gt;0.8,D404/Mortgage!$B$5&gt;Mortgage!$B$14),Mortgage!$H$5*Mortgage!$B$13/12,0)</f>
        <v/>
      </c>
      <c r="L404" s="147">
        <f>IF(D404&gt;0.005,Mortgage!$B$11/12*(1+Mortgage!$B$16)^(C404-1),0)</f>
        <v/>
      </c>
      <c r="M404" s="147">
        <f>IF(D404&gt;0.005,Mortgage!$B$12/12*(1+Mortgage!$B$16)^(C404-1),0)</f>
        <v/>
      </c>
      <c r="N404" s="147">
        <f>IF(D404&gt;0.005,Mortgage!$B$15,0)</f>
        <v/>
      </c>
      <c r="O404" s="147">
        <f>J404+K404+L404+M404+N404</f>
        <v/>
      </c>
      <c r="P404" s="147">
        <f>P403+E404</f>
        <v/>
      </c>
      <c r="Q404" s="147">
        <f>IF(D404&gt;0.005,Mortgage!$B$5*(1+Mortgage!$B$17)^(A404/12),"")</f>
        <v/>
      </c>
      <c r="R404" s="147">
        <f>IF(D404&gt;0.005,Q404-I404,"")</f>
        <v/>
      </c>
      <c r="S404" s="147">
        <f>IF(A404&gt;Mortgage!$B$8*12,0,IF(Mortgage!$B$7=0,MAX(0,Mortgage!$H$5-Mortgage!$H$8*A404),MAX(0,Mortgage!$H$5*(1+(Mortgage!$B$7/12))^A404-Mortgage!$H$8*((1+(Mortgage!$B$7/12))^A404-1)/(Mortgage!$B$7/12))))</f>
        <v/>
      </c>
      <c r="T404" s="149">
        <f>IF(D404&gt;0.005,I404/Mortgage!$B$5,"")</f>
        <v/>
      </c>
      <c r="U404">
        <f>IF(A404&gt;Mortgage!$B$8*12,NA(),B404)</f>
        <v/>
      </c>
      <c r="V404">
        <f>IF(D404&gt;0.005,I404,NA())</f>
        <v/>
      </c>
      <c r="W404">
        <f>IF(A404&gt;Mortgage!$B$8*12,NA(),S404)</f>
        <v/>
      </c>
    </row>
    <row r="405">
      <c r="A405" s="129" t="n">
        <v>400</v>
      </c>
      <c r="B405" s="146">
        <f>EDATE(Mortgage!$B$9,A405-1)</f>
        <v/>
      </c>
      <c r="C405" s="129">
        <f>INT((A405-1)/12)+1</f>
        <v/>
      </c>
      <c r="D405" s="147">
        <f>IF(N(I404)&gt;0.005,I404,0)</f>
        <v/>
      </c>
      <c r="E405" s="147">
        <f>IF(D405&gt;0.005,D405*Mortgage!$B$7/12,0)</f>
        <v/>
      </c>
      <c r="F405" s="147">
        <f>IF(D405&gt;0.005,MIN(Mortgage!$H$8-E405,D405),0)</f>
        <v/>
      </c>
      <c r="G405" s="147">
        <f>IF(D405-F405&gt;0.005,MIN(D405-F405,Mortgage!$B$18+IF(MONTH(B405)=Mortgage!$B$20,Mortgage!$B$19,0)+SUMIFS(Mortgage!$E$6:$E$15,Mortgage!$D$6:$D$15,"&gt;="&amp;B405,Mortgage!$D$6:$D$15,"&lt;"&amp;EDATE(B405,1))+IF(Mortgage!$B$10="Bi-weekly (accelerated)",Mortgage!$H$8/12,0)),0)</f>
        <v/>
      </c>
      <c r="H405" s="147">
        <f>F405+G405</f>
        <v/>
      </c>
      <c r="I405" s="148">
        <f>D405-H405</f>
        <v/>
      </c>
      <c r="J405" s="147">
        <f>E405+F405+G405</f>
        <v/>
      </c>
      <c r="K405" s="147">
        <f>IF(AND(D405&gt;0.005,Mortgage!$H$7&gt;0.8,D405/Mortgage!$B$5&gt;Mortgage!$B$14),Mortgage!$H$5*Mortgage!$B$13/12,0)</f>
        <v/>
      </c>
      <c r="L405" s="147">
        <f>IF(D405&gt;0.005,Mortgage!$B$11/12*(1+Mortgage!$B$16)^(C405-1),0)</f>
        <v/>
      </c>
      <c r="M405" s="147">
        <f>IF(D405&gt;0.005,Mortgage!$B$12/12*(1+Mortgage!$B$16)^(C405-1),0)</f>
        <v/>
      </c>
      <c r="N405" s="147">
        <f>IF(D405&gt;0.005,Mortgage!$B$15,0)</f>
        <v/>
      </c>
      <c r="O405" s="147">
        <f>J405+K405+L405+M405+N405</f>
        <v/>
      </c>
      <c r="P405" s="147">
        <f>P404+E405</f>
        <v/>
      </c>
      <c r="Q405" s="147">
        <f>IF(D405&gt;0.005,Mortgage!$B$5*(1+Mortgage!$B$17)^(A405/12),"")</f>
        <v/>
      </c>
      <c r="R405" s="147">
        <f>IF(D405&gt;0.005,Q405-I405,"")</f>
        <v/>
      </c>
      <c r="S405" s="147">
        <f>IF(A405&gt;Mortgage!$B$8*12,0,IF(Mortgage!$B$7=0,MAX(0,Mortgage!$H$5-Mortgage!$H$8*A405),MAX(0,Mortgage!$H$5*(1+(Mortgage!$B$7/12))^A405-Mortgage!$H$8*((1+(Mortgage!$B$7/12))^A405-1)/(Mortgage!$B$7/12))))</f>
        <v/>
      </c>
      <c r="T405" s="149">
        <f>IF(D405&gt;0.005,I405/Mortgage!$B$5,"")</f>
        <v/>
      </c>
      <c r="U405">
        <f>IF(A405&gt;Mortgage!$B$8*12,NA(),B405)</f>
        <v/>
      </c>
      <c r="V405">
        <f>IF(D405&gt;0.005,I405,NA())</f>
        <v/>
      </c>
      <c r="W405">
        <f>IF(A405&gt;Mortgage!$B$8*12,NA(),S405)</f>
        <v/>
      </c>
    </row>
    <row r="406">
      <c r="A406" s="129" t="n">
        <v>401</v>
      </c>
      <c r="B406" s="146">
        <f>EDATE(Mortgage!$B$9,A406-1)</f>
        <v/>
      </c>
      <c r="C406" s="129">
        <f>INT((A406-1)/12)+1</f>
        <v/>
      </c>
      <c r="D406" s="147">
        <f>IF(N(I405)&gt;0.005,I405,0)</f>
        <v/>
      </c>
      <c r="E406" s="147">
        <f>IF(D406&gt;0.005,D406*Mortgage!$B$7/12,0)</f>
        <v/>
      </c>
      <c r="F406" s="147">
        <f>IF(D406&gt;0.005,MIN(Mortgage!$H$8-E406,D406),0)</f>
        <v/>
      </c>
      <c r="G406" s="147">
        <f>IF(D406-F406&gt;0.005,MIN(D406-F406,Mortgage!$B$18+IF(MONTH(B406)=Mortgage!$B$20,Mortgage!$B$19,0)+SUMIFS(Mortgage!$E$6:$E$15,Mortgage!$D$6:$D$15,"&gt;="&amp;B406,Mortgage!$D$6:$D$15,"&lt;"&amp;EDATE(B406,1))+IF(Mortgage!$B$10="Bi-weekly (accelerated)",Mortgage!$H$8/12,0)),0)</f>
        <v/>
      </c>
      <c r="H406" s="147">
        <f>F406+G406</f>
        <v/>
      </c>
      <c r="I406" s="148">
        <f>D406-H406</f>
        <v/>
      </c>
      <c r="J406" s="147">
        <f>E406+F406+G406</f>
        <v/>
      </c>
      <c r="K406" s="147">
        <f>IF(AND(D406&gt;0.005,Mortgage!$H$7&gt;0.8,D406/Mortgage!$B$5&gt;Mortgage!$B$14),Mortgage!$H$5*Mortgage!$B$13/12,0)</f>
        <v/>
      </c>
      <c r="L406" s="147">
        <f>IF(D406&gt;0.005,Mortgage!$B$11/12*(1+Mortgage!$B$16)^(C406-1),0)</f>
        <v/>
      </c>
      <c r="M406" s="147">
        <f>IF(D406&gt;0.005,Mortgage!$B$12/12*(1+Mortgage!$B$16)^(C406-1),0)</f>
        <v/>
      </c>
      <c r="N406" s="147">
        <f>IF(D406&gt;0.005,Mortgage!$B$15,0)</f>
        <v/>
      </c>
      <c r="O406" s="147">
        <f>J406+K406+L406+M406+N406</f>
        <v/>
      </c>
      <c r="P406" s="147">
        <f>P405+E406</f>
        <v/>
      </c>
      <c r="Q406" s="147">
        <f>IF(D406&gt;0.005,Mortgage!$B$5*(1+Mortgage!$B$17)^(A406/12),"")</f>
        <v/>
      </c>
      <c r="R406" s="147">
        <f>IF(D406&gt;0.005,Q406-I406,"")</f>
        <v/>
      </c>
      <c r="S406" s="147">
        <f>IF(A406&gt;Mortgage!$B$8*12,0,IF(Mortgage!$B$7=0,MAX(0,Mortgage!$H$5-Mortgage!$H$8*A406),MAX(0,Mortgage!$H$5*(1+(Mortgage!$B$7/12))^A406-Mortgage!$H$8*((1+(Mortgage!$B$7/12))^A406-1)/(Mortgage!$B$7/12))))</f>
        <v/>
      </c>
      <c r="T406" s="149">
        <f>IF(D406&gt;0.005,I406/Mortgage!$B$5,"")</f>
        <v/>
      </c>
      <c r="U406">
        <f>IF(A406&gt;Mortgage!$B$8*12,NA(),B406)</f>
        <v/>
      </c>
      <c r="V406">
        <f>IF(D406&gt;0.005,I406,NA())</f>
        <v/>
      </c>
      <c r="W406">
        <f>IF(A406&gt;Mortgage!$B$8*12,NA(),S406)</f>
        <v/>
      </c>
    </row>
    <row r="407">
      <c r="A407" s="129" t="n">
        <v>402</v>
      </c>
      <c r="B407" s="146">
        <f>EDATE(Mortgage!$B$9,A407-1)</f>
        <v/>
      </c>
      <c r="C407" s="129">
        <f>INT((A407-1)/12)+1</f>
        <v/>
      </c>
      <c r="D407" s="147">
        <f>IF(N(I406)&gt;0.005,I406,0)</f>
        <v/>
      </c>
      <c r="E407" s="147">
        <f>IF(D407&gt;0.005,D407*Mortgage!$B$7/12,0)</f>
        <v/>
      </c>
      <c r="F407" s="147">
        <f>IF(D407&gt;0.005,MIN(Mortgage!$H$8-E407,D407),0)</f>
        <v/>
      </c>
      <c r="G407" s="147">
        <f>IF(D407-F407&gt;0.005,MIN(D407-F407,Mortgage!$B$18+IF(MONTH(B407)=Mortgage!$B$20,Mortgage!$B$19,0)+SUMIFS(Mortgage!$E$6:$E$15,Mortgage!$D$6:$D$15,"&gt;="&amp;B407,Mortgage!$D$6:$D$15,"&lt;"&amp;EDATE(B407,1))+IF(Mortgage!$B$10="Bi-weekly (accelerated)",Mortgage!$H$8/12,0)),0)</f>
        <v/>
      </c>
      <c r="H407" s="147">
        <f>F407+G407</f>
        <v/>
      </c>
      <c r="I407" s="148">
        <f>D407-H407</f>
        <v/>
      </c>
      <c r="J407" s="147">
        <f>E407+F407+G407</f>
        <v/>
      </c>
      <c r="K407" s="147">
        <f>IF(AND(D407&gt;0.005,Mortgage!$H$7&gt;0.8,D407/Mortgage!$B$5&gt;Mortgage!$B$14),Mortgage!$H$5*Mortgage!$B$13/12,0)</f>
        <v/>
      </c>
      <c r="L407" s="147">
        <f>IF(D407&gt;0.005,Mortgage!$B$11/12*(1+Mortgage!$B$16)^(C407-1),0)</f>
        <v/>
      </c>
      <c r="M407" s="147">
        <f>IF(D407&gt;0.005,Mortgage!$B$12/12*(1+Mortgage!$B$16)^(C407-1),0)</f>
        <v/>
      </c>
      <c r="N407" s="147">
        <f>IF(D407&gt;0.005,Mortgage!$B$15,0)</f>
        <v/>
      </c>
      <c r="O407" s="147">
        <f>J407+K407+L407+M407+N407</f>
        <v/>
      </c>
      <c r="P407" s="147">
        <f>P406+E407</f>
        <v/>
      </c>
      <c r="Q407" s="147">
        <f>IF(D407&gt;0.005,Mortgage!$B$5*(1+Mortgage!$B$17)^(A407/12),"")</f>
        <v/>
      </c>
      <c r="R407" s="147">
        <f>IF(D407&gt;0.005,Q407-I407,"")</f>
        <v/>
      </c>
      <c r="S407" s="147">
        <f>IF(A407&gt;Mortgage!$B$8*12,0,IF(Mortgage!$B$7=0,MAX(0,Mortgage!$H$5-Mortgage!$H$8*A407),MAX(0,Mortgage!$H$5*(1+(Mortgage!$B$7/12))^A407-Mortgage!$H$8*((1+(Mortgage!$B$7/12))^A407-1)/(Mortgage!$B$7/12))))</f>
        <v/>
      </c>
      <c r="T407" s="149">
        <f>IF(D407&gt;0.005,I407/Mortgage!$B$5,"")</f>
        <v/>
      </c>
      <c r="U407">
        <f>IF(A407&gt;Mortgage!$B$8*12,NA(),B407)</f>
        <v/>
      </c>
      <c r="V407">
        <f>IF(D407&gt;0.005,I407,NA())</f>
        <v/>
      </c>
      <c r="W407">
        <f>IF(A407&gt;Mortgage!$B$8*12,NA(),S407)</f>
        <v/>
      </c>
    </row>
    <row r="408">
      <c r="A408" s="129" t="n">
        <v>403</v>
      </c>
      <c r="B408" s="146">
        <f>EDATE(Mortgage!$B$9,A408-1)</f>
        <v/>
      </c>
      <c r="C408" s="129">
        <f>INT((A408-1)/12)+1</f>
        <v/>
      </c>
      <c r="D408" s="147">
        <f>IF(N(I407)&gt;0.005,I407,0)</f>
        <v/>
      </c>
      <c r="E408" s="147">
        <f>IF(D408&gt;0.005,D408*Mortgage!$B$7/12,0)</f>
        <v/>
      </c>
      <c r="F408" s="147">
        <f>IF(D408&gt;0.005,MIN(Mortgage!$H$8-E408,D408),0)</f>
        <v/>
      </c>
      <c r="G408" s="147">
        <f>IF(D408-F408&gt;0.005,MIN(D408-F408,Mortgage!$B$18+IF(MONTH(B408)=Mortgage!$B$20,Mortgage!$B$19,0)+SUMIFS(Mortgage!$E$6:$E$15,Mortgage!$D$6:$D$15,"&gt;="&amp;B408,Mortgage!$D$6:$D$15,"&lt;"&amp;EDATE(B408,1))+IF(Mortgage!$B$10="Bi-weekly (accelerated)",Mortgage!$H$8/12,0)),0)</f>
        <v/>
      </c>
      <c r="H408" s="147">
        <f>F408+G408</f>
        <v/>
      </c>
      <c r="I408" s="148">
        <f>D408-H408</f>
        <v/>
      </c>
      <c r="J408" s="147">
        <f>E408+F408+G408</f>
        <v/>
      </c>
      <c r="K408" s="147">
        <f>IF(AND(D408&gt;0.005,Mortgage!$H$7&gt;0.8,D408/Mortgage!$B$5&gt;Mortgage!$B$14),Mortgage!$H$5*Mortgage!$B$13/12,0)</f>
        <v/>
      </c>
      <c r="L408" s="147">
        <f>IF(D408&gt;0.005,Mortgage!$B$11/12*(1+Mortgage!$B$16)^(C408-1),0)</f>
        <v/>
      </c>
      <c r="M408" s="147">
        <f>IF(D408&gt;0.005,Mortgage!$B$12/12*(1+Mortgage!$B$16)^(C408-1),0)</f>
        <v/>
      </c>
      <c r="N408" s="147">
        <f>IF(D408&gt;0.005,Mortgage!$B$15,0)</f>
        <v/>
      </c>
      <c r="O408" s="147">
        <f>J408+K408+L408+M408+N408</f>
        <v/>
      </c>
      <c r="P408" s="147">
        <f>P407+E408</f>
        <v/>
      </c>
      <c r="Q408" s="147">
        <f>IF(D408&gt;0.005,Mortgage!$B$5*(1+Mortgage!$B$17)^(A408/12),"")</f>
        <v/>
      </c>
      <c r="R408" s="147">
        <f>IF(D408&gt;0.005,Q408-I408,"")</f>
        <v/>
      </c>
      <c r="S408" s="147">
        <f>IF(A408&gt;Mortgage!$B$8*12,0,IF(Mortgage!$B$7=0,MAX(0,Mortgage!$H$5-Mortgage!$H$8*A408),MAX(0,Mortgage!$H$5*(1+(Mortgage!$B$7/12))^A408-Mortgage!$H$8*((1+(Mortgage!$B$7/12))^A408-1)/(Mortgage!$B$7/12))))</f>
        <v/>
      </c>
      <c r="T408" s="149">
        <f>IF(D408&gt;0.005,I408/Mortgage!$B$5,"")</f>
        <v/>
      </c>
      <c r="U408">
        <f>IF(A408&gt;Mortgage!$B$8*12,NA(),B408)</f>
        <v/>
      </c>
      <c r="V408">
        <f>IF(D408&gt;0.005,I408,NA())</f>
        <v/>
      </c>
      <c r="W408">
        <f>IF(A408&gt;Mortgage!$B$8*12,NA(),S408)</f>
        <v/>
      </c>
    </row>
    <row r="409">
      <c r="A409" s="129" t="n">
        <v>404</v>
      </c>
      <c r="B409" s="146">
        <f>EDATE(Mortgage!$B$9,A409-1)</f>
        <v/>
      </c>
      <c r="C409" s="129">
        <f>INT((A409-1)/12)+1</f>
        <v/>
      </c>
      <c r="D409" s="147">
        <f>IF(N(I408)&gt;0.005,I408,0)</f>
        <v/>
      </c>
      <c r="E409" s="147">
        <f>IF(D409&gt;0.005,D409*Mortgage!$B$7/12,0)</f>
        <v/>
      </c>
      <c r="F409" s="147">
        <f>IF(D409&gt;0.005,MIN(Mortgage!$H$8-E409,D409),0)</f>
        <v/>
      </c>
      <c r="G409" s="147">
        <f>IF(D409-F409&gt;0.005,MIN(D409-F409,Mortgage!$B$18+IF(MONTH(B409)=Mortgage!$B$20,Mortgage!$B$19,0)+SUMIFS(Mortgage!$E$6:$E$15,Mortgage!$D$6:$D$15,"&gt;="&amp;B409,Mortgage!$D$6:$D$15,"&lt;"&amp;EDATE(B409,1))+IF(Mortgage!$B$10="Bi-weekly (accelerated)",Mortgage!$H$8/12,0)),0)</f>
        <v/>
      </c>
      <c r="H409" s="147">
        <f>F409+G409</f>
        <v/>
      </c>
      <c r="I409" s="148">
        <f>D409-H409</f>
        <v/>
      </c>
      <c r="J409" s="147">
        <f>E409+F409+G409</f>
        <v/>
      </c>
      <c r="K409" s="147">
        <f>IF(AND(D409&gt;0.005,Mortgage!$H$7&gt;0.8,D409/Mortgage!$B$5&gt;Mortgage!$B$14),Mortgage!$H$5*Mortgage!$B$13/12,0)</f>
        <v/>
      </c>
      <c r="L409" s="147">
        <f>IF(D409&gt;0.005,Mortgage!$B$11/12*(1+Mortgage!$B$16)^(C409-1),0)</f>
        <v/>
      </c>
      <c r="M409" s="147">
        <f>IF(D409&gt;0.005,Mortgage!$B$12/12*(1+Mortgage!$B$16)^(C409-1),0)</f>
        <v/>
      </c>
      <c r="N409" s="147">
        <f>IF(D409&gt;0.005,Mortgage!$B$15,0)</f>
        <v/>
      </c>
      <c r="O409" s="147">
        <f>J409+K409+L409+M409+N409</f>
        <v/>
      </c>
      <c r="P409" s="147">
        <f>P408+E409</f>
        <v/>
      </c>
      <c r="Q409" s="147">
        <f>IF(D409&gt;0.005,Mortgage!$B$5*(1+Mortgage!$B$17)^(A409/12),"")</f>
        <v/>
      </c>
      <c r="R409" s="147">
        <f>IF(D409&gt;0.005,Q409-I409,"")</f>
        <v/>
      </c>
      <c r="S409" s="147">
        <f>IF(A409&gt;Mortgage!$B$8*12,0,IF(Mortgage!$B$7=0,MAX(0,Mortgage!$H$5-Mortgage!$H$8*A409),MAX(0,Mortgage!$H$5*(1+(Mortgage!$B$7/12))^A409-Mortgage!$H$8*((1+(Mortgage!$B$7/12))^A409-1)/(Mortgage!$B$7/12))))</f>
        <v/>
      </c>
      <c r="T409" s="149">
        <f>IF(D409&gt;0.005,I409/Mortgage!$B$5,"")</f>
        <v/>
      </c>
      <c r="U409">
        <f>IF(A409&gt;Mortgage!$B$8*12,NA(),B409)</f>
        <v/>
      </c>
      <c r="V409">
        <f>IF(D409&gt;0.005,I409,NA())</f>
        <v/>
      </c>
      <c r="W409">
        <f>IF(A409&gt;Mortgage!$B$8*12,NA(),S409)</f>
        <v/>
      </c>
    </row>
    <row r="410">
      <c r="A410" s="129" t="n">
        <v>405</v>
      </c>
      <c r="B410" s="146">
        <f>EDATE(Mortgage!$B$9,A410-1)</f>
        <v/>
      </c>
      <c r="C410" s="129">
        <f>INT((A410-1)/12)+1</f>
        <v/>
      </c>
      <c r="D410" s="147">
        <f>IF(N(I409)&gt;0.005,I409,0)</f>
        <v/>
      </c>
      <c r="E410" s="147">
        <f>IF(D410&gt;0.005,D410*Mortgage!$B$7/12,0)</f>
        <v/>
      </c>
      <c r="F410" s="147">
        <f>IF(D410&gt;0.005,MIN(Mortgage!$H$8-E410,D410),0)</f>
        <v/>
      </c>
      <c r="G410" s="147">
        <f>IF(D410-F410&gt;0.005,MIN(D410-F410,Mortgage!$B$18+IF(MONTH(B410)=Mortgage!$B$20,Mortgage!$B$19,0)+SUMIFS(Mortgage!$E$6:$E$15,Mortgage!$D$6:$D$15,"&gt;="&amp;B410,Mortgage!$D$6:$D$15,"&lt;"&amp;EDATE(B410,1))+IF(Mortgage!$B$10="Bi-weekly (accelerated)",Mortgage!$H$8/12,0)),0)</f>
        <v/>
      </c>
      <c r="H410" s="147">
        <f>F410+G410</f>
        <v/>
      </c>
      <c r="I410" s="148">
        <f>D410-H410</f>
        <v/>
      </c>
      <c r="J410" s="147">
        <f>E410+F410+G410</f>
        <v/>
      </c>
      <c r="K410" s="147">
        <f>IF(AND(D410&gt;0.005,Mortgage!$H$7&gt;0.8,D410/Mortgage!$B$5&gt;Mortgage!$B$14),Mortgage!$H$5*Mortgage!$B$13/12,0)</f>
        <v/>
      </c>
      <c r="L410" s="147">
        <f>IF(D410&gt;0.005,Mortgage!$B$11/12*(1+Mortgage!$B$16)^(C410-1),0)</f>
        <v/>
      </c>
      <c r="M410" s="147">
        <f>IF(D410&gt;0.005,Mortgage!$B$12/12*(1+Mortgage!$B$16)^(C410-1),0)</f>
        <v/>
      </c>
      <c r="N410" s="147">
        <f>IF(D410&gt;0.005,Mortgage!$B$15,0)</f>
        <v/>
      </c>
      <c r="O410" s="147">
        <f>J410+K410+L410+M410+N410</f>
        <v/>
      </c>
      <c r="P410" s="147">
        <f>P409+E410</f>
        <v/>
      </c>
      <c r="Q410" s="147">
        <f>IF(D410&gt;0.005,Mortgage!$B$5*(1+Mortgage!$B$17)^(A410/12),"")</f>
        <v/>
      </c>
      <c r="R410" s="147">
        <f>IF(D410&gt;0.005,Q410-I410,"")</f>
        <v/>
      </c>
      <c r="S410" s="147">
        <f>IF(A410&gt;Mortgage!$B$8*12,0,IF(Mortgage!$B$7=0,MAX(0,Mortgage!$H$5-Mortgage!$H$8*A410),MAX(0,Mortgage!$H$5*(1+(Mortgage!$B$7/12))^A410-Mortgage!$H$8*((1+(Mortgage!$B$7/12))^A410-1)/(Mortgage!$B$7/12))))</f>
        <v/>
      </c>
      <c r="T410" s="149">
        <f>IF(D410&gt;0.005,I410/Mortgage!$B$5,"")</f>
        <v/>
      </c>
      <c r="U410">
        <f>IF(A410&gt;Mortgage!$B$8*12,NA(),B410)</f>
        <v/>
      </c>
      <c r="V410">
        <f>IF(D410&gt;0.005,I410,NA())</f>
        <v/>
      </c>
      <c r="W410">
        <f>IF(A410&gt;Mortgage!$B$8*12,NA(),S410)</f>
        <v/>
      </c>
    </row>
    <row r="411">
      <c r="A411" s="129" t="n">
        <v>406</v>
      </c>
      <c r="B411" s="146">
        <f>EDATE(Mortgage!$B$9,A411-1)</f>
        <v/>
      </c>
      <c r="C411" s="129">
        <f>INT((A411-1)/12)+1</f>
        <v/>
      </c>
      <c r="D411" s="147">
        <f>IF(N(I410)&gt;0.005,I410,0)</f>
        <v/>
      </c>
      <c r="E411" s="147">
        <f>IF(D411&gt;0.005,D411*Mortgage!$B$7/12,0)</f>
        <v/>
      </c>
      <c r="F411" s="147">
        <f>IF(D411&gt;0.005,MIN(Mortgage!$H$8-E411,D411),0)</f>
        <v/>
      </c>
      <c r="G411" s="147">
        <f>IF(D411-F411&gt;0.005,MIN(D411-F411,Mortgage!$B$18+IF(MONTH(B411)=Mortgage!$B$20,Mortgage!$B$19,0)+SUMIFS(Mortgage!$E$6:$E$15,Mortgage!$D$6:$D$15,"&gt;="&amp;B411,Mortgage!$D$6:$D$15,"&lt;"&amp;EDATE(B411,1))+IF(Mortgage!$B$10="Bi-weekly (accelerated)",Mortgage!$H$8/12,0)),0)</f>
        <v/>
      </c>
      <c r="H411" s="147">
        <f>F411+G411</f>
        <v/>
      </c>
      <c r="I411" s="148">
        <f>D411-H411</f>
        <v/>
      </c>
      <c r="J411" s="147">
        <f>E411+F411+G411</f>
        <v/>
      </c>
      <c r="K411" s="147">
        <f>IF(AND(D411&gt;0.005,Mortgage!$H$7&gt;0.8,D411/Mortgage!$B$5&gt;Mortgage!$B$14),Mortgage!$H$5*Mortgage!$B$13/12,0)</f>
        <v/>
      </c>
      <c r="L411" s="147">
        <f>IF(D411&gt;0.005,Mortgage!$B$11/12*(1+Mortgage!$B$16)^(C411-1),0)</f>
        <v/>
      </c>
      <c r="M411" s="147">
        <f>IF(D411&gt;0.005,Mortgage!$B$12/12*(1+Mortgage!$B$16)^(C411-1),0)</f>
        <v/>
      </c>
      <c r="N411" s="147">
        <f>IF(D411&gt;0.005,Mortgage!$B$15,0)</f>
        <v/>
      </c>
      <c r="O411" s="147">
        <f>J411+K411+L411+M411+N411</f>
        <v/>
      </c>
      <c r="P411" s="147">
        <f>P410+E411</f>
        <v/>
      </c>
      <c r="Q411" s="147">
        <f>IF(D411&gt;0.005,Mortgage!$B$5*(1+Mortgage!$B$17)^(A411/12),"")</f>
        <v/>
      </c>
      <c r="R411" s="147">
        <f>IF(D411&gt;0.005,Q411-I411,"")</f>
        <v/>
      </c>
      <c r="S411" s="147">
        <f>IF(A411&gt;Mortgage!$B$8*12,0,IF(Mortgage!$B$7=0,MAX(0,Mortgage!$H$5-Mortgage!$H$8*A411),MAX(0,Mortgage!$H$5*(1+(Mortgage!$B$7/12))^A411-Mortgage!$H$8*((1+(Mortgage!$B$7/12))^A411-1)/(Mortgage!$B$7/12))))</f>
        <v/>
      </c>
      <c r="T411" s="149">
        <f>IF(D411&gt;0.005,I411/Mortgage!$B$5,"")</f>
        <v/>
      </c>
      <c r="U411">
        <f>IF(A411&gt;Mortgage!$B$8*12,NA(),B411)</f>
        <v/>
      </c>
      <c r="V411">
        <f>IF(D411&gt;0.005,I411,NA())</f>
        <v/>
      </c>
      <c r="W411">
        <f>IF(A411&gt;Mortgage!$B$8*12,NA(),S411)</f>
        <v/>
      </c>
    </row>
    <row r="412">
      <c r="A412" s="129" t="n">
        <v>407</v>
      </c>
      <c r="B412" s="146">
        <f>EDATE(Mortgage!$B$9,A412-1)</f>
        <v/>
      </c>
      <c r="C412" s="129">
        <f>INT((A412-1)/12)+1</f>
        <v/>
      </c>
      <c r="D412" s="147">
        <f>IF(N(I411)&gt;0.005,I411,0)</f>
        <v/>
      </c>
      <c r="E412" s="147">
        <f>IF(D412&gt;0.005,D412*Mortgage!$B$7/12,0)</f>
        <v/>
      </c>
      <c r="F412" s="147">
        <f>IF(D412&gt;0.005,MIN(Mortgage!$H$8-E412,D412),0)</f>
        <v/>
      </c>
      <c r="G412" s="147">
        <f>IF(D412-F412&gt;0.005,MIN(D412-F412,Mortgage!$B$18+IF(MONTH(B412)=Mortgage!$B$20,Mortgage!$B$19,0)+SUMIFS(Mortgage!$E$6:$E$15,Mortgage!$D$6:$D$15,"&gt;="&amp;B412,Mortgage!$D$6:$D$15,"&lt;"&amp;EDATE(B412,1))+IF(Mortgage!$B$10="Bi-weekly (accelerated)",Mortgage!$H$8/12,0)),0)</f>
        <v/>
      </c>
      <c r="H412" s="147">
        <f>F412+G412</f>
        <v/>
      </c>
      <c r="I412" s="148">
        <f>D412-H412</f>
        <v/>
      </c>
      <c r="J412" s="147">
        <f>E412+F412+G412</f>
        <v/>
      </c>
      <c r="K412" s="147">
        <f>IF(AND(D412&gt;0.005,Mortgage!$H$7&gt;0.8,D412/Mortgage!$B$5&gt;Mortgage!$B$14),Mortgage!$H$5*Mortgage!$B$13/12,0)</f>
        <v/>
      </c>
      <c r="L412" s="147">
        <f>IF(D412&gt;0.005,Mortgage!$B$11/12*(1+Mortgage!$B$16)^(C412-1),0)</f>
        <v/>
      </c>
      <c r="M412" s="147">
        <f>IF(D412&gt;0.005,Mortgage!$B$12/12*(1+Mortgage!$B$16)^(C412-1),0)</f>
        <v/>
      </c>
      <c r="N412" s="147">
        <f>IF(D412&gt;0.005,Mortgage!$B$15,0)</f>
        <v/>
      </c>
      <c r="O412" s="147">
        <f>J412+K412+L412+M412+N412</f>
        <v/>
      </c>
      <c r="P412" s="147">
        <f>P411+E412</f>
        <v/>
      </c>
      <c r="Q412" s="147">
        <f>IF(D412&gt;0.005,Mortgage!$B$5*(1+Mortgage!$B$17)^(A412/12),"")</f>
        <v/>
      </c>
      <c r="R412" s="147">
        <f>IF(D412&gt;0.005,Q412-I412,"")</f>
        <v/>
      </c>
      <c r="S412" s="147">
        <f>IF(A412&gt;Mortgage!$B$8*12,0,IF(Mortgage!$B$7=0,MAX(0,Mortgage!$H$5-Mortgage!$H$8*A412),MAX(0,Mortgage!$H$5*(1+(Mortgage!$B$7/12))^A412-Mortgage!$H$8*((1+(Mortgage!$B$7/12))^A412-1)/(Mortgage!$B$7/12))))</f>
        <v/>
      </c>
      <c r="T412" s="149">
        <f>IF(D412&gt;0.005,I412/Mortgage!$B$5,"")</f>
        <v/>
      </c>
      <c r="U412">
        <f>IF(A412&gt;Mortgage!$B$8*12,NA(),B412)</f>
        <v/>
      </c>
      <c r="V412">
        <f>IF(D412&gt;0.005,I412,NA())</f>
        <v/>
      </c>
      <c r="W412">
        <f>IF(A412&gt;Mortgage!$B$8*12,NA(),S412)</f>
        <v/>
      </c>
    </row>
    <row r="413">
      <c r="A413" s="129" t="n">
        <v>408</v>
      </c>
      <c r="B413" s="146">
        <f>EDATE(Mortgage!$B$9,A413-1)</f>
        <v/>
      </c>
      <c r="C413" s="129">
        <f>INT((A413-1)/12)+1</f>
        <v/>
      </c>
      <c r="D413" s="147">
        <f>IF(N(I412)&gt;0.005,I412,0)</f>
        <v/>
      </c>
      <c r="E413" s="147">
        <f>IF(D413&gt;0.005,D413*Mortgage!$B$7/12,0)</f>
        <v/>
      </c>
      <c r="F413" s="147">
        <f>IF(D413&gt;0.005,MIN(Mortgage!$H$8-E413,D413),0)</f>
        <v/>
      </c>
      <c r="G413" s="147">
        <f>IF(D413-F413&gt;0.005,MIN(D413-F413,Mortgage!$B$18+IF(MONTH(B413)=Mortgage!$B$20,Mortgage!$B$19,0)+SUMIFS(Mortgage!$E$6:$E$15,Mortgage!$D$6:$D$15,"&gt;="&amp;B413,Mortgage!$D$6:$D$15,"&lt;"&amp;EDATE(B413,1))+IF(Mortgage!$B$10="Bi-weekly (accelerated)",Mortgage!$H$8/12,0)),0)</f>
        <v/>
      </c>
      <c r="H413" s="147">
        <f>F413+G413</f>
        <v/>
      </c>
      <c r="I413" s="148">
        <f>D413-H413</f>
        <v/>
      </c>
      <c r="J413" s="147">
        <f>E413+F413+G413</f>
        <v/>
      </c>
      <c r="K413" s="147">
        <f>IF(AND(D413&gt;0.005,Mortgage!$H$7&gt;0.8,D413/Mortgage!$B$5&gt;Mortgage!$B$14),Mortgage!$H$5*Mortgage!$B$13/12,0)</f>
        <v/>
      </c>
      <c r="L413" s="147">
        <f>IF(D413&gt;0.005,Mortgage!$B$11/12*(1+Mortgage!$B$16)^(C413-1),0)</f>
        <v/>
      </c>
      <c r="M413" s="147">
        <f>IF(D413&gt;0.005,Mortgage!$B$12/12*(1+Mortgage!$B$16)^(C413-1),0)</f>
        <v/>
      </c>
      <c r="N413" s="147">
        <f>IF(D413&gt;0.005,Mortgage!$B$15,0)</f>
        <v/>
      </c>
      <c r="O413" s="147">
        <f>J413+K413+L413+M413+N413</f>
        <v/>
      </c>
      <c r="P413" s="147">
        <f>P412+E413</f>
        <v/>
      </c>
      <c r="Q413" s="147">
        <f>IF(D413&gt;0.005,Mortgage!$B$5*(1+Mortgage!$B$17)^(A413/12),"")</f>
        <v/>
      </c>
      <c r="R413" s="147">
        <f>IF(D413&gt;0.005,Q413-I413,"")</f>
        <v/>
      </c>
      <c r="S413" s="147">
        <f>IF(A413&gt;Mortgage!$B$8*12,0,IF(Mortgage!$B$7=0,MAX(0,Mortgage!$H$5-Mortgage!$H$8*A413),MAX(0,Mortgage!$H$5*(1+(Mortgage!$B$7/12))^A413-Mortgage!$H$8*((1+(Mortgage!$B$7/12))^A413-1)/(Mortgage!$B$7/12))))</f>
        <v/>
      </c>
      <c r="T413" s="149">
        <f>IF(D413&gt;0.005,I413/Mortgage!$B$5,"")</f>
        <v/>
      </c>
      <c r="U413">
        <f>IF(A413&gt;Mortgage!$B$8*12,NA(),B413)</f>
        <v/>
      </c>
      <c r="V413">
        <f>IF(D413&gt;0.005,I413,NA())</f>
        <v/>
      </c>
      <c r="W413">
        <f>IF(A413&gt;Mortgage!$B$8*12,NA(),S413)</f>
        <v/>
      </c>
    </row>
    <row r="414">
      <c r="A414" s="129" t="n">
        <v>409</v>
      </c>
      <c r="B414" s="146">
        <f>EDATE(Mortgage!$B$9,A414-1)</f>
        <v/>
      </c>
      <c r="C414" s="129">
        <f>INT((A414-1)/12)+1</f>
        <v/>
      </c>
      <c r="D414" s="147">
        <f>IF(N(I413)&gt;0.005,I413,0)</f>
        <v/>
      </c>
      <c r="E414" s="147">
        <f>IF(D414&gt;0.005,D414*Mortgage!$B$7/12,0)</f>
        <v/>
      </c>
      <c r="F414" s="147">
        <f>IF(D414&gt;0.005,MIN(Mortgage!$H$8-E414,D414),0)</f>
        <v/>
      </c>
      <c r="G414" s="147">
        <f>IF(D414-F414&gt;0.005,MIN(D414-F414,Mortgage!$B$18+IF(MONTH(B414)=Mortgage!$B$20,Mortgage!$B$19,0)+SUMIFS(Mortgage!$E$6:$E$15,Mortgage!$D$6:$D$15,"&gt;="&amp;B414,Mortgage!$D$6:$D$15,"&lt;"&amp;EDATE(B414,1))+IF(Mortgage!$B$10="Bi-weekly (accelerated)",Mortgage!$H$8/12,0)),0)</f>
        <v/>
      </c>
      <c r="H414" s="147">
        <f>F414+G414</f>
        <v/>
      </c>
      <c r="I414" s="148">
        <f>D414-H414</f>
        <v/>
      </c>
      <c r="J414" s="147">
        <f>E414+F414+G414</f>
        <v/>
      </c>
      <c r="K414" s="147">
        <f>IF(AND(D414&gt;0.005,Mortgage!$H$7&gt;0.8,D414/Mortgage!$B$5&gt;Mortgage!$B$14),Mortgage!$H$5*Mortgage!$B$13/12,0)</f>
        <v/>
      </c>
      <c r="L414" s="147">
        <f>IF(D414&gt;0.005,Mortgage!$B$11/12*(1+Mortgage!$B$16)^(C414-1),0)</f>
        <v/>
      </c>
      <c r="M414" s="147">
        <f>IF(D414&gt;0.005,Mortgage!$B$12/12*(1+Mortgage!$B$16)^(C414-1),0)</f>
        <v/>
      </c>
      <c r="N414" s="147">
        <f>IF(D414&gt;0.005,Mortgage!$B$15,0)</f>
        <v/>
      </c>
      <c r="O414" s="147">
        <f>J414+K414+L414+M414+N414</f>
        <v/>
      </c>
      <c r="P414" s="147">
        <f>P413+E414</f>
        <v/>
      </c>
      <c r="Q414" s="147">
        <f>IF(D414&gt;0.005,Mortgage!$B$5*(1+Mortgage!$B$17)^(A414/12),"")</f>
        <v/>
      </c>
      <c r="R414" s="147">
        <f>IF(D414&gt;0.005,Q414-I414,"")</f>
        <v/>
      </c>
      <c r="S414" s="147">
        <f>IF(A414&gt;Mortgage!$B$8*12,0,IF(Mortgage!$B$7=0,MAX(0,Mortgage!$H$5-Mortgage!$H$8*A414),MAX(0,Mortgage!$H$5*(1+(Mortgage!$B$7/12))^A414-Mortgage!$H$8*((1+(Mortgage!$B$7/12))^A414-1)/(Mortgage!$B$7/12))))</f>
        <v/>
      </c>
      <c r="T414" s="149">
        <f>IF(D414&gt;0.005,I414/Mortgage!$B$5,"")</f>
        <v/>
      </c>
      <c r="U414">
        <f>IF(A414&gt;Mortgage!$B$8*12,NA(),B414)</f>
        <v/>
      </c>
      <c r="V414">
        <f>IF(D414&gt;0.005,I414,NA())</f>
        <v/>
      </c>
      <c r="W414">
        <f>IF(A414&gt;Mortgage!$B$8*12,NA(),S414)</f>
        <v/>
      </c>
    </row>
    <row r="415">
      <c r="A415" s="129" t="n">
        <v>410</v>
      </c>
      <c r="B415" s="146">
        <f>EDATE(Mortgage!$B$9,A415-1)</f>
        <v/>
      </c>
      <c r="C415" s="129">
        <f>INT((A415-1)/12)+1</f>
        <v/>
      </c>
      <c r="D415" s="147">
        <f>IF(N(I414)&gt;0.005,I414,0)</f>
        <v/>
      </c>
      <c r="E415" s="147">
        <f>IF(D415&gt;0.005,D415*Mortgage!$B$7/12,0)</f>
        <v/>
      </c>
      <c r="F415" s="147">
        <f>IF(D415&gt;0.005,MIN(Mortgage!$H$8-E415,D415),0)</f>
        <v/>
      </c>
      <c r="G415" s="147">
        <f>IF(D415-F415&gt;0.005,MIN(D415-F415,Mortgage!$B$18+IF(MONTH(B415)=Mortgage!$B$20,Mortgage!$B$19,0)+SUMIFS(Mortgage!$E$6:$E$15,Mortgage!$D$6:$D$15,"&gt;="&amp;B415,Mortgage!$D$6:$D$15,"&lt;"&amp;EDATE(B415,1))+IF(Mortgage!$B$10="Bi-weekly (accelerated)",Mortgage!$H$8/12,0)),0)</f>
        <v/>
      </c>
      <c r="H415" s="147">
        <f>F415+G415</f>
        <v/>
      </c>
      <c r="I415" s="148">
        <f>D415-H415</f>
        <v/>
      </c>
      <c r="J415" s="147">
        <f>E415+F415+G415</f>
        <v/>
      </c>
      <c r="K415" s="147">
        <f>IF(AND(D415&gt;0.005,Mortgage!$H$7&gt;0.8,D415/Mortgage!$B$5&gt;Mortgage!$B$14),Mortgage!$H$5*Mortgage!$B$13/12,0)</f>
        <v/>
      </c>
      <c r="L415" s="147">
        <f>IF(D415&gt;0.005,Mortgage!$B$11/12*(1+Mortgage!$B$16)^(C415-1),0)</f>
        <v/>
      </c>
      <c r="M415" s="147">
        <f>IF(D415&gt;0.005,Mortgage!$B$12/12*(1+Mortgage!$B$16)^(C415-1),0)</f>
        <v/>
      </c>
      <c r="N415" s="147">
        <f>IF(D415&gt;0.005,Mortgage!$B$15,0)</f>
        <v/>
      </c>
      <c r="O415" s="147">
        <f>J415+K415+L415+M415+N415</f>
        <v/>
      </c>
      <c r="P415" s="147">
        <f>P414+E415</f>
        <v/>
      </c>
      <c r="Q415" s="147">
        <f>IF(D415&gt;0.005,Mortgage!$B$5*(1+Mortgage!$B$17)^(A415/12),"")</f>
        <v/>
      </c>
      <c r="R415" s="147">
        <f>IF(D415&gt;0.005,Q415-I415,"")</f>
        <v/>
      </c>
      <c r="S415" s="147">
        <f>IF(A415&gt;Mortgage!$B$8*12,0,IF(Mortgage!$B$7=0,MAX(0,Mortgage!$H$5-Mortgage!$H$8*A415),MAX(0,Mortgage!$H$5*(1+(Mortgage!$B$7/12))^A415-Mortgage!$H$8*((1+(Mortgage!$B$7/12))^A415-1)/(Mortgage!$B$7/12))))</f>
        <v/>
      </c>
      <c r="T415" s="149">
        <f>IF(D415&gt;0.005,I415/Mortgage!$B$5,"")</f>
        <v/>
      </c>
      <c r="U415">
        <f>IF(A415&gt;Mortgage!$B$8*12,NA(),B415)</f>
        <v/>
      </c>
      <c r="V415">
        <f>IF(D415&gt;0.005,I415,NA())</f>
        <v/>
      </c>
      <c r="W415">
        <f>IF(A415&gt;Mortgage!$B$8*12,NA(),S415)</f>
        <v/>
      </c>
    </row>
    <row r="416">
      <c r="A416" s="129" t="n">
        <v>411</v>
      </c>
      <c r="B416" s="146">
        <f>EDATE(Mortgage!$B$9,A416-1)</f>
        <v/>
      </c>
      <c r="C416" s="129">
        <f>INT((A416-1)/12)+1</f>
        <v/>
      </c>
      <c r="D416" s="147">
        <f>IF(N(I415)&gt;0.005,I415,0)</f>
        <v/>
      </c>
      <c r="E416" s="147">
        <f>IF(D416&gt;0.005,D416*Mortgage!$B$7/12,0)</f>
        <v/>
      </c>
      <c r="F416" s="147">
        <f>IF(D416&gt;0.005,MIN(Mortgage!$H$8-E416,D416),0)</f>
        <v/>
      </c>
      <c r="G416" s="147">
        <f>IF(D416-F416&gt;0.005,MIN(D416-F416,Mortgage!$B$18+IF(MONTH(B416)=Mortgage!$B$20,Mortgage!$B$19,0)+SUMIFS(Mortgage!$E$6:$E$15,Mortgage!$D$6:$D$15,"&gt;="&amp;B416,Mortgage!$D$6:$D$15,"&lt;"&amp;EDATE(B416,1))+IF(Mortgage!$B$10="Bi-weekly (accelerated)",Mortgage!$H$8/12,0)),0)</f>
        <v/>
      </c>
      <c r="H416" s="147">
        <f>F416+G416</f>
        <v/>
      </c>
      <c r="I416" s="148">
        <f>D416-H416</f>
        <v/>
      </c>
      <c r="J416" s="147">
        <f>E416+F416+G416</f>
        <v/>
      </c>
      <c r="K416" s="147">
        <f>IF(AND(D416&gt;0.005,Mortgage!$H$7&gt;0.8,D416/Mortgage!$B$5&gt;Mortgage!$B$14),Mortgage!$H$5*Mortgage!$B$13/12,0)</f>
        <v/>
      </c>
      <c r="L416" s="147">
        <f>IF(D416&gt;0.005,Mortgage!$B$11/12*(1+Mortgage!$B$16)^(C416-1),0)</f>
        <v/>
      </c>
      <c r="M416" s="147">
        <f>IF(D416&gt;0.005,Mortgage!$B$12/12*(1+Mortgage!$B$16)^(C416-1),0)</f>
        <v/>
      </c>
      <c r="N416" s="147">
        <f>IF(D416&gt;0.005,Mortgage!$B$15,0)</f>
        <v/>
      </c>
      <c r="O416" s="147">
        <f>J416+K416+L416+M416+N416</f>
        <v/>
      </c>
      <c r="P416" s="147">
        <f>P415+E416</f>
        <v/>
      </c>
      <c r="Q416" s="147">
        <f>IF(D416&gt;0.005,Mortgage!$B$5*(1+Mortgage!$B$17)^(A416/12),"")</f>
        <v/>
      </c>
      <c r="R416" s="147">
        <f>IF(D416&gt;0.005,Q416-I416,"")</f>
        <v/>
      </c>
      <c r="S416" s="147">
        <f>IF(A416&gt;Mortgage!$B$8*12,0,IF(Mortgage!$B$7=0,MAX(0,Mortgage!$H$5-Mortgage!$H$8*A416),MAX(0,Mortgage!$H$5*(1+(Mortgage!$B$7/12))^A416-Mortgage!$H$8*((1+(Mortgage!$B$7/12))^A416-1)/(Mortgage!$B$7/12))))</f>
        <v/>
      </c>
      <c r="T416" s="149">
        <f>IF(D416&gt;0.005,I416/Mortgage!$B$5,"")</f>
        <v/>
      </c>
      <c r="U416">
        <f>IF(A416&gt;Mortgage!$B$8*12,NA(),B416)</f>
        <v/>
      </c>
      <c r="V416">
        <f>IF(D416&gt;0.005,I416,NA())</f>
        <v/>
      </c>
      <c r="W416">
        <f>IF(A416&gt;Mortgage!$B$8*12,NA(),S416)</f>
        <v/>
      </c>
    </row>
    <row r="417">
      <c r="A417" s="129" t="n">
        <v>412</v>
      </c>
      <c r="B417" s="146">
        <f>EDATE(Mortgage!$B$9,A417-1)</f>
        <v/>
      </c>
      <c r="C417" s="129">
        <f>INT((A417-1)/12)+1</f>
        <v/>
      </c>
      <c r="D417" s="147">
        <f>IF(N(I416)&gt;0.005,I416,0)</f>
        <v/>
      </c>
      <c r="E417" s="147">
        <f>IF(D417&gt;0.005,D417*Mortgage!$B$7/12,0)</f>
        <v/>
      </c>
      <c r="F417" s="147">
        <f>IF(D417&gt;0.005,MIN(Mortgage!$H$8-E417,D417),0)</f>
        <v/>
      </c>
      <c r="G417" s="147">
        <f>IF(D417-F417&gt;0.005,MIN(D417-F417,Mortgage!$B$18+IF(MONTH(B417)=Mortgage!$B$20,Mortgage!$B$19,0)+SUMIFS(Mortgage!$E$6:$E$15,Mortgage!$D$6:$D$15,"&gt;="&amp;B417,Mortgage!$D$6:$D$15,"&lt;"&amp;EDATE(B417,1))+IF(Mortgage!$B$10="Bi-weekly (accelerated)",Mortgage!$H$8/12,0)),0)</f>
        <v/>
      </c>
      <c r="H417" s="147">
        <f>F417+G417</f>
        <v/>
      </c>
      <c r="I417" s="148">
        <f>D417-H417</f>
        <v/>
      </c>
      <c r="J417" s="147">
        <f>E417+F417+G417</f>
        <v/>
      </c>
      <c r="K417" s="147">
        <f>IF(AND(D417&gt;0.005,Mortgage!$H$7&gt;0.8,D417/Mortgage!$B$5&gt;Mortgage!$B$14),Mortgage!$H$5*Mortgage!$B$13/12,0)</f>
        <v/>
      </c>
      <c r="L417" s="147">
        <f>IF(D417&gt;0.005,Mortgage!$B$11/12*(1+Mortgage!$B$16)^(C417-1),0)</f>
        <v/>
      </c>
      <c r="M417" s="147">
        <f>IF(D417&gt;0.005,Mortgage!$B$12/12*(1+Mortgage!$B$16)^(C417-1),0)</f>
        <v/>
      </c>
      <c r="N417" s="147">
        <f>IF(D417&gt;0.005,Mortgage!$B$15,0)</f>
        <v/>
      </c>
      <c r="O417" s="147">
        <f>J417+K417+L417+M417+N417</f>
        <v/>
      </c>
      <c r="P417" s="147">
        <f>P416+E417</f>
        <v/>
      </c>
      <c r="Q417" s="147">
        <f>IF(D417&gt;0.005,Mortgage!$B$5*(1+Mortgage!$B$17)^(A417/12),"")</f>
        <v/>
      </c>
      <c r="R417" s="147">
        <f>IF(D417&gt;0.005,Q417-I417,"")</f>
        <v/>
      </c>
      <c r="S417" s="147">
        <f>IF(A417&gt;Mortgage!$B$8*12,0,IF(Mortgage!$B$7=0,MAX(0,Mortgage!$H$5-Mortgage!$H$8*A417),MAX(0,Mortgage!$H$5*(1+(Mortgage!$B$7/12))^A417-Mortgage!$H$8*((1+(Mortgage!$B$7/12))^A417-1)/(Mortgage!$B$7/12))))</f>
        <v/>
      </c>
      <c r="T417" s="149">
        <f>IF(D417&gt;0.005,I417/Mortgage!$B$5,"")</f>
        <v/>
      </c>
      <c r="U417">
        <f>IF(A417&gt;Mortgage!$B$8*12,NA(),B417)</f>
        <v/>
      </c>
      <c r="V417">
        <f>IF(D417&gt;0.005,I417,NA())</f>
        <v/>
      </c>
      <c r="W417">
        <f>IF(A417&gt;Mortgage!$B$8*12,NA(),S417)</f>
        <v/>
      </c>
    </row>
    <row r="418">
      <c r="A418" s="129" t="n">
        <v>413</v>
      </c>
      <c r="B418" s="146">
        <f>EDATE(Mortgage!$B$9,A418-1)</f>
        <v/>
      </c>
      <c r="C418" s="129">
        <f>INT((A418-1)/12)+1</f>
        <v/>
      </c>
      <c r="D418" s="147">
        <f>IF(N(I417)&gt;0.005,I417,0)</f>
        <v/>
      </c>
      <c r="E418" s="147">
        <f>IF(D418&gt;0.005,D418*Mortgage!$B$7/12,0)</f>
        <v/>
      </c>
      <c r="F418" s="147">
        <f>IF(D418&gt;0.005,MIN(Mortgage!$H$8-E418,D418),0)</f>
        <v/>
      </c>
      <c r="G418" s="147">
        <f>IF(D418-F418&gt;0.005,MIN(D418-F418,Mortgage!$B$18+IF(MONTH(B418)=Mortgage!$B$20,Mortgage!$B$19,0)+SUMIFS(Mortgage!$E$6:$E$15,Mortgage!$D$6:$D$15,"&gt;="&amp;B418,Mortgage!$D$6:$D$15,"&lt;"&amp;EDATE(B418,1))+IF(Mortgage!$B$10="Bi-weekly (accelerated)",Mortgage!$H$8/12,0)),0)</f>
        <v/>
      </c>
      <c r="H418" s="147">
        <f>F418+G418</f>
        <v/>
      </c>
      <c r="I418" s="148">
        <f>D418-H418</f>
        <v/>
      </c>
      <c r="J418" s="147">
        <f>E418+F418+G418</f>
        <v/>
      </c>
      <c r="K418" s="147">
        <f>IF(AND(D418&gt;0.005,Mortgage!$H$7&gt;0.8,D418/Mortgage!$B$5&gt;Mortgage!$B$14),Mortgage!$H$5*Mortgage!$B$13/12,0)</f>
        <v/>
      </c>
      <c r="L418" s="147">
        <f>IF(D418&gt;0.005,Mortgage!$B$11/12*(1+Mortgage!$B$16)^(C418-1),0)</f>
        <v/>
      </c>
      <c r="M418" s="147">
        <f>IF(D418&gt;0.005,Mortgage!$B$12/12*(1+Mortgage!$B$16)^(C418-1),0)</f>
        <v/>
      </c>
      <c r="N418" s="147">
        <f>IF(D418&gt;0.005,Mortgage!$B$15,0)</f>
        <v/>
      </c>
      <c r="O418" s="147">
        <f>J418+K418+L418+M418+N418</f>
        <v/>
      </c>
      <c r="P418" s="147">
        <f>P417+E418</f>
        <v/>
      </c>
      <c r="Q418" s="147">
        <f>IF(D418&gt;0.005,Mortgage!$B$5*(1+Mortgage!$B$17)^(A418/12),"")</f>
        <v/>
      </c>
      <c r="R418" s="147">
        <f>IF(D418&gt;0.005,Q418-I418,"")</f>
        <v/>
      </c>
      <c r="S418" s="147">
        <f>IF(A418&gt;Mortgage!$B$8*12,0,IF(Mortgage!$B$7=0,MAX(0,Mortgage!$H$5-Mortgage!$H$8*A418),MAX(0,Mortgage!$H$5*(1+(Mortgage!$B$7/12))^A418-Mortgage!$H$8*((1+(Mortgage!$B$7/12))^A418-1)/(Mortgage!$B$7/12))))</f>
        <v/>
      </c>
      <c r="T418" s="149">
        <f>IF(D418&gt;0.005,I418/Mortgage!$B$5,"")</f>
        <v/>
      </c>
      <c r="U418">
        <f>IF(A418&gt;Mortgage!$B$8*12,NA(),B418)</f>
        <v/>
      </c>
      <c r="V418">
        <f>IF(D418&gt;0.005,I418,NA())</f>
        <v/>
      </c>
      <c r="W418">
        <f>IF(A418&gt;Mortgage!$B$8*12,NA(),S418)</f>
        <v/>
      </c>
    </row>
    <row r="419">
      <c r="A419" s="129" t="n">
        <v>414</v>
      </c>
      <c r="B419" s="146">
        <f>EDATE(Mortgage!$B$9,A419-1)</f>
        <v/>
      </c>
      <c r="C419" s="129">
        <f>INT((A419-1)/12)+1</f>
        <v/>
      </c>
      <c r="D419" s="147">
        <f>IF(N(I418)&gt;0.005,I418,0)</f>
        <v/>
      </c>
      <c r="E419" s="147">
        <f>IF(D419&gt;0.005,D419*Mortgage!$B$7/12,0)</f>
        <v/>
      </c>
      <c r="F419" s="147">
        <f>IF(D419&gt;0.005,MIN(Mortgage!$H$8-E419,D419),0)</f>
        <v/>
      </c>
      <c r="G419" s="147">
        <f>IF(D419-F419&gt;0.005,MIN(D419-F419,Mortgage!$B$18+IF(MONTH(B419)=Mortgage!$B$20,Mortgage!$B$19,0)+SUMIFS(Mortgage!$E$6:$E$15,Mortgage!$D$6:$D$15,"&gt;="&amp;B419,Mortgage!$D$6:$D$15,"&lt;"&amp;EDATE(B419,1))+IF(Mortgage!$B$10="Bi-weekly (accelerated)",Mortgage!$H$8/12,0)),0)</f>
        <v/>
      </c>
      <c r="H419" s="147">
        <f>F419+G419</f>
        <v/>
      </c>
      <c r="I419" s="148">
        <f>D419-H419</f>
        <v/>
      </c>
      <c r="J419" s="147">
        <f>E419+F419+G419</f>
        <v/>
      </c>
      <c r="K419" s="147">
        <f>IF(AND(D419&gt;0.005,Mortgage!$H$7&gt;0.8,D419/Mortgage!$B$5&gt;Mortgage!$B$14),Mortgage!$H$5*Mortgage!$B$13/12,0)</f>
        <v/>
      </c>
      <c r="L419" s="147">
        <f>IF(D419&gt;0.005,Mortgage!$B$11/12*(1+Mortgage!$B$16)^(C419-1),0)</f>
        <v/>
      </c>
      <c r="M419" s="147">
        <f>IF(D419&gt;0.005,Mortgage!$B$12/12*(1+Mortgage!$B$16)^(C419-1),0)</f>
        <v/>
      </c>
      <c r="N419" s="147">
        <f>IF(D419&gt;0.005,Mortgage!$B$15,0)</f>
        <v/>
      </c>
      <c r="O419" s="147">
        <f>J419+K419+L419+M419+N419</f>
        <v/>
      </c>
      <c r="P419" s="147">
        <f>P418+E419</f>
        <v/>
      </c>
      <c r="Q419" s="147">
        <f>IF(D419&gt;0.005,Mortgage!$B$5*(1+Mortgage!$B$17)^(A419/12),"")</f>
        <v/>
      </c>
      <c r="R419" s="147">
        <f>IF(D419&gt;0.005,Q419-I419,"")</f>
        <v/>
      </c>
      <c r="S419" s="147">
        <f>IF(A419&gt;Mortgage!$B$8*12,0,IF(Mortgage!$B$7=0,MAX(0,Mortgage!$H$5-Mortgage!$H$8*A419),MAX(0,Mortgage!$H$5*(1+(Mortgage!$B$7/12))^A419-Mortgage!$H$8*((1+(Mortgage!$B$7/12))^A419-1)/(Mortgage!$B$7/12))))</f>
        <v/>
      </c>
      <c r="T419" s="149">
        <f>IF(D419&gt;0.005,I419/Mortgage!$B$5,"")</f>
        <v/>
      </c>
      <c r="U419">
        <f>IF(A419&gt;Mortgage!$B$8*12,NA(),B419)</f>
        <v/>
      </c>
      <c r="V419">
        <f>IF(D419&gt;0.005,I419,NA())</f>
        <v/>
      </c>
      <c r="W419">
        <f>IF(A419&gt;Mortgage!$B$8*12,NA(),S419)</f>
        <v/>
      </c>
    </row>
    <row r="420">
      <c r="A420" s="129" t="n">
        <v>415</v>
      </c>
      <c r="B420" s="146">
        <f>EDATE(Mortgage!$B$9,A420-1)</f>
        <v/>
      </c>
      <c r="C420" s="129">
        <f>INT((A420-1)/12)+1</f>
        <v/>
      </c>
      <c r="D420" s="147">
        <f>IF(N(I419)&gt;0.005,I419,0)</f>
        <v/>
      </c>
      <c r="E420" s="147">
        <f>IF(D420&gt;0.005,D420*Mortgage!$B$7/12,0)</f>
        <v/>
      </c>
      <c r="F420" s="147">
        <f>IF(D420&gt;0.005,MIN(Mortgage!$H$8-E420,D420),0)</f>
        <v/>
      </c>
      <c r="G420" s="147">
        <f>IF(D420-F420&gt;0.005,MIN(D420-F420,Mortgage!$B$18+IF(MONTH(B420)=Mortgage!$B$20,Mortgage!$B$19,0)+SUMIFS(Mortgage!$E$6:$E$15,Mortgage!$D$6:$D$15,"&gt;="&amp;B420,Mortgage!$D$6:$D$15,"&lt;"&amp;EDATE(B420,1))+IF(Mortgage!$B$10="Bi-weekly (accelerated)",Mortgage!$H$8/12,0)),0)</f>
        <v/>
      </c>
      <c r="H420" s="147">
        <f>F420+G420</f>
        <v/>
      </c>
      <c r="I420" s="148">
        <f>D420-H420</f>
        <v/>
      </c>
      <c r="J420" s="147">
        <f>E420+F420+G420</f>
        <v/>
      </c>
      <c r="K420" s="147">
        <f>IF(AND(D420&gt;0.005,Mortgage!$H$7&gt;0.8,D420/Mortgage!$B$5&gt;Mortgage!$B$14),Mortgage!$H$5*Mortgage!$B$13/12,0)</f>
        <v/>
      </c>
      <c r="L420" s="147">
        <f>IF(D420&gt;0.005,Mortgage!$B$11/12*(1+Mortgage!$B$16)^(C420-1),0)</f>
        <v/>
      </c>
      <c r="M420" s="147">
        <f>IF(D420&gt;0.005,Mortgage!$B$12/12*(1+Mortgage!$B$16)^(C420-1),0)</f>
        <v/>
      </c>
      <c r="N420" s="147">
        <f>IF(D420&gt;0.005,Mortgage!$B$15,0)</f>
        <v/>
      </c>
      <c r="O420" s="147">
        <f>J420+K420+L420+M420+N420</f>
        <v/>
      </c>
      <c r="P420" s="147">
        <f>P419+E420</f>
        <v/>
      </c>
      <c r="Q420" s="147">
        <f>IF(D420&gt;0.005,Mortgage!$B$5*(1+Mortgage!$B$17)^(A420/12),"")</f>
        <v/>
      </c>
      <c r="R420" s="147">
        <f>IF(D420&gt;0.005,Q420-I420,"")</f>
        <v/>
      </c>
      <c r="S420" s="147">
        <f>IF(A420&gt;Mortgage!$B$8*12,0,IF(Mortgage!$B$7=0,MAX(0,Mortgage!$H$5-Mortgage!$H$8*A420),MAX(0,Mortgage!$H$5*(1+(Mortgage!$B$7/12))^A420-Mortgage!$H$8*((1+(Mortgage!$B$7/12))^A420-1)/(Mortgage!$B$7/12))))</f>
        <v/>
      </c>
      <c r="T420" s="149">
        <f>IF(D420&gt;0.005,I420/Mortgage!$B$5,"")</f>
        <v/>
      </c>
      <c r="U420">
        <f>IF(A420&gt;Mortgage!$B$8*12,NA(),B420)</f>
        <v/>
      </c>
      <c r="V420">
        <f>IF(D420&gt;0.005,I420,NA())</f>
        <v/>
      </c>
      <c r="W420">
        <f>IF(A420&gt;Mortgage!$B$8*12,NA(),S420)</f>
        <v/>
      </c>
    </row>
    <row r="421">
      <c r="A421" s="129" t="n">
        <v>416</v>
      </c>
      <c r="B421" s="146">
        <f>EDATE(Mortgage!$B$9,A421-1)</f>
        <v/>
      </c>
      <c r="C421" s="129">
        <f>INT((A421-1)/12)+1</f>
        <v/>
      </c>
      <c r="D421" s="147">
        <f>IF(N(I420)&gt;0.005,I420,0)</f>
        <v/>
      </c>
      <c r="E421" s="147">
        <f>IF(D421&gt;0.005,D421*Mortgage!$B$7/12,0)</f>
        <v/>
      </c>
      <c r="F421" s="147">
        <f>IF(D421&gt;0.005,MIN(Mortgage!$H$8-E421,D421),0)</f>
        <v/>
      </c>
      <c r="G421" s="147">
        <f>IF(D421-F421&gt;0.005,MIN(D421-F421,Mortgage!$B$18+IF(MONTH(B421)=Mortgage!$B$20,Mortgage!$B$19,0)+SUMIFS(Mortgage!$E$6:$E$15,Mortgage!$D$6:$D$15,"&gt;="&amp;B421,Mortgage!$D$6:$D$15,"&lt;"&amp;EDATE(B421,1))+IF(Mortgage!$B$10="Bi-weekly (accelerated)",Mortgage!$H$8/12,0)),0)</f>
        <v/>
      </c>
      <c r="H421" s="147">
        <f>F421+G421</f>
        <v/>
      </c>
      <c r="I421" s="148">
        <f>D421-H421</f>
        <v/>
      </c>
      <c r="J421" s="147">
        <f>E421+F421+G421</f>
        <v/>
      </c>
      <c r="K421" s="147">
        <f>IF(AND(D421&gt;0.005,Mortgage!$H$7&gt;0.8,D421/Mortgage!$B$5&gt;Mortgage!$B$14),Mortgage!$H$5*Mortgage!$B$13/12,0)</f>
        <v/>
      </c>
      <c r="L421" s="147">
        <f>IF(D421&gt;0.005,Mortgage!$B$11/12*(1+Mortgage!$B$16)^(C421-1),0)</f>
        <v/>
      </c>
      <c r="M421" s="147">
        <f>IF(D421&gt;0.005,Mortgage!$B$12/12*(1+Mortgage!$B$16)^(C421-1),0)</f>
        <v/>
      </c>
      <c r="N421" s="147">
        <f>IF(D421&gt;0.005,Mortgage!$B$15,0)</f>
        <v/>
      </c>
      <c r="O421" s="147">
        <f>J421+K421+L421+M421+N421</f>
        <v/>
      </c>
      <c r="P421" s="147">
        <f>P420+E421</f>
        <v/>
      </c>
      <c r="Q421" s="147">
        <f>IF(D421&gt;0.005,Mortgage!$B$5*(1+Mortgage!$B$17)^(A421/12),"")</f>
        <v/>
      </c>
      <c r="R421" s="147">
        <f>IF(D421&gt;0.005,Q421-I421,"")</f>
        <v/>
      </c>
      <c r="S421" s="147">
        <f>IF(A421&gt;Mortgage!$B$8*12,0,IF(Mortgage!$B$7=0,MAX(0,Mortgage!$H$5-Mortgage!$H$8*A421),MAX(0,Mortgage!$H$5*(1+(Mortgage!$B$7/12))^A421-Mortgage!$H$8*((1+(Mortgage!$B$7/12))^A421-1)/(Mortgage!$B$7/12))))</f>
        <v/>
      </c>
      <c r="T421" s="149">
        <f>IF(D421&gt;0.005,I421/Mortgage!$B$5,"")</f>
        <v/>
      </c>
      <c r="U421">
        <f>IF(A421&gt;Mortgage!$B$8*12,NA(),B421)</f>
        <v/>
      </c>
      <c r="V421">
        <f>IF(D421&gt;0.005,I421,NA())</f>
        <v/>
      </c>
      <c r="W421">
        <f>IF(A421&gt;Mortgage!$B$8*12,NA(),S421)</f>
        <v/>
      </c>
    </row>
    <row r="422">
      <c r="A422" s="129" t="n">
        <v>417</v>
      </c>
      <c r="B422" s="146">
        <f>EDATE(Mortgage!$B$9,A422-1)</f>
        <v/>
      </c>
      <c r="C422" s="129">
        <f>INT((A422-1)/12)+1</f>
        <v/>
      </c>
      <c r="D422" s="147">
        <f>IF(N(I421)&gt;0.005,I421,0)</f>
        <v/>
      </c>
      <c r="E422" s="147">
        <f>IF(D422&gt;0.005,D422*Mortgage!$B$7/12,0)</f>
        <v/>
      </c>
      <c r="F422" s="147">
        <f>IF(D422&gt;0.005,MIN(Mortgage!$H$8-E422,D422),0)</f>
        <v/>
      </c>
      <c r="G422" s="147">
        <f>IF(D422-F422&gt;0.005,MIN(D422-F422,Mortgage!$B$18+IF(MONTH(B422)=Mortgage!$B$20,Mortgage!$B$19,0)+SUMIFS(Mortgage!$E$6:$E$15,Mortgage!$D$6:$D$15,"&gt;="&amp;B422,Mortgage!$D$6:$D$15,"&lt;"&amp;EDATE(B422,1))+IF(Mortgage!$B$10="Bi-weekly (accelerated)",Mortgage!$H$8/12,0)),0)</f>
        <v/>
      </c>
      <c r="H422" s="147">
        <f>F422+G422</f>
        <v/>
      </c>
      <c r="I422" s="148">
        <f>D422-H422</f>
        <v/>
      </c>
      <c r="J422" s="147">
        <f>E422+F422+G422</f>
        <v/>
      </c>
      <c r="K422" s="147">
        <f>IF(AND(D422&gt;0.005,Mortgage!$H$7&gt;0.8,D422/Mortgage!$B$5&gt;Mortgage!$B$14),Mortgage!$H$5*Mortgage!$B$13/12,0)</f>
        <v/>
      </c>
      <c r="L422" s="147">
        <f>IF(D422&gt;0.005,Mortgage!$B$11/12*(1+Mortgage!$B$16)^(C422-1),0)</f>
        <v/>
      </c>
      <c r="M422" s="147">
        <f>IF(D422&gt;0.005,Mortgage!$B$12/12*(1+Mortgage!$B$16)^(C422-1),0)</f>
        <v/>
      </c>
      <c r="N422" s="147">
        <f>IF(D422&gt;0.005,Mortgage!$B$15,0)</f>
        <v/>
      </c>
      <c r="O422" s="147">
        <f>J422+K422+L422+M422+N422</f>
        <v/>
      </c>
      <c r="P422" s="147">
        <f>P421+E422</f>
        <v/>
      </c>
      <c r="Q422" s="147">
        <f>IF(D422&gt;0.005,Mortgage!$B$5*(1+Mortgage!$B$17)^(A422/12),"")</f>
        <v/>
      </c>
      <c r="R422" s="147">
        <f>IF(D422&gt;0.005,Q422-I422,"")</f>
        <v/>
      </c>
      <c r="S422" s="147">
        <f>IF(A422&gt;Mortgage!$B$8*12,0,IF(Mortgage!$B$7=0,MAX(0,Mortgage!$H$5-Mortgage!$H$8*A422),MAX(0,Mortgage!$H$5*(1+(Mortgage!$B$7/12))^A422-Mortgage!$H$8*((1+(Mortgage!$B$7/12))^A422-1)/(Mortgage!$B$7/12))))</f>
        <v/>
      </c>
      <c r="T422" s="149">
        <f>IF(D422&gt;0.005,I422/Mortgage!$B$5,"")</f>
        <v/>
      </c>
      <c r="U422">
        <f>IF(A422&gt;Mortgage!$B$8*12,NA(),B422)</f>
        <v/>
      </c>
      <c r="V422">
        <f>IF(D422&gt;0.005,I422,NA())</f>
        <v/>
      </c>
      <c r="W422">
        <f>IF(A422&gt;Mortgage!$B$8*12,NA(),S422)</f>
        <v/>
      </c>
    </row>
    <row r="423">
      <c r="A423" s="129" t="n">
        <v>418</v>
      </c>
      <c r="B423" s="146">
        <f>EDATE(Mortgage!$B$9,A423-1)</f>
        <v/>
      </c>
      <c r="C423" s="129">
        <f>INT((A423-1)/12)+1</f>
        <v/>
      </c>
      <c r="D423" s="147">
        <f>IF(N(I422)&gt;0.005,I422,0)</f>
        <v/>
      </c>
      <c r="E423" s="147">
        <f>IF(D423&gt;0.005,D423*Mortgage!$B$7/12,0)</f>
        <v/>
      </c>
      <c r="F423" s="147">
        <f>IF(D423&gt;0.005,MIN(Mortgage!$H$8-E423,D423),0)</f>
        <v/>
      </c>
      <c r="G423" s="147">
        <f>IF(D423-F423&gt;0.005,MIN(D423-F423,Mortgage!$B$18+IF(MONTH(B423)=Mortgage!$B$20,Mortgage!$B$19,0)+SUMIFS(Mortgage!$E$6:$E$15,Mortgage!$D$6:$D$15,"&gt;="&amp;B423,Mortgage!$D$6:$D$15,"&lt;"&amp;EDATE(B423,1))+IF(Mortgage!$B$10="Bi-weekly (accelerated)",Mortgage!$H$8/12,0)),0)</f>
        <v/>
      </c>
      <c r="H423" s="147">
        <f>F423+G423</f>
        <v/>
      </c>
      <c r="I423" s="148">
        <f>D423-H423</f>
        <v/>
      </c>
      <c r="J423" s="147">
        <f>E423+F423+G423</f>
        <v/>
      </c>
      <c r="K423" s="147">
        <f>IF(AND(D423&gt;0.005,Mortgage!$H$7&gt;0.8,D423/Mortgage!$B$5&gt;Mortgage!$B$14),Mortgage!$H$5*Mortgage!$B$13/12,0)</f>
        <v/>
      </c>
      <c r="L423" s="147">
        <f>IF(D423&gt;0.005,Mortgage!$B$11/12*(1+Mortgage!$B$16)^(C423-1),0)</f>
        <v/>
      </c>
      <c r="M423" s="147">
        <f>IF(D423&gt;0.005,Mortgage!$B$12/12*(1+Mortgage!$B$16)^(C423-1),0)</f>
        <v/>
      </c>
      <c r="N423" s="147">
        <f>IF(D423&gt;0.005,Mortgage!$B$15,0)</f>
        <v/>
      </c>
      <c r="O423" s="147">
        <f>J423+K423+L423+M423+N423</f>
        <v/>
      </c>
      <c r="P423" s="147">
        <f>P422+E423</f>
        <v/>
      </c>
      <c r="Q423" s="147">
        <f>IF(D423&gt;0.005,Mortgage!$B$5*(1+Mortgage!$B$17)^(A423/12),"")</f>
        <v/>
      </c>
      <c r="R423" s="147">
        <f>IF(D423&gt;0.005,Q423-I423,"")</f>
        <v/>
      </c>
      <c r="S423" s="147">
        <f>IF(A423&gt;Mortgage!$B$8*12,0,IF(Mortgage!$B$7=0,MAX(0,Mortgage!$H$5-Mortgage!$H$8*A423),MAX(0,Mortgage!$H$5*(1+(Mortgage!$B$7/12))^A423-Mortgage!$H$8*((1+(Mortgage!$B$7/12))^A423-1)/(Mortgage!$B$7/12))))</f>
        <v/>
      </c>
      <c r="T423" s="149">
        <f>IF(D423&gt;0.005,I423/Mortgage!$B$5,"")</f>
        <v/>
      </c>
      <c r="U423">
        <f>IF(A423&gt;Mortgage!$B$8*12,NA(),B423)</f>
        <v/>
      </c>
      <c r="V423">
        <f>IF(D423&gt;0.005,I423,NA())</f>
        <v/>
      </c>
      <c r="W423">
        <f>IF(A423&gt;Mortgage!$B$8*12,NA(),S423)</f>
        <v/>
      </c>
    </row>
    <row r="424">
      <c r="A424" s="129" t="n">
        <v>419</v>
      </c>
      <c r="B424" s="146">
        <f>EDATE(Mortgage!$B$9,A424-1)</f>
        <v/>
      </c>
      <c r="C424" s="129">
        <f>INT((A424-1)/12)+1</f>
        <v/>
      </c>
      <c r="D424" s="147">
        <f>IF(N(I423)&gt;0.005,I423,0)</f>
        <v/>
      </c>
      <c r="E424" s="147">
        <f>IF(D424&gt;0.005,D424*Mortgage!$B$7/12,0)</f>
        <v/>
      </c>
      <c r="F424" s="147">
        <f>IF(D424&gt;0.005,MIN(Mortgage!$H$8-E424,D424),0)</f>
        <v/>
      </c>
      <c r="G424" s="147">
        <f>IF(D424-F424&gt;0.005,MIN(D424-F424,Mortgage!$B$18+IF(MONTH(B424)=Mortgage!$B$20,Mortgage!$B$19,0)+SUMIFS(Mortgage!$E$6:$E$15,Mortgage!$D$6:$D$15,"&gt;="&amp;B424,Mortgage!$D$6:$D$15,"&lt;"&amp;EDATE(B424,1))+IF(Mortgage!$B$10="Bi-weekly (accelerated)",Mortgage!$H$8/12,0)),0)</f>
        <v/>
      </c>
      <c r="H424" s="147">
        <f>F424+G424</f>
        <v/>
      </c>
      <c r="I424" s="148">
        <f>D424-H424</f>
        <v/>
      </c>
      <c r="J424" s="147">
        <f>E424+F424+G424</f>
        <v/>
      </c>
      <c r="K424" s="147">
        <f>IF(AND(D424&gt;0.005,Mortgage!$H$7&gt;0.8,D424/Mortgage!$B$5&gt;Mortgage!$B$14),Mortgage!$H$5*Mortgage!$B$13/12,0)</f>
        <v/>
      </c>
      <c r="L424" s="147">
        <f>IF(D424&gt;0.005,Mortgage!$B$11/12*(1+Mortgage!$B$16)^(C424-1),0)</f>
        <v/>
      </c>
      <c r="M424" s="147">
        <f>IF(D424&gt;0.005,Mortgage!$B$12/12*(1+Mortgage!$B$16)^(C424-1),0)</f>
        <v/>
      </c>
      <c r="N424" s="147">
        <f>IF(D424&gt;0.005,Mortgage!$B$15,0)</f>
        <v/>
      </c>
      <c r="O424" s="147">
        <f>J424+K424+L424+M424+N424</f>
        <v/>
      </c>
      <c r="P424" s="147">
        <f>P423+E424</f>
        <v/>
      </c>
      <c r="Q424" s="147">
        <f>IF(D424&gt;0.005,Mortgage!$B$5*(1+Mortgage!$B$17)^(A424/12),"")</f>
        <v/>
      </c>
      <c r="R424" s="147">
        <f>IF(D424&gt;0.005,Q424-I424,"")</f>
        <v/>
      </c>
      <c r="S424" s="147">
        <f>IF(A424&gt;Mortgage!$B$8*12,0,IF(Mortgage!$B$7=0,MAX(0,Mortgage!$H$5-Mortgage!$H$8*A424),MAX(0,Mortgage!$H$5*(1+(Mortgage!$B$7/12))^A424-Mortgage!$H$8*((1+(Mortgage!$B$7/12))^A424-1)/(Mortgage!$B$7/12))))</f>
        <v/>
      </c>
      <c r="T424" s="149">
        <f>IF(D424&gt;0.005,I424/Mortgage!$B$5,"")</f>
        <v/>
      </c>
      <c r="U424">
        <f>IF(A424&gt;Mortgage!$B$8*12,NA(),B424)</f>
        <v/>
      </c>
      <c r="V424">
        <f>IF(D424&gt;0.005,I424,NA())</f>
        <v/>
      </c>
      <c r="W424">
        <f>IF(A424&gt;Mortgage!$B$8*12,NA(),S424)</f>
        <v/>
      </c>
    </row>
    <row r="425">
      <c r="A425" s="129" t="n">
        <v>420</v>
      </c>
      <c r="B425" s="146">
        <f>EDATE(Mortgage!$B$9,A425-1)</f>
        <v/>
      </c>
      <c r="C425" s="129">
        <f>INT((A425-1)/12)+1</f>
        <v/>
      </c>
      <c r="D425" s="147">
        <f>IF(N(I424)&gt;0.005,I424,0)</f>
        <v/>
      </c>
      <c r="E425" s="147">
        <f>IF(D425&gt;0.005,D425*Mortgage!$B$7/12,0)</f>
        <v/>
      </c>
      <c r="F425" s="147">
        <f>IF(D425&gt;0.005,MIN(Mortgage!$H$8-E425,D425),0)</f>
        <v/>
      </c>
      <c r="G425" s="147">
        <f>IF(D425-F425&gt;0.005,MIN(D425-F425,Mortgage!$B$18+IF(MONTH(B425)=Mortgage!$B$20,Mortgage!$B$19,0)+SUMIFS(Mortgage!$E$6:$E$15,Mortgage!$D$6:$D$15,"&gt;="&amp;B425,Mortgage!$D$6:$D$15,"&lt;"&amp;EDATE(B425,1))+IF(Mortgage!$B$10="Bi-weekly (accelerated)",Mortgage!$H$8/12,0)),0)</f>
        <v/>
      </c>
      <c r="H425" s="147">
        <f>F425+G425</f>
        <v/>
      </c>
      <c r="I425" s="148">
        <f>D425-H425</f>
        <v/>
      </c>
      <c r="J425" s="147">
        <f>E425+F425+G425</f>
        <v/>
      </c>
      <c r="K425" s="147">
        <f>IF(AND(D425&gt;0.005,Mortgage!$H$7&gt;0.8,D425/Mortgage!$B$5&gt;Mortgage!$B$14),Mortgage!$H$5*Mortgage!$B$13/12,0)</f>
        <v/>
      </c>
      <c r="L425" s="147">
        <f>IF(D425&gt;0.005,Mortgage!$B$11/12*(1+Mortgage!$B$16)^(C425-1),0)</f>
        <v/>
      </c>
      <c r="M425" s="147">
        <f>IF(D425&gt;0.005,Mortgage!$B$12/12*(1+Mortgage!$B$16)^(C425-1),0)</f>
        <v/>
      </c>
      <c r="N425" s="147">
        <f>IF(D425&gt;0.005,Mortgage!$B$15,0)</f>
        <v/>
      </c>
      <c r="O425" s="147">
        <f>J425+K425+L425+M425+N425</f>
        <v/>
      </c>
      <c r="P425" s="147">
        <f>P424+E425</f>
        <v/>
      </c>
      <c r="Q425" s="147">
        <f>IF(D425&gt;0.005,Mortgage!$B$5*(1+Mortgage!$B$17)^(A425/12),"")</f>
        <v/>
      </c>
      <c r="R425" s="147">
        <f>IF(D425&gt;0.005,Q425-I425,"")</f>
        <v/>
      </c>
      <c r="S425" s="147">
        <f>IF(A425&gt;Mortgage!$B$8*12,0,IF(Mortgage!$B$7=0,MAX(0,Mortgage!$H$5-Mortgage!$H$8*A425),MAX(0,Mortgage!$H$5*(1+(Mortgage!$B$7/12))^A425-Mortgage!$H$8*((1+(Mortgage!$B$7/12))^A425-1)/(Mortgage!$B$7/12))))</f>
        <v/>
      </c>
      <c r="T425" s="149">
        <f>IF(D425&gt;0.005,I425/Mortgage!$B$5,"")</f>
        <v/>
      </c>
      <c r="U425">
        <f>IF(A425&gt;Mortgage!$B$8*12,NA(),B425)</f>
        <v/>
      </c>
      <c r="V425">
        <f>IF(D425&gt;0.005,I425,NA())</f>
        <v/>
      </c>
      <c r="W425">
        <f>IF(A425&gt;Mortgage!$B$8*12,NA(),S425)</f>
        <v/>
      </c>
    </row>
    <row r="426">
      <c r="A426" s="129" t="n">
        <v>421</v>
      </c>
      <c r="B426" s="146">
        <f>EDATE(Mortgage!$B$9,A426-1)</f>
        <v/>
      </c>
      <c r="C426" s="129">
        <f>INT((A426-1)/12)+1</f>
        <v/>
      </c>
      <c r="D426" s="147">
        <f>IF(N(I425)&gt;0.005,I425,0)</f>
        <v/>
      </c>
      <c r="E426" s="147">
        <f>IF(D426&gt;0.005,D426*Mortgage!$B$7/12,0)</f>
        <v/>
      </c>
      <c r="F426" s="147">
        <f>IF(D426&gt;0.005,MIN(Mortgage!$H$8-E426,D426),0)</f>
        <v/>
      </c>
      <c r="G426" s="147">
        <f>IF(D426-F426&gt;0.005,MIN(D426-F426,Mortgage!$B$18+IF(MONTH(B426)=Mortgage!$B$20,Mortgage!$B$19,0)+SUMIFS(Mortgage!$E$6:$E$15,Mortgage!$D$6:$D$15,"&gt;="&amp;B426,Mortgage!$D$6:$D$15,"&lt;"&amp;EDATE(B426,1))+IF(Mortgage!$B$10="Bi-weekly (accelerated)",Mortgage!$H$8/12,0)),0)</f>
        <v/>
      </c>
      <c r="H426" s="147">
        <f>F426+G426</f>
        <v/>
      </c>
      <c r="I426" s="148">
        <f>D426-H426</f>
        <v/>
      </c>
      <c r="J426" s="147">
        <f>E426+F426+G426</f>
        <v/>
      </c>
      <c r="K426" s="147">
        <f>IF(AND(D426&gt;0.005,Mortgage!$H$7&gt;0.8,D426/Mortgage!$B$5&gt;Mortgage!$B$14),Mortgage!$H$5*Mortgage!$B$13/12,0)</f>
        <v/>
      </c>
      <c r="L426" s="147">
        <f>IF(D426&gt;0.005,Mortgage!$B$11/12*(1+Mortgage!$B$16)^(C426-1),0)</f>
        <v/>
      </c>
      <c r="M426" s="147">
        <f>IF(D426&gt;0.005,Mortgage!$B$12/12*(1+Mortgage!$B$16)^(C426-1),0)</f>
        <v/>
      </c>
      <c r="N426" s="147">
        <f>IF(D426&gt;0.005,Mortgage!$B$15,0)</f>
        <v/>
      </c>
      <c r="O426" s="147">
        <f>J426+K426+L426+M426+N426</f>
        <v/>
      </c>
      <c r="P426" s="147">
        <f>P425+E426</f>
        <v/>
      </c>
      <c r="Q426" s="147">
        <f>IF(D426&gt;0.005,Mortgage!$B$5*(1+Mortgage!$B$17)^(A426/12),"")</f>
        <v/>
      </c>
      <c r="R426" s="147">
        <f>IF(D426&gt;0.005,Q426-I426,"")</f>
        <v/>
      </c>
      <c r="S426" s="147">
        <f>IF(A426&gt;Mortgage!$B$8*12,0,IF(Mortgage!$B$7=0,MAX(0,Mortgage!$H$5-Mortgage!$H$8*A426),MAX(0,Mortgage!$H$5*(1+(Mortgage!$B$7/12))^A426-Mortgage!$H$8*((1+(Mortgage!$B$7/12))^A426-1)/(Mortgage!$B$7/12))))</f>
        <v/>
      </c>
      <c r="T426" s="149">
        <f>IF(D426&gt;0.005,I426/Mortgage!$B$5,"")</f>
        <v/>
      </c>
      <c r="U426">
        <f>IF(A426&gt;Mortgage!$B$8*12,NA(),B426)</f>
        <v/>
      </c>
      <c r="V426">
        <f>IF(D426&gt;0.005,I426,NA())</f>
        <v/>
      </c>
      <c r="W426">
        <f>IF(A426&gt;Mortgage!$B$8*12,NA(),S426)</f>
        <v/>
      </c>
    </row>
    <row r="427">
      <c r="A427" s="129" t="n">
        <v>422</v>
      </c>
      <c r="B427" s="146">
        <f>EDATE(Mortgage!$B$9,A427-1)</f>
        <v/>
      </c>
      <c r="C427" s="129">
        <f>INT((A427-1)/12)+1</f>
        <v/>
      </c>
      <c r="D427" s="147">
        <f>IF(N(I426)&gt;0.005,I426,0)</f>
        <v/>
      </c>
      <c r="E427" s="147">
        <f>IF(D427&gt;0.005,D427*Mortgage!$B$7/12,0)</f>
        <v/>
      </c>
      <c r="F427" s="147">
        <f>IF(D427&gt;0.005,MIN(Mortgage!$H$8-E427,D427),0)</f>
        <v/>
      </c>
      <c r="G427" s="147">
        <f>IF(D427-F427&gt;0.005,MIN(D427-F427,Mortgage!$B$18+IF(MONTH(B427)=Mortgage!$B$20,Mortgage!$B$19,0)+SUMIFS(Mortgage!$E$6:$E$15,Mortgage!$D$6:$D$15,"&gt;="&amp;B427,Mortgage!$D$6:$D$15,"&lt;"&amp;EDATE(B427,1))+IF(Mortgage!$B$10="Bi-weekly (accelerated)",Mortgage!$H$8/12,0)),0)</f>
        <v/>
      </c>
      <c r="H427" s="147">
        <f>F427+G427</f>
        <v/>
      </c>
      <c r="I427" s="148">
        <f>D427-H427</f>
        <v/>
      </c>
      <c r="J427" s="147">
        <f>E427+F427+G427</f>
        <v/>
      </c>
      <c r="K427" s="147">
        <f>IF(AND(D427&gt;0.005,Mortgage!$H$7&gt;0.8,D427/Mortgage!$B$5&gt;Mortgage!$B$14),Mortgage!$H$5*Mortgage!$B$13/12,0)</f>
        <v/>
      </c>
      <c r="L427" s="147">
        <f>IF(D427&gt;0.005,Mortgage!$B$11/12*(1+Mortgage!$B$16)^(C427-1),0)</f>
        <v/>
      </c>
      <c r="M427" s="147">
        <f>IF(D427&gt;0.005,Mortgage!$B$12/12*(1+Mortgage!$B$16)^(C427-1),0)</f>
        <v/>
      </c>
      <c r="N427" s="147">
        <f>IF(D427&gt;0.005,Mortgage!$B$15,0)</f>
        <v/>
      </c>
      <c r="O427" s="147">
        <f>J427+K427+L427+M427+N427</f>
        <v/>
      </c>
      <c r="P427" s="147">
        <f>P426+E427</f>
        <v/>
      </c>
      <c r="Q427" s="147">
        <f>IF(D427&gt;0.005,Mortgage!$B$5*(1+Mortgage!$B$17)^(A427/12),"")</f>
        <v/>
      </c>
      <c r="R427" s="147">
        <f>IF(D427&gt;0.005,Q427-I427,"")</f>
        <v/>
      </c>
      <c r="S427" s="147">
        <f>IF(A427&gt;Mortgage!$B$8*12,0,IF(Mortgage!$B$7=0,MAX(0,Mortgage!$H$5-Mortgage!$H$8*A427),MAX(0,Mortgage!$H$5*(1+(Mortgage!$B$7/12))^A427-Mortgage!$H$8*((1+(Mortgage!$B$7/12))^A427-1)/(Mortgage!$B$7/12))))</f>
        <v/>
      </c>
      <c r="T427" s="149">
        <f>IF(D427&gt;0.005,I427/Mortgage!$B$5,"")</f>
        <v/>
      </c>
      <c r="U427">
        <f>IF(A427&gt;Mortgage!$B$8*12,NA(),B427)</f>
        <v/>
      </c>
      <c r="V427">
        <f>IF(D427&gt;0.005,I427,NA())</f>
        <v/>
      </c>
      <c r="W427">
        <f>IF(A427&gt;Mortgage!$B$8*12,NA(),S427)</f>
        <v/>
      </c>
    </row>
    <row r="428">
      <c r="A428" s="129" t="n">
        <v>423</v>
      </c>
      <c r="B428" s="146">
        <f>EDATE(Mortgage!$B$9,A428-1)</f>
        <v/>
      </c>
      <c r="C428" s="129">
        <f>INT((A428-1)/12)+1</f>
        <v/>
      </c>
      <c r="D428" s="147">
        <f>IF(N(I427)&gt;0.005,I427,0)</f>
        <v/>
      </c>
      <c r="E428" s="147">
        <f>IF(D428&gt;0.005,D428*Mortgage!$B$7/12,0)</f>
        <v/>
      </c>
      <c r="F428" s="147">
        <f>IF(D428&gt;0.005,MIN(Mortgage!$H$8-E428,D428),0)</f>
        <v/>
      </c>
      <c r="G428" s="147">
        <f>IF(D428-F428&gt;0.005,MIN(D428-F428,Mortgage!$B$18+IF(MONTH(B428)=Mortgage!$B$20,Mortgage!$B$19,0)+SUMIFS(Mortgage!$E$6:$E$15,Mortgage!$D$6:$D$15,"&gt;="&amp;B428,Mortgage!$D$6:$D$15,"&lt;"&amp;EDATE(B428,1))+IF(Mortgage!$B$10="Bi-weekly (accelerated)",Mortgage!$H$8/12,0)),0)</f>
        <v/>
      </c>
      <c r="H428" s="147">
        <f>F428+G428</f>
        <v/>
      </c>
      <c r="I428" s="148">
        <f>D428-H428</f>
        <v/>
      </c>
      <c r="J428" s="147">
        <f>E428+F428+G428</f>
        <v/>
      </c>
      <c r="K428" s="147">
        <f>IF(AND(D428&gt;0.005,Mortgage!$H$7&gt;0.8,D428/Mortgage!$B$5&gt;Mortgage!$B$14),Mortgage!$H$5*Mortgage!$B$13/12,0)</f>
        <v/>
      </c>
      <c r="L428" s="147">
        <f>IF(D428&gt;0.005,Mortgage!$B$11/12*(1+Mortgage!$B$16)^(C428-1),0)</f>
        <v/>
      </c>
      <c r="M428" s="147">
        <f>IF(D428&gt;0.005,Mortgage!$B$12/12*(1+Mortgage!$B$16)^(C428-1),0)</f>
        <v/>
      </c>
      <c r="N428" s="147">
        <f>IF(D428&gt;0.005,Mortgage!$B$15,0)</f>
        <v/>
      </c>
      <c r="O428" s="147">
        <f>J428+K428+L428+M428+N428</f>
        <v/>
      </c>
      <c r="P428" s="147">
        <f>P427+E428</f>
        <v/>
      </c>
      <c r="Q428" s="147">
        <f>IF(D428&gt;0.005,Mortgage!$B$5*(1+Mortgage!$B$17)^(A428/12),"")</f>
        <v/>
      </c>
      <c r="R428" s="147">
        <f>IF(D428&gt;0.005,Q428-I428,"")</f>
        <v/>
      </c>
      <c r="S428" s="147">
        <f>IF(A428&gt;Mortgage!$B$8*12,0,IF(Mortgage!$B$7=0,MAX(0,Mortgage!$H$5-Mortgage!$H$8*A428),MAX(0,Mortgage!$H$5*(1+(Mortgage!$B$7/12))^A428-Mortgage!$H$8*((1+(Mortgage!$B$7/12))^A428-1)/(Mortgage!$B$7/12))))</f>
        <v/>
      </c>
      <c r="T428" s="149">
        <f>IF(D428&gt;0.005,I428/Mortgage!$B$5,"")</f>
        <v/>
      </c>
      <c r="U428">
        <f>IF(A428&gt;Mortgage!$B$8*12,NA(),B428)</f>
        <v/>
      </c>
      <c r="V428">
        <f>IF(D428&gt;0.005,I428,NA())</f>
        <v/>
      </c>
      <c r="W428">
        <f>IF(A428&gt;Mortgage!$B$8*12,NA(),S428)</f>
        <v/>
      </c>
    </row>
    <row r="429">
      <c r="A429" s="129" t="n">
        <v>424</v>
      </c>
      <c r="B429" s="146">
        <f>EDATE(Mortgage!$B$9,A429-1)</f>
        <v/>
      </c>
      <c r="C429" s="129">
        <f>INT((A429-1)/12)+1</f>
        <v/>
      </c>
      <c r="D429" s="147">
        <f>IF(N(I428)&gt;0.005,I428,0)</f>
        <v/>
      </c>
      <c r="E429" s="147">
        <f>IF(D429&gt;0.005,D429*Mortgage!$B$7/12,0)</f>
        <v/>
      </c>
      <c r="F429" s="147">
        <f>IF(D429&gt;0.005,MIN(Mortgage!$H$8-E429,D429),0)</f>
        <v/>
      </c>
      <c r="G429" s="147">
        <f>IF(D429-F429&gt;0.005,MIN(D429-F429,Mortgage!$B$18+IF(MONTH(B429)=Mortgage!$B$20,Mortgage!$B$19,0)+SUMIFS(Mortgage!$E$6:$E$15,Mortgage!$D$6:$D$15,"&gt;="&amp;B429,Mortgage!$D$6:$D$15,"&lt;"&amp;EDATE(B429,1))+IF(Mortgage!$B$10="Bi-weekly (accelerated)",Mortgage!$H$8/12,0)),0)</f>
        <v/>
      </c>
      <c r="H429" s="147">
        <f>F429+G429</f>
        <v/>
      </c>
      <c r="I429" s="148">
        <f>D429-H429</f>
        <v/>
      </c>
      <c r="J429" s="147">
        <f>E429+F429+G429</f>
        <v/>
      </c>
      <c r="K429" s="147">
        <f>IF(AND(D429&gt;0.005,Mortgage!$H$7&gt;0.8,D429/Mortgage!$B$5&gt;Mortgage!$B$14),Mortgage!$H$5*Mortgage!$B$13/12,0)</f>
        <v/>
      </c>
      <c r="L429" s="147">
        <f>IF(D429&gt;0.005,Mortgage!$B$11/12*(1+Mortgage!$B$16)^(C429-1),0)</f>
        <v/>
      </c>
      <c r="M429" s="147">
        <f>IF(D429&gt;0.005,Mortgage!$B$12/12*(1+Mortgage!$B$16)^(C429-1),0)</f>
        <v/>
      </c>
      <c r="N429" s="147">
        <f>IF(D429&gt;0.005,Mortgage!$B$15,0)</f>
        <v/>
      </c>
      <c r="O429" s="147">
        <f>J429+K429+L429+M429+N429</f>
        <v/>
      </c>
      <c r="P429" s="147">
        <f>P428+E429</f>
        <v/>
      </c>
      <c r="Q429" s="147">
        <f>IF(D429&gt;0.005,Mortgage!$B$5*(1+Mortgage!$B$17)^(A429/12),"")</f>
        <v/>
      </c>
      <c r="R429" s="147">
        <f>IF(D429&gt;0.005,Q429-I429,"")</f>
        <v/>
      </c>
      <c r="S429" s="147">
        <f>IF(A429&gt;Mortgage!$B$8*12,0,IF(Mortgage!$B$7=0,MAX(0,Mortgage!$H$5-Mortgage!$H$8*A429),MAX(0,Mortgage!$H$5*(1+(Mortgage!$B$7/12))^A429-Mortgage!$H$8*((1+(Mortgage!$B$7/12))^A429-1)/(Mortgage!$B$7/12))))</f>
        <v/>
      </c>
      <c r="T429" s="149">
        <f>IF(D429&gt;0.005,I429/Mortgage!$B$5,"")</f>
        <v/>
      </c>
      <c r="U429">
        <f>IF(A429&gt;Mortgage!$B$8*12,NA(),B429)</f>
        <v/>
      </c>
      <c r="V429">
        <f>IF(D429&gt;0.005,I429,NA())</f>
        <v/>
      </c>
      <c r="W429">
        <f>IF(A429&gt;Mortgage!$B$8*12,NA(),S429)</f>
        <v/>
      </c>
    </row>
    <row r="430">
      <c r="A430" s="129" t="n">
        <v>425</v>
      </c>
      <c r="B430" s="146">
        <f>EDATE(Mortgage!$B$9,A430-1)</f>
        <v/>
      </c>
      <c r="C430" s="129">
        <f>INT((A430-1)/12)+1</f>
        <v/>
      </c>
      <c r="D430" s="147">
        <f>IF(N(I429)&gt;0.005,I429,0)</f>
        <v/>
      </c>
      <c r="E430" s="147">
        <f>IF(D430&gt;0.005,D430*Mortgage!$B$7/12,0)</f>
        <v/>
      </c>
      <c r="F430" s="147">
        <f>IF(D430&gt;0.005,MIN(Mortgage!$H$8-E430,D430),0)</f>
        <v/>
      </c>
      <c r="G430" s="147">
        <f>IF(D430-F430&gt;0.005,MIN(D430-F430,Mortgage!$B$18+IF(MONTH(B430)=Mortgage!$B$20,Mortgage!$B$19,0)+SUMIFS(Mortgage!$E$6:$E$15,Mortgage!$D$6:$D$15,"&gt;="&amp;B430,Mortgage!$D$6:$D$15,"&lt;"&amp;EDATE(B430,1))+IF(Mortgage!$B$10="Bi-weekly (accelerated)",Mortgage!$H$8/12,0)),0)</f>
        <v/>
      </c>
      <c r="H430" s="147">
        <f>F430+G430</f>
        <v/>
      </c>
      <c r="I430" s="148">
        <f>D430-H430</f>
        <v/>
      </c>
      <c r="J430" s="147">
        <f>E430+F430+G430</f>
        <v/>
      </c>
      <c r="K430" s="147">
        <f>IF(AND(D430&gt;0.005,Mortgage!$H$7&gt;0.8,D430/Mortgage!$B$5&gt;Mortgage!$B$14),Mortgage!$H$5*Mortgage!$B$13/12,0)</f>
        <v/>
      </c>
      <c r="L430" s="147">
        <f>IF(D430&gt;0.005,Mortgage!$B$11/12*(1+Mortgage!$B$16)^(C430-1),0)</f>
        <v/>
      </c>
      <c r="M430" s="147">
        <f>IF(D430&gt;0.005,Mortgage!$B$12/12*(1+Mortgage!$B$16)^(C430-1),0)</f>
        <v/>
      </c>
      <c r="N430" s="147">
        <f>IF(D430&gt;0.005,Mortgage!$B$15,0)</f>
        <v/>
      </c>
      <c r="O430" s="147">
        <f>J430+K430+L430+M430+N430</f>
        <v/>
      </c>
      <c r="P430" s="147">
        <f>P429+E430</f>
        <v/>
      </c>
      <c r="Q430" s="147">
        <f>IF(D430&gt;0.005,Mortgage!$B$5*(1+Mortgage!$B$17)^(A430/12),"")</f>
        <v/>
      </c>
      <c r="R430" s="147">
        <f>IF(D430&gt;0.005,Q430-I430,"")</f>
        <v/>
      </c>
      <c r="S430" s="147">
        <f>IF(A430&gt;Mortgage!$B$8*12,0,IF(Mortgage!$B$7=0,MAX(0,Mortgage!$H$5-Mortgage!$H$8*A430),MAX(0,Mortgage!$H$5*(1+(Mortgage!$B$7/12))^A430-Mortgage!$H$8*((1+(Mortgage!$B$7/12))^A430-1)/(Mortgage!$B$7/12))))</f>
        <v/>
      </c>
      <c r="T430" s="149">
        <f>IF(D430&gt;0.005,I430/Mortgage!$B$5,"")</f>
        <v/>
      </c>
      <c r="U430">
        <f>IF(A430&gt;Mortgage!$B$8*12,NA(),B430)</f>
        <v/>
      </c>
      <c r="V430">
        <f>IF(D430&gt;0.005,I430,NA())</f>
        <v/>
      </c>
      <c r="W430">
        <f>IF(A430&gt;Mortgage!$B$8*12,NA(),S430)</f>
        <v/>
      </c>
    </row>
    <row r="431">
      <c r="A431" s="129" t="n">
        <v>426</v>
      </c>
      <c r="B431" s="146">
        <f>EDATE(Mortgage!$B$9,A431-1)</f>
        <v/>
      </c>
      <c r="C431" s="129">
        <f>INT((A431-1)/12)+1</f>
        <v/>
      </c>
      <c r="D431" s="147">
        <f>IF(N(I430)&gt;0.005,I430,0)</f>
        <v/>
      </c>
      <c r="E431" s="147">
        <f>IF(D431&gt;0.005,D431*Mortgage!$B$7/12,0)</f>
        <v/>
      </c>
      <c r="F431" s="147">
        <f>IF(D431&gt;0.005,MIN(Mortgage!$H$8-E431,D431),0)</f>
        <v/>
      </c>
      <c r="G431" s="147">
        <f>IF(D431-F431&gt;0.005,MIN(D431-F431,Mortgage!$B$18+IF(MONTH(B431)=Mortgage!$B$20,Mortgage!$B$19,0)+SUMIFS(Mortgage!$E$6:$E$15,Mortgage!$D$6:$D$15,"&gt;="&amp;B431,Mortgage!$D$6:$D$15,"&lt;"&amp;EDATE(B431,1))+IF(Mortgage!$B$10="Bi-weekly (accelerated)",Mortgage!$H$8/12,0)),0)</f>
        <v/>
      </c>
      <c r="H431" s="147">
        <f>F431+G431</f>
        <v/>
      </c>
      <c r="I431" s="148">
        <f>D431-H431</f>
        <v/>
      </c>
      <c r="J431" s="147">
        <f>E431+F431+G431</f>
        <v/>
      </c>
      <c r="K431" s="147">
        <f>IF(AND(D431&gt;0.005,Mortgage!$H$7&gt;0.8,D431/Mortgage!$B$5&gt;Mortgage!$B$14),Mortgage!$H$5*Mortgage!$B$13/12,0)</f>
        <v/>
      </c>
      <c r="L431" s="147">
        <f>IF(D431&gt;0.005,Mortgage!$B$11/12*(1+Mortgage!$B$16)^(C431-1),0)</f>
        <v/>
      </c>
      <c r="M431" s="147">
        <f>IF(D431&gt;0.005,Mortgage!$B$12/12*(1+Mortgage!$B$16)^(C431-1),0)</f>
        <v/>
      </c>
      <c r="N431" s="147">
        <f>IF(D431&gt;0.005,Mortgage!$B$15,0)</f>
        <v/>
      </c>
      <c r="O431" s="147">
        <f>J431+K431+L431+M431+N431</f>
        <v/>
      </c>
      <c r="P431" s="147">
        <f>P430+E431</f>
        <v/>
      </c>
      <c r="Q431" s="147">
        <f>IF(D431&gt;0.005,Mortgage!$B$5*(1+Mortgage!$B$17)^(A431/12),"")</f>
        <v/>
      </c>
      <c r="R431" s="147">
        <f>IF(D431&gt;0.005,Q431-I431,"")</f>
        <v/>
      </c>
      <c r="S431" s="147">
        <f>IF(A431&gt;Mortgage!$B$8*12,0,IF(Mortgage!$B$7=0,MAX(0,Mortgage!$H$5-Mortgage!$H$8*A431),MAX(0,Mortgage!$H$5*(1+(Mortgage!$B$7/12))^A431-Mortgage!$H$8*((1+(Mortgage!$B$7/12))^A431-1)/(Mortgage!$B$7/12))))</f>
        <v/>
      </c>
      <c r="T431" s="149">
        <f>IF(D431&gt;0.005,I431/Mortgage!$B$5,"")</f>
        <v/>
      </c>
      <c r="U431">
        <f>IF(A431&gt;Mortgage!$B$8*12,NA(),B431)</f>
        <v/>
      </c>
      <c r="V431">
        <f>IF(D431&gt;0.005,I431,NA())</f>
        <v/>
      </c>
      <c r="W431">
        <f>IF(A431&gt;Mortgage!$B$8*12,NA(),S431)</f>
        <v/>
      </c>
    </row>
    <row r="432">
      <c r="A432" s="129" t="n">
        <v>427</v>
      </c>
      <c r="B432" s="146">
        <f>EDATE(Mortgage!$B$9,A432-1)</f>
        <v/>
      </c>
      <c r="C432" s="129">
        <f>INT((A432-1)/12)+1</f>
        <v/>
      </c>
      <c r="D432" s="147">
        <f>IF(N(I431)&gt;0.005,I431,0)</f>
        <v/>
      </c>
      <c r="E432" s="147">
        <f>IF(D432&gt;0.005,D432*Mortgage!$B$7/12,0)</f>
        <v/>
      </c>
      <c r="F432" s="147">
        <f>IF(D432&gt;0.005,MIN(Mortgage!$H$8-E432,D432),0)</f>
        <v/>
      </c>
      <c r="G432" s="147">
        <f>IF(D432-F432&gt;0.005,MIN(D432-F432,Mortgage!$B$18+IF(MONTH(B432)=Mortgage!$B$20,Mortgage!$B$19,0)+SUMIFS(Mortgage!$E$6:$E$15,Mortgage!$D$6:$D$15,"&gt;="&amp;B432,Mortgage!$D$6:$D$15,"&lt;"&amp;EDATE(B432,1))+IF(Mortgage!$B$10="Bi-weekly (accelerated)",Mortgage!$H$8/12,0)),0)</f>
        <v/>
      </c>
      <c r="H432" s="147">
        <f>F432+G432</f>
        <v/>
      </c>
      <c r="I432" s="148">
        <f>D432-H432</f>
        <v/>
      </c>
      <c r="J432" s="147">
        <f>E432+F432+G432</f>
        <v/>
      </c>
      <c r="K432" s="147">
        <f>IF(AND(D432&gt;0.005,Mortgage!$H$7&gt;0.8,D432/Mortgage!$B$5&gt;Mortgage!$B$14),Mortgage!$H$5*Mortgage!$B$13/12,0)</f>
        <v/>
      </c>
      <c r="L432" s="147">
        <f>IF(D432&gt;0.005,Mortgage!$B$11/12*(1+Mortgage!$B$16)^(C432-1),0)</f>
        <v/>
      </c>
      <c r="M432" s="147">
        <f>IF(D432&gt;0.005,Mortgage!$B$12/12*(1+Mortgage!$B$16)^(C432-1),0)</f>
        <v/>
      </c>
      <c r="N432" s="147">
        <f>IF(D432&gt;0.005,Mortgage!$B$15,0)</f>
        <v/>
      </c>
      <c r="O432" s="147">
        <f>J432+K432+L432+M432+N432</f>
        <v/>
      </c>
      <c r="P432" s="147">
        <f>P431+E432</f>
        <v/>
      </c>
      <c r="Q432" s="147">
        <f>IF(D432&gt;0.005,Mortgage!$B$5*(1+Mortgage!$B$17)^(A432/12),"")</f>
        <v/>
      </c>
      <c r="R432" s="147">
        <f>IF(D432&gt;0.005,Q432-I432,"")</f>
        <v/>
      </c>
      <c r="S432" s="147">
        <f>IF(A432&gt;Mortgage!$B$8*12,0,IF(Mortgage!$B$7=0,MAX(0,Mortgage!$H$5-Mortgage!$H$8*A432),MAX(0,Mortgage!$H$5*(1+(Mortgage!$B$7/12))^A432-Mortgage!$H$8*((1+(Mortgage!$B$7/12))^A432-1)/(Mortgage!$B$7/12))))</f>
        <v/>
      </c>
      <c r="T432" s="149">
        <f>IF(D432&gt;0.005,I432/Mortgage!$B$5,"")</f>
        <v/>
      </c>
      <c r="U432">
        <f>IF(A432&gt;Mortgage!$B$8*12,NA(),B432)</f>
        <v/>
      </c>
      <c r="V432">
        <f>IF(D432&gt;0.005,I432,NA())</f>
        <v/>
      </c>
      <c r="W432">
        <f>IF(A432&gt;Mortgage!$B$8*12,NA(),S432)</f>
        <v/>
      </c>
    </row>
    <row r="433">
      <c r="A433" s="129" t="n">
        <v>428</v>
      </c>
      <c r="B433" s="146">
        <f>EDATE(Mortgage!$B$9,A433-1)</f>
        <v/>
      </c>
      <c r="C433" s="129">
        <f>INT((A433-1)/12)+1</f>
        <v/>
      </c>
      <c r="D433" s="147">
        <f>IF(N(I432)&gt;0.005,I432,0)</f>
        <v/>
      </c>
      <c r="E433" s="147">
        <f>IF(D433&gt;0.005,D433*Mortgage!$B$7/12,0)</f>
        <v/>
      </c>
      <c r="F433" s="147">
        <f>IF(D433&gt;0.005,MIN(Mortgage!$H$8-E433,D433),0)</f>
        <v/>
      </c>
      <c r="G433" s="147">
        <f>IF(D433-F433&gt;0.005,MIN(D433-F433,Mortgage!$B$18+IF(MONTH(B433)=Mortgage!$B$20,Mortgage!$B$19,0)+SUMIFS(Mortgage!$E$6:$E$15,Mortgage!$D$6:$D$15,"&gt;="&amp;B433,Mortgage!$D$6:$D$15,"&lt;"&amp;EDATE(B433,1))+IF(Mortgage!$B$10="Bi-weekly (accelerated)",Mortgage!$H$8/12,0)),0)</f>
        <v/>
      </c>
      <c r="H433" s="147">
        <f>F433+G433</f>
        <v/>
      </c>
      <c r="I433" s="148">
        <f>D433-H433</f>
        <v/>
      </c>
      <c r="J433" s="147">
        <f>E433+F433+G433</f>
        <v/>
      </c>
      <c r="K433" s="147">
        <f>IF(AND(D433&gt;0.005,Mortgage!$H$7&gt;0.8,D433/Mortgage!$B$5&gt;Mortgage!$B$14),Mortgage!$H$5*Mortgage!$B$13/12,0)</f>
        <v/>
      </c>
      <c r="L433" s="147">
        <f>IF(D433&gt;0.005,Mortgage!$B$11/12*(1+Mortgage!$B$16)^(C433-1),0)</f>
        <v/>
      </c>
      <c r="M433" s="147">
        <f>IF(D433&gt;0.005,Mortgage!$B$12/12*(1+Mortgage!$B$16)^(C433-1),0)</f>
        <v/>
      </c>
      <c r="N433" s="147">
        <f>IF(D433&gt;0.005,Mortgage!$B$15,0)</f>
        <v/>
      </c>
      <c r="O433" s="147">
        <f>J433+K433+L433+M433+N433</f>
        <v/>
      </c>
      <c r="P433" s="147">
        <f>P432+E433</f>
        <v/>
      </c>
      <c r="Q433" s="147">
        <f>IF(D433&gt;0.005,Mortgage!$B$5*(1+Mortgage!$B$17)^(A433/12),"")</f>
        <v/>
      </c>
      <c r="R433" s="147">
        <f>IF(D433&gt;0.005,Q433-I433,"")</f>
        <v/>
      </c>
      <c r="S433" s="147">
        <f>IF(A433&gt;Mortgage!$B$8*12,0,IF(Mortgage!$B$7=0,MAX(0,Mortgage!$H$5-Mortgage!$H$8*A433),MAX(0,Mortgage!$H$5*(1+(Mortgage!$B$7/12))^A433-Mortgage!$H$8*((1+(Mortgage!$B$7/12))^A433-1)/(Mortgage!$B$7/12))))</f>
        <v/>
      </c>
      <c r="T433" s="149">
        <f>IF(D433&gt;0.005,I433/Mortgage!$B$5,"")</f>
        <v/>
      </c>
      <c r="U433">
        <f>IF(A433&gt;Mortgage!$B$8*12,NA(),B433)</f>
        <v/>
      </c>
      <c r="V433">
        <f>IF(D433&gt;0.005,I433,NA())</f>
        <v/>
      </c>
      <c r="W433">
        <f>IF(A433&gt;Mortgage!$B$8*12,NA(),S433)</f>
        <v/>
      </c>
    </row>
    <row r="434">
      <c r="A434" s="129" t="n">
        <v>429</v>
      </c>
      <c r="B434" s="146">
        <f>EDATE(Mortgage!$B$9,A434-1)</f>
        <v/>
      </c>
      <c r="C434" s="129">
        <f>INT((A434-1)/12)+1</f>
        <v/>
      </c>
      <c r="D434" s="147">
        <f>IF(N(I433)&gt;0.005,I433,0)</f>
        <v/>
      </c>
      <c r="E434" s="147">
        <f>IF(D434&gt;0.005,D434*Mortgage!$B$7/12,0)</f>
        <v/>
      </c>
      <c r="F434" s="147">
        <f>IF(D434&gt;0.005,MIN(Mortgage!$H$8-E434,D434),0)</f>
        <v/>
      </c>
      <c r="G434" s="147">
        <f>IF(D434-F434&gt;0.005,MIN(D434-F434,Mortgage!$B$18+IF(MONTH(B434)=Mortgage!$B$20,Mortgage!$B$19,0)+SUMIFS(Mortgage!$E$6:$E$15,Mortgage!$D$6:$D$15,"&gt;="&amp;B434,Mortgage!$D$6:$D$15,"&lt;"&amp;EDATE(B434,1))+IF(Mortgage!$B$10="Bi-weekly (accelerated)",Mortgage!$H$8/12,0)),0)</f>
        <v/>
      </c>
      <c r="H434" s="147">
        <f>F434+G434</f>
        <v/>
      </c>
      <c r="I434" s="148">
        <f>D434-H434</f>
        <v/>
      </c>
      <c r="J434" s="147">
        <f>E434+F434+G434</f>
        <v/>
      </c>
      <c r="K434" s="147">
        <f>IF(AND(D434&gt;0.005,Mortgage!$H$7&gt;0.8,D434/Mortgage!$B$5&gt;Mortgage!$B$14),Mortgage!$H$5*Mortgage!$B$13/12,0)</f>
        <v/>
      </c>
      <c r="L434" s="147">
        <f>IF(D434&gt;0.005,Mortgage!$B$11/12*(1+Mortgage!$B$16)^(C434-1),0)</f>
        <v/>
      </c>
      <c r="M434" s="147">
        <f>IF(D434&gt;0.005,Mortgage!$B$12/12*(1+Mortgage!$B$16)^(C434-1),0)</f>
        <v/>
      </c>
      <c r="N434" s="147">
        <f>IF(D434&gt;0.005,Mortgage!$B$15,0)</f>
        <v/>
      </c>
      <c r="O434" s="147">
        <f>J434+K434+L434+M434+N434</f>
        <v/>
      </c>
      <c r="P434" s="147">
        <f>P433+E434</f>
        <v/>
      </c>
      <c r="Q434" s="147">
        <f>IF(D434&gt;0.005,Mortgage!$B$5*(1+Mortgage!$B$17)^(A434/12),"")</f>
        <v/>
      </c>
      <c r="R434" s="147">
        <f>IF(D434&gt;0.005,Q434-I434,"")</f>
        <v/>
      </c>
      <c r="S434" s="147">
        <f>IF(A434&gt;Mortgage!$B$8*12,0,IF(Mortgage!$B$7=0,MAX(0,Mortgage!$H$5-Mortgage!$H$8*A434),MAX(0,Mortgage!$H$5*(1+(Mortgage!$B$7/12))^A434-Mortgage!$H$8*((1+(Mortgage!$B$7/12))^A434-1)/(Mortgage!$B$7/12))))</f>
        <v/>
      </c>
      <c r="T434" s="149">
        <f>IF(D434&gt;0.005,I434/Mortgage!$B$5,"")</f>
        <v/>
      </c>
      <c r="U434">
        <f>IF(A434&gt;Mortgage!$B$8*12,NA(),B434)</f>
        <v/>
      </c>
      <c r="V434">
        <f>IF(D434&gt;0.005,I434,NA())</f>
        <v/>
      </c>
      <c r="W434">
        <f>IF(A434&gt;Mortgage!$B$8*12,NA(),S434)</f>
        <v/>
      </c>
    </row>
    <row r="435">
      <c r="A435" s="129" t="n">
        <v>430</v>
      </c>
      <c r="B435" s="146">
        <f>EDATE(Mortgage!$B$9,A435-1)</f>
        <v/>
      </c>
      <c r="C435" s="129">
        <f>INT((A435-1)/12)+1</f>
        <v/>
      </c>
      <c r="D435" s="147">
        <f>IF(N(I434)&gt;0.005,I434,0)</f>
        <v/>
      </c>
      <c r="E435" s="147">
        <f>IF(D435&gt;0.005,D435*Mortgage!$B$7/12,0)</f>
        <v/>
      </c>
      <c r="F435" s="147">
        <f>IF(D435&gt;0.005,MIN(Mortgage!$H$8-E435,D435),0)</f>
        <v/>
      </c>
      <c r="G435" s="147">
        <f>IF(D435-F435&gt;0.005,MIN(D435-F435,Mortgage!$B$18+IF(MONTH(B435)=Mortgage!$B$20,Mortgage!$B$19,0)+SUMIFS(Mortgage!$E$6:$E$15,Mortgage!$D$6:$D$15,"&gt;="&amp;B435,Mortgage!$D$6:$D$15,"&lt;"&amp;EDATE(B435,1))+IF(Mortgage!$B$10="Bi-weekly (accelerated)",Mortgage!$H$8/12,0)),0)</f>
        <v/>
      </c>
      <c r="H435" s="147">
        <f>F435+G435</f>
        <v/>
      </c>
      <c r="I435" s="148">
        <f>D435-H435</f>
        <v/>
      </c>
      <c r="J435" s="147">
        <f>E435+F435+G435</f>
        <v/>
      </c>
      <c r="K435" s="147">
        <f>IF(AND(D435&gt;0.005,Mortgage!$H$7&gt;0.8,D435/Mortgage!$B$5&gt;Mortgage!$B$14),Mortgage!$H$5*Mortgage!$B$13/12,0)</f>
        <v/>
      </c>
      <c r="L435" s="147">
        <f>IF(D435&gt;0.005,Mortgage!$B$11/12*(1+Mortgage!$B$16)^(C435-1),0)</f>
        <v/>
      </c>
      <c r="M435" s="147">
        <f>IF(D435&gt;0.005,Mortgage!$B$12/12*(1+Mortgage!$B$16)^(C435-1),0)</f>
        <v/>
      </c>
      <c r="N435" s="147">
        <f>IF(D435&gt;0.005,Mortgage!$B$15,0)</f>
        <v/>
      </c>
      <c r="O435" s="147">
        <f>J435+K435+L435+M435+N435</f>
        <v/>
      </c>
      <c r="P435" s="147">
        <f>P434+E435</f>
        <v/>
      </c>
      <c r="Q435" s="147">
        <f>IF(D435&gt;0.005,Mortgage!$B$5*(1+Mortgage!$B$17)^(A435/12),"")</f>
        <v/>
      </c>
      <c r="R435" s="147">
        <f>IF(D435&gt;0.005,Q435-I435,"")</f>
        <v/>
      </c>
      <c r="S435" s="147">
        <f>IF(A435&gt;Mortgage!$B$8*12,0,IF(Mortgage!$B$7=0,MAX(0,Mortgage!$H$5-Mortgage!$H$8*A435),MAX(0,Mortgage!$H$5*(1+(Mortgage!$B$7/12))^A435-Mortgage!$H$8*((1+(Mortgage!$B$7/12))^A435-1)/(Mortgage!$B$7/12))))</f>
        <v/>
      </c>
      <c r="T435" s="149">
        <f>IF(D435&gt;0.005,I435/Mortgage!$B$5,"")</f>
        <v/>
      </c>
      <c r="U435">
        <f>IF(A435&gt;Mortgage!$B$8*12,NA(),B435)</f>
        <v/>
      </c>
      <c r="V435">
        <f>IF(D435&gt;0.005,I435,NA())</f>
        <v/>
      </c>
      <c r="W435">
        <f>IF(A435&gt;Mortgage!$B$8*12,NA(),S435)</f>
        <v/>
      </c>
    </row>
    <row r="436">
      <c r="A436" s="129" t="n">
        <v>431</v>
      </c>
      <c r="B436" s="146">
        <f>EDATE(Mortgage!$B$9,A436-1)</f>
        <v/>
      </c>
      <c r="C436" s="129">
        <f>INT((A436-1)/12)+1</f>
        <v/>
      </c>
      <c r="D436" s="147">
        <f>IF(N(I435)&gt;0.005,I435,0)</f>
        <v/>
      </c>
      <c r="E436" s="147">
        <f>IF(D436&gt;0.005,D436*Mortgage!$B$7/12,0)</f>
        <v/>
      </c>
      <c r="F436" s="147">
        <f>IF(D436&gt;0.005,MIN(Mortgage!$H$8-E436,D436),0)</f>
        <v/>
      </c>
      <c r="G436" s="147">
        <f>IF(D436-F436&gt;0.005,MIN(D436-F436,Mortgage!$B$18+IF(MONTH(B436)=Mortgage!$B$20,Mortgage!$B$19,0)+SUMIFS(Mortgage!$E$6:$E$15,Mortgage!$D$6:$D$15,"&gt;="&amp;B436,Mortgage!$D$6:$D$15,"&lt;"&amp;EDATE(B436,1))+IF(Mortgage!$B$10="Bi-weekly (accelerated)",Mortgage!$H$8/12,0)),0)</f>
        <v/>
      </c>
      <c r="H436" s="147">
        <f>F436+G436</f>
        <v/>
      </c>
      <c r="I436" s="148">
        <f>D436-H436</f>
        <v/>
      </c>
      <c r="J436" s="147">
        <f>E436+F436+G436</f>
        <v/>
      </c>
      <c r="K436" s="147">
        <f>IF(AND(D436&gt;0.005,Mortgage!$H$7&gt;0.8,D436/Mortgage!$B$5&gt;Mortgage!$B$14),Mortgage!$H$5*Mortgage!$B$13/12,0)</f>
        <v/>
      </c>
      <c r="L436" s="147">
        <f>IF(D436&gt;0.005,Mortgage!$B$11/12*(1+Mortgage!$B$16)^(C436-1),0)</f>
        <v/>
      </c>
      <c r="M436" s="147">
        <f>IF(D436&gt;0.005,Mortgage!$B$12/12*(1+Mortgage!$B$16)^(C436-1),0)</f>
        <v/>
      </c>
      <c r="N436" s="147">
        <f>IF(D436&gt;0.005,Mortgage!$B$15,0)</f>
        <v/>
      </c>
      <c r="O436" s="147">
        <f>J436+K436+L436+M436+N436</f>
        <v/>
      </c>
      <c r="P436" s="147">
        <f>P435+E436</f>
        <v/>
      </c>
      <c r="Q436" s="147">
        <f>IF(D436&gt;0.005,Mortgage!$B$5*(1+Mortgage!$B$17)^(A436/12),"")</f>
        <v/>
      </c>
      <c r="R436" s="147">
        <f>IF(D436&gt;0.005,Q436-I436,"")</f>
        <v/>
      </c>
      <c r="S436" s="147">
        <f>IF(A436&gt;Mortgage!$B$8*12,0,IF(Mortgage!$B$7=0,MAX(0,Mortgage!$H$5-Mortgage!$H$8*A436),MAX(0,Mortgage!$H$5*(1+(Mortgage!$B$7/12))^A436-Mortgage!$H$8*((1+(Mortgage!$B$7/12))^A436-1)/(Mortgage!$B$7/12))))</f>
        <v/>
      </c>
      <c r="T436" s="149">
        <f>IF(D436&gt;0.005,I436/Mortgage!$B$5,"")</f>
        <v/>
      </c>
      <c r="U436">
        <f>IF(A436&gt;Mortgage!$B$8*12,NA(),B436)</f>
        <v/>
      </c>
      <c r="V436">
        <f>IF(D436&gt;0.005,I436,NA())</f>
        <v/>
      </c>
      <c r="W436">
        <f>IF(A436&gt;Mortgage!$B$8*12,NA(),S436)</f>
        <v/>
      </c>
    </row>
    <row r="437">
      <c r="A437" s="129" t="n">
        <v>432</v>
      </c>
      <c r="B437" s="146">
        <f>EDATE(Mortgage!$B$9,A437-1)</f>
        <v/>
      </c>
      <c r="C437" s="129">
        <f>INT((A437-1)/12)+1</f>
        <v/>
      </c>
      <c r="D437" s="147">
        <f>IF(N(I436)&gt;0.005,I436,0)</f>
        <v/>
      </c>
      <c r="E437" s="147">
        <f>IF(D437&gt;0.005,D437*Mortgage!$B$7/12,0)</f>
        <v/>
      </c>
      <c r="F437" s="147">
        <f>IF(D437&gt;0.005,MIN(Mortgage!$H$8-E437,D437),0)</f>
        <v/>
      </c>
      <c r="G437" s="147">
        <f>IF(D437-F437&gt;0.005,MIN(D437-F437,Mortgage!$B$18+IF(MONTH(B437)=Mortgage!$B$20,Mortgage!$B$19,0)+SUMIFS(Mortgage!$E$6:$E$15,Mortgage!$D$6:$D$15,"&gt;="&amp;B437,Mortgage!$D$6:$D$15,"&lt;"&amp;EDATE(B437,1))+IF(Mortgage!$B$10="Bi-weekly (accelerated)",Mortgage!$H$8/12,0)),0)</f>
        <v/>
      </c>
      <c r="H437" s="147">
        <f>F437+G437</f>
        <v/>
      </c>
      <c r="I437" s="148">
        <f>D437-H437</f>
        <v/>
      </c>
      <c r="J437" s="147">
        <f>E437+F437+G437</f>
        <v/>
      </c>
      <c r="K437" s="147">
        <f>IF(AND(D437&gt;0.005,Mortgage!$H$7&gt;0.8,D437/Mortgage!$B$5&gt;Mortgage!$B$14),Mortgage!$H$5*Mortgage!$B$13/12,0)</f>
        <v/>
      </c>
      <c r="L437" s="147">
        <f>IF(D437&gt;0.005,Mortgage!$B$11/12*(1+Mortgage!$B$16)^(C437-1),0)</f>
        <v/>
      </c>
      <c r="M437" s="147">
        <f>IF(D437&gt;0.005,Mortgage!$B$12/12*(1+Mortgage!$B$16)^(C437-1),0)</f>
        <v/>
      </c>
      <c r="N437" s="147">
        <f>IF(D437&gt;0.005,Mortgage!$B$15,0)</f>
        <v/>
      </c>
      <c r="O437" s="147">
        <f>J437+K437+L437+M437+N437</f>
        <v/>
      </c>
      <c r="P437" s="147">
        <f>P436+E437</f>
        <v/>
      </c>
      <c r="Q437" s="147">
        <f>IF(D437&gt;0.005,Mortgage!$B$5*(1+Mortgage!$B$17)^(A437/12),"")</f>
        <v/>
      </c>
      <c r="R437" s="147">
        <f>IF(D437&gt;0.005,Q437-I437,"")</f>
        <v/>
      </c>
      <c r="S437" s="147">
        <f>IF(A437&gt;Mortgage!$B$8*12,0,IF(Mortgage!$B$7=0,MAX(0,Mortgage!$H$5-Mortgage!$H$8*A437),MAX(0,Mortgage!$H$5*(1+(Mortgage!$B$7/12))^A437-Mortgage!$H$8*((1+(Mortgage!$B$7/12))^A437-1)/(Mortgage!$B$7/12))))</f>
        <v/>
      </c>
      <c r="T437" s="149">
        <f>IF(D437&gt;0.005,I437/Mortgage!$B$5,"")</f>
        <v/>
      </c>
      <c r="U437">
        <f>IF(A437&gt;Mortgage!$B$8*12,NA(),B437)</f>
        <v/>
      </c>
      <c r="V437">
        <f>IF(D437&gt;0.005,I437,NA())</f>
        <v/>
      </c>
      <c r="W437">
        <f>IF(A437&gt;Mortgage!$B$8*12,NA(),S437)</f>
        <v/>
      </c>
    </row>
    <row r="438">
      <c r="A438" s="129" t="n">
        <v>433</v>
      </c>
      <c r="B438" s="146">
        <f>EDATE(Mortgage!$B$9,A438-1)</f>
        <v/>
      </c>
      <c r="C438" s="129">
        <f>INT((A438-1)/12)+1</f>
        <v/>
      </c>
      <c r="D438" s="147">
        <f>IF(N(I437)&gt;0.005,I437,0)</f>
        <v/>
      </c>
      <c r="E438" s="147">
        <f>IF(D438&gt;0.005,D438*Mortgage!$B$7/12,0)</f>
        <v/>
      </c>
      <c r="F438" s="147">
        <f>IF(D438&gt;0.005,MIN(Mortgage!$H$8-E438,D438),0)</f>
        <v/>
      </c>
      <c r="G438" s="147">
        <f>IF(D438-F438&gt;0.005,MIN(D438-F438,Mortgage!$B$18+IF(MONTH(B438)=Mortgage!$B$20,Mortgage!$B$19,0)+SUMIFS(Mortgage!$E$6:$E$15,Mortgage!$D$6:$D$15,"&gt;="&amp;B438,Mortgage!$D$6:$D$15,"&lt;"&amp;EDATE(B438,1))+IF(Mortgage!$B$10="Bi-weekly (accelerated)",Mortgage!$H$8/12,0)),0)</f>
        <v/>
      </c>
      <c r="H438" s="147">
        <f>F438+G438</f>
        <v/>
      </c>
      <c r="I438" s="148">
        <f>D438-H438</f>
        <v/>
      </c>
      <c r="J438" s="147">
        <f>E438+F438+G438</f>
        <v/>
      </c>
      <c r="K438" s="147">
        <f>IF(AND(D438&gt;0.005,Mortgage!$H$7&gt;0.8,D438/Mortgage!$B$5&gt;Mortgage!$B$14),Mortgage!$H$5*Mortgage!$B$13/12,0)</f>
        <v/>
      </c>
      <c r="L438" s="147">
        <f>IF(D438&gt;0.005,Mortgage!$B$11/12*(1+Mortgage!$B$16)^(C438-1),0)</f>
        <v/>
      </c>
      <c r="M438" s="147">
        <f>IF(D438&gt;0.005,Mortgage!$B$12/12*(1+Mortgage!$B$16)^(C438-1),0)</f>
        <v/>
      </c>
      <c r="N438" s="147">
        <f>IF(D438&gt;0.005,Mortgage!$B$15,0)</f>
        <v/>
      </c>
      <c r="O438" s="147">
        <f>J438+K438+L438+M438+N438</f>
        <v/>
      </c>
      <c r="P438" s="147">
        <f>P437+E438</f>
        <v/>
      </c>
      <c r="Q438" s="147">
        <f>IF(D438&gt;0.005,Mortgage!$B$5*(1+Mortgage!$B$17)^(A438/12),"")</f>
        <v/>
      </c>
      <c r="R438" s="147">
        <f>IF(D438&gt;0.005,Q438-I438,"")</f>
        <v/>
      </c>
      <c r="S438" s="147">
        <f>IF(A438&gt;Mortgage!$B$8*12,0,IF(Mortgage!$B$7=0,MAX(0,Mortgage!$H$5-Mortgage!$H$8*A438),MAX(0,Mortgage!$H$5*(1+(Mortgage!$B$7/12))^A438-Mortgage!$H$8*((1+(Mortgage!$B$7/12))^A438-1)/(Mortgage!$B$7/12))))</f>
        <v/>
      </c>
      <c r="T438" s="149">
        <f>IF(D438&gt;0.005,I438/Mortgage!$B$5,"")</f>
        <v/>
      </c>
      <c r="U438">
        <f>IF(A438&gt;Mortgage!$B$8*12,NA(),B438)</f>
        <v/>
      </c>
      <c r="V438">
        <f>IF(D438&gt;0.005,I438,NA())</f>
        <v/>
      </c>
      <c r="W438">
        <f>IF(A438&gt;Mortgage!$B$8*12,NA(),S438)</f>
        <v/>
      </c>
    </row>
    <row r="439">
      <c r="A439" s="129" t="n">
        <v>434</v>
      </c>
      <c r="B439" s="146">
        <f>EDATE(Mortgage!$B$9,A439-1)</f>
        <v/>
      </c>
      <c r="C439" s="129">
        <f>INT((A439-1)/12)+1</f>
        <v/>
      </c>
      <c r="D439" s="147">
        <f>IF(N(I438)&gt;0.005,I438,0)</f>
        <v/>
      </c>
      <c r="E439" s="147">
        <f>IF(D439&gt;0.005,D439*Mortgage!$B$7/12,0)</f>
        <v/>
      </c>
      <c r="F439" s="147">
        <f>IF(D439&gt;0.005,MIN(Mortgage!$H$8-E439,D439),0)</f>
        <v/>
      </c>
      <c r="G439" s="147">
        <f>IF(D439-F439&gt;0.005,MIN(D439-F439,Mortgage!$B$18+IF(MONTH(B439)=Mortgage!$B$20,Mortgage!$B$19,0)+SUMIFS(Mortgage!$E$6:$E$15,Mortgage!$D$6:$D$15,"&gt;="&amp;B439,Mortgage!$D$6:$D$15,"&lt;"&amp;EDATE(B439,1))+IF(Mortgage!$B$10="Bi-weekly (accelerated)",Mortgage!$H$8/12,0)),0)</f>
        <v/>
      </c>
      <c r="H439" s="147">
        <f>F439+G439</f>
        <v/>
      </c>
      <c r="I439" s="148">
        <f>D439-H439</f>
        <v/>
      </c>
      <c r="J439" s="147">
        <f>E439+F439+G439</f>
        <v/>
      </c>
      <c r="K439" s="147">
        <f>IF(AND(D439&gt;0.005,Mortgage!$H$7&gt;0.8,D439/Mortgage!$B$5&gt;Mortgage!$B$14),Mortgage!$H$5*Mortgage!$B$13/12,0)</f>
        <v/>
      </c>
      <c r="L439" s="147">
        <f>IF(D439&gt;0.005,Mortgage!$B$11/12*(1+Mortgage!$B$16)^(C439-1),0)</f>
        <v/>
      </c>
      <c r="M439" s="147">
        <f>IF(D439&gt;0.005,Mortgage!$B$12/12*(1+Mortgage!$B$16)^(C439-1),0)</f>
        <v/>
      </c>
      <c r="N439" s="147">
        <f>IF(D439&gt;0.005,Mortgage!$B$15,0)</f>
        <v/>
      </c>
      <c r="O439" s="147">
        <f>J439+K439+L439+M439+N439</f>
        <v/>
      </c>
      <c r="P439" s="147">
        <f>P438+E439</f>
        <v/>
      </c>
      <c r="Q439" s="147">
        <f>IF(D439&gt;0.005,Mortgage!$B$5*(1+Mortgage!$B$17)^(A439/12),"")</f>
        <v/>
      </c>
      <c r="R439" s="147">
        <f>IF(D439&gt;0.005,Q439-I439,"")</f>
        <v/>
      </c>
      <c r="S439" s="147">
        <f>IF(A439&gt;Mortgage!$B$8*12,0,IF(Mortgage!$B$7=0,MAX(0,Mortgage!$H$5-Mortgage!$H$8*A439),MAX(0,Mortgage!$H$5*(1+(Mortgage!$B$7/12))^A439-Mortgage!$H$8*((1+(Mortgage!$B$7/12))^A439-1)/(Mortgage!$B$7/12))))</f>
        <v/>
      </c>
      <c r="T439" s="149">
        <f>IF(D439&gt;0.005,I439/Mortgage!$B$5,"")</f>
        <v/>
      </c>
      <c r="U439">
        <f>IF(A439&gt;Mortgage!$B$8*12,NA(),B439)</f>
        <v/>
      </c>
      <c r="V439">
        <f>IF(D439&gt;0.005,I439,NA())</f>
        <v/>
      </c>
      <c r="W439">
        <f>IF(A439&gt;Mortgage!$B$8*12,NA(),S439)</f>
        <v/>
      </c>
    </row>
    <row r="440">
      <c r="A440" s="129" t="n">
        <v>435</v>
      </c>
      <c r="B440" s="146">
        <f>EDATE(Mortgage!$B$9,A440-1)</f>
        <v/>
      </c>
      <c r="C440" s="129">
        <f>INT((A440-1)/12)+1</f>
        <v/>
      </c>
      <c r="D440" s="147">
        <f>IF(N(I439)&gt;0.005,I439,0)</f>
        <v/>
      </c>
      <c r="E440" s="147">
        <f>IF(D440&gt;0.005,D440*Mortgage!$B$7/12,0)</f>
        <v/>
      </c>
      <c r="F440" s="147">
        <f>IF(D440&gt;0.005,MIN(Mortgage!$H$8-E440,D440),0)</f>
        <v/>
      </c>
      <c r="G440" s="147">
        <f>IF(D440-F440&gt;0.005,MIN(D440-F440,Mortgage!$B$18+IF(MONTH(B440)=Mortgage!$B$20,Mortgage!$B$19,0)+SUMIFS(Mortgage!$E$6:$E$15,Mortgage!$D$6:$D$15,"&gt;="&amp;B440,Mortgage!$D$6:$D$15,"&lt;"&amp;EDATE(B440,1))+IF(Mortgage!$B$10="Bi-weekly (accelerated)",Mortgage!$H$8/12,0)),0)</f>
        <v/>
      </c>
      <c r="H440" s="147">
        <f>F440+G440</f>
        <v/>
      </c>
      <c r="I440" s="148">
        <f>D440-H440</f>
        <v/>
      </c>
      <c r="J440" s="147">
        <f>E440+F440+G440</f>
        <v/>
      </c>
      <c r="K440" s="147">
        <f>IF(AND(D440&gt;0.005,Mortgage!$H$7&gt;0.8,D440/Mortgage!$B$5&gt;Mortgage!$B$14),Mortgage!$H$5*Mortgage!$B$13/12,0)</f>
        <v/>
      </c>
      <c r="L440" s="147">
        <f>IF(D440&gt;0.005,Mortgage!$B$11/12*(1+Mortgage!$B$16)^(C440-1),0)</f>
        <v/>
      </c>
      <c r="M440" s="147">
        <f>IF(D440&gt;0.005,Mortgage!$B$12/12*(1+Mortgage!$B$16)^(C440-1),0)</f>
        <v/>
      </c>
      <c r="N440" s="147">
        <f>IF(D440&gt;0.005,Mortgage!$B$15,0)</f>
        <v/>
      </c>
      <c r="O440" s="147">
        <f>J440+K440+L440+M440+N440</f>
        <v/>
      </c>
      <c r="P440" s="147">
        <f>P439+E440</f>
        <v/>
      </c>
      <c r="Q440" s="147">
        <f>IF(D440&gt;0.005,Mortgage!$B$5*(1+Mortgage!$B$17)^(A440/12),"")</f>
        <v/>
      </c>
      <c r="R440" s="147">
        <f>IF(D440&gt;0.005,Q440-I440,"")</f>
        <v/>
      </c>
      <c r="S440" s="147">
        <f>IF(A440&gt;Mortgage!$B$8*12,0,IF(Mortgage!$B$7=0,MAX(0,Mortgage!$H$5-Mortgage!$H$8*A440),MAX(0,Mortgage!$H$5*(1+(Mortgage!$B$7/12))^A440-Mortgage!$H$8*((1+(Mortgage!$B$7/12))^A440-1)/(Mortgage!$B$7/12))))</f>
        <v/>
      </c>
      <c r="T440" s="149">
        <f>IF(D440&gt;0.005,I440/Mortgage!$B$5,"")</f>
        <v/>
      </c>
      <c r="U440">
        <f>IF(A440&gt;Mortgage!$B$8*12,NA(),B440)</f>
        <v/>
      </c>
      <c r="V440">
        <f>IF(D440&gt;0.005,I440,NA())</f>
        <v/>
      </c>
      <c r="W440">
        <f>IF(A440&gt;Mortgage!$B$8*12,NA(),S440)</f>
        <v/>
      </c>
    </row>
    <row r="441">
      <c r="A441" s="129" t="n">
        <v>436</v>
      </c>
      <c r="B441" s="146">
        <f>EDATE(Mortgage!$B$9,A441-1)</f>
        <v/>
      </c>
      <c r="C441" s="129">
        <f>INT((A441-1)/12)+1</f>
        <v/>
      </c>
      <c r="D441" s="147">
        <f>IF(N(I440)&gt;0.005,I440,0)</f>
        <v/>
      </c>
      <c r="E441" s="147">
        <f>IF(D441&gt;0.005,D441*Mortgage!$B$7/12,0)</f>
        <v/>
      </c>
      <c r="F441" s="147">
        <f>IF(D441&gt;0.005,MIN(Mortgage!$H$8-E441,D441),0)</f>
        <v/>
      </c>
      <c r="G441" s="147">
        <f>IF(D441-F441&gt;0.005,MIN(D441-F441,Mortgage!$B$18+IF(MONTH(B441)=Mortgage!$B$20,Mortgage!$B$19,0)+SUMIFS(Mortgage!$E$6:$E$15,Mortgage!$D$6:$D$15,"&gt;="&amp;B441,Mortgage!$D$6:$D$15,"&lt;"&amp;EDATE(B441,1))+IF(Mortgage!$B$10="Bi-weekly (accelerated)",Mortgage!$H$8/12,0)),0)</f>
        <v/>
      </c>
      <c r="H441" s="147">
        <f>F441+G441</f>
        <v/>
      </c>
      <c r="I441" s="148">
        <f>D441-H441</f>
        <v/>
      </c>
      <c r="J441" s="147">
        <f>E441+F441+G441</f>
        <v/>
      </c>
      <c r="K441" s="147">
        <f>IF(AND(D441&gt;0.005,Mortgage!$H$7&gt;0.8,D441/Mortgage!$B$5&gt;Mortgage!$B$14),Mortgage!$H$5*Mortgage!$B$13/12,0)</f>
        <v/>
      </c>
      <c r="L441" s="147">
        <f>IF(D441&gt;0.005,Mortgage!$B$11/12*(1+Mortgage!$B$16)^(C441-1),0)</f>
        <v/>
      </c>
      <c r="M441" s="147">
        <f>IF(D441&gt;0.005,Mortgage!$B$12/12*(1+Mortgage!$B$16)^(C441-1),0)</f>
        <v/>
      </c>
      <c r="N441" s="147">
        <f>IF(D441&gt;0.005,Mortgage!$B$15,0)</f>
        <v/>
      </c>
      <c r="O441" s="147">
        <f>J441+K441+L441+M441+N441</f>
        <v/>
      </c>
      <c r="P441" s="147">
        <f>P440+E441</f>
        <v/>
      </c>
      <c r="Q441" s="147">
        <f>IF(D441&gt;0.005,Mortgage!$B$5*(1+Mortgage!$B$17)^(A441/12),"")</f>
        <v/>
      </c>
      <c r="R441" s="147">
        <f>IF(D441&gt;0.005,Q441-I441,"")</f>
        <v/>
      </c>
      <c r="S441" s="147">
        <f>IF(A441&gt;Mortgage!$B$8*12,0,IF(Mortgage!$B$7=0,MAX(0,Mortgage!$H$5-Mortgage!$H$8*A441),MAX(0,Mortgage!$H$5*(1+(Mortgage!$B$7/12))^A441-Mortgage!$H$8*((1+(Mortgage!$B$7/12))^A441-1)/(Mortgage!$B$7/12))))</f>
        <v/>
      </c>
      <c r="T441" s="149">
        <f>IF(D441&gt;0.005,I441/Mortgage!$B$5,"")</f>
        <v/>
      </c>
      <c r="U441">
        <f>IF(A441&gt;Mortgage!$B$8*12,NA(),B441)</f>
        <v/>
      </c>
      <c r="V441">
        <f>IF(D441&gt;0.005,I441,NA())</f>
        <v/>
      </c>
      <c r="W441">
        <f>IF(A441&gt;Mortgage!$B$8*12,NA(),S441)</f>
        <v/>
      </c>
    </row>
    <row r="442">
      <c r="A442" s="129" t="n">
        <v>437</v>
      </c>
      <c r="B442" s="146">
        <f>EDATE(Mortgage!$B$9,A442-1)</f>
        <v/>
      </c>
      <c r="C442" s="129">
        <f>INT((A442-1)/12)+1</f>
        <v/>
      </c>
      <c r="D442" s="147">
        <f>IF(N(I441)&gt;0.005,I441,0)</f>
        <v/>
      </c>
      <c r="E442" s="147">
        <f>IF(D442&gt;0.005,D442*Mortgage!$B$7/12,0)</f>
        <v/>
      </c>
      <c r="F442" s="147">
        <f>IF(D442&gt;0.005,MIN(Mortgage!$H$8-E442,D442),0)</f>
        <v/>
      </c>
      <c r="G442" s="147">
        <f>IF(D442-F442&gt;0.005,MIN(D442-F442,Mortgage!$B$18+IF(MONTH(B442)=Mortgage!$B$20,Mortgage!$B$19,0)+SUMIFS(Mortgage!$E$6:$E$15,Mortgage!$D$6:$D$15,"&gt;="&amp;B442,Mortgage!$D$6:$D$15,"&lt;"&amp;EDATE(B442,1))+IF(Mortgage!$B$10="Bi-weekly (accelerated)",Mortgage!$H$8/12,0)),0)</f>
        <v/>
      </c>
      <c r="H442" s="147">
        <f>F442+G442</f>
        <v/>
      </c>
      <c r="I442" s="148">
        <f>D442-H442</f>
        <v/>
      </c>
      <c r="J442" s="147">
        <f>E442+F442+G442</f>
        <v/>
      </c>
      <c r="K442" s="147">
        <f>IF(AND(D442&gt;0.005,Mortgage!$H$7&gt;0.8,D442/Mortgage!$B$5&gt;Mortgage!$B$14),Mortgage!$H$5*Mortgage!$B$13/12,0)</f>
        <v/>
      </c>
      <c r="L442" s="147">
        <f>IF(D442&gt;0.005,Mortgage!$B$11/12*(1+Mortgage!$B$16)^(C442-1),0)</f>
        <v/>
      </c>
      <c r="M442" s="147">
        <f>IF(D442&gt;0.005,Mortgage!$B$12/12*(1+Mortgage!$B$16)^(C442-1),0)</f>
        <v/>
      </c>
      <c r="N442" s="147">
        <f>IF(D442&gt;0.005,Mortgage!$B$15,0)</f>
        <v/>
      </c>
      <c r="O442" s="147">
        <f>J442+K442+L442+M442+N442</f>
        <v/>
      </c>
      <c r="P442" s="147">
        <f>P441+E442</f>
        <v/>
      </c>
      <c r="Q442" s="147">
        <f>IF(D442&gt;0.005,Mortgage!$B$5*(1+Mortgage!$B$17)^(A442/12),"")</f>
        <v/>
      </c>
      <c r="R442" s="147">
        <f>IF(D442&gt;0.005,Q442-I442,"")</f>
        <v/>
      </c>
      <c r="S442" s="147">
        <f>IF(A442&gt;Mortgage!$B$8*12,0,IF(Mortgage!$B$7=0,MAX(0,Mortgage!$H$5-Mortgage!$H$8*A442),MAX(0,Mortgage!$H$5*(1+(Mortgage!$B$7/12))^A442-Mortgage!$H$8*((1+(Mortgage!$B$7/12))^A442-1)/(Mortgage!$B$7/12))))</f>
        <v/>
      </c>
      <c r="T442" s="149">
        <f>IF(D442&gt;0.005,I442/Mortgage!$B$5,"")</f>
        <v/>
      </c>
      <c r="U442">
        <f>IF(A442&gt;Mortgage!$B$8*12,NA(),B442)</f>
        <v/>
      </c>
      <c r="V442">
        <f>IF(D442&gt;0.005,I442,NA())</f>
        <v/>
      </c>
      <c r="W442">
        <f>IF(A442&gt;Mortgage!$B$8*12,NA(),S442)</f>
        <v/>
      </c>
    </row>
    <row r="443">
      <c r="A443" s="129" t="n">
        <v>438</v>
      </c>
      <c r="B443" s="146">
        <f>EDATE(Mortgage!$B$9,A443-1)</f>
        <v/>
      </c>
      <c r="C443" s="129">
        <f>INT((A443-1)/12)+1</f>
        <v/>
      </c>
      <c r="D443" s="147">
        <f>IF(N(I442)&gt;0.005,I442,0)</f>
        <v/>
      </c>
      <c r="E443" s="147">
        <f>IF(D443&gt;0.005,D443*Mortgage!$B$7/12,0)</f>
        <v/>
      </c>
      <c r="F443" s="147">
        <f>IF(D443&gt;0.005,MIN(Mortgage!$H$8-E443,D443),0)</f>
        <v/>
      </c>
      <c r="G443" s="147">
        <f>IF(D443-F443&gt;0.005,MIN(D443-F443,Mortgage!$B$18+IF(MONTH(B443)=Mortgage!$B$20,Mortgage!$B$19,0)+SUMIFS(Mortgage!$E$6:$E$15,Mortgage!$D$6:$D$15,"&gt;="&amp;B443,Mortgage!$D$6:$D$15,"&lt;"&amp;EDATE(B443,1))+IF(Mortgage!$B$10="Bi-weekly (accelerated)",Mortgage!$H$8/12,0)),0)</f>
        <v/>
      </c>
      <c r="H443" s="147">
        <f>F443+G443</f>
        <v/>
      </c>
      <c r="I443" s="148">
        <f>D443-H443</f>
        <v/>
      </c>
      <c r="J443" s="147">
        <f>E443+F443+G443</f>
        <v/>
      </c>
      <c r="K443" s="147">
        <f>IF(AND(D443&gt;0.005,Mortgage!$H$7&gt;0.8,D443/Mortgage!$B$5&gt;Mortgage!$B$14),Mortgage!$H$5*Mortgage!$B$13/12,0)</f>
        <v/>
      </c>
      <c r="L443" s="147">
        <f>IF(D443&gt;0.005,Mortgage!$B$11/12*(1+Mortgage!$B$16)^(C443-1),0)</f>
        <v/>
      </c>
      <c r="M443" s="147">
        <f>IF(D443&gt;0.005,Mortgage!$B$12/12*(1+Mortgage!$B$16)^(C443-1),0)</f>
        <v/>
      </c>
      <c r="N443" s="147">
        <f>IF(D443&gt;0.005,Mortgage!$B$15,0)</f>
        <v/>
      </c>
      <c r="O443" s="147">
        <f>J443+K443+L443+M443+N443</f>
        <v/>
      </c>
      <c r="P443" s="147">
        <f>P442+E443</f>
        <v/>
      </c>
      <c r="Q443" s="147">
        <f>IF(D443&gt;0.005,Mortgage!$B$5*(1+Mortgage!$B$17)^(A443/12),"")</f>
        <v/>
      </c>
      <c r="R443" s="147">
        <f>IF(D443&gt;0.005,Q443-I443,"")</f>
        <v/>
      </c>
      <c r="S443" s="147">
        <f>IF(A443&gt;Mortgage!$B$8*12,0,IF(Mortgage!$B$7=0,MAX(0,Mortgage!$H$5-Mortgage!$H$8*A443),MAX(0,Mortgage!$H$5*(1+(Mortgage!$B$7/12))^A443-Mortgage!$H$8*((1+(Mortgage!$B$7/12))^A443-1)/(Mortgage!$B$7/12))))</f>
        <v/>
      </c>
      <c r="T443" s="149">
        <f>IF(D443&gt;0.005,I443/Mortgage!$B$5,"")</f>
        <v/>
      </c>
      <c r="U443">
        <f>IF(A443&gt;Mortgage!$B$8*12,NA(),B443)</f>
        <v/>
      </c>
      <c r="V443">
        <f>IF(D443&gt;0.005,I443,NA())</f>
        <v/>
      </c>
      <c r="W443">
        <f>IF(A443&gt;Mortgage!$B$8*12,NA(),S443)</f>
        <v/>
      </c>
    </row>
    <row r="444">
      <c r="A444" s="129" t="n">
        <v>439</v>
      </c>
      <c r="B444" s="146">
        <f>EDATE(Mortgage!$B$9,A444-1)</f>
        <v/>
      </c>
      <c r="C444" s="129">
        <f>INT((A444-1)/12)+1</f>
        <v/>
      </c>
      <c r="D444" s="147">
        <f>IF(N(I443)&gt;0.005,I443,0)</f>
        <v/>
      </c>
      <c r="E444" s="147">
        <f>IF(D444&gt;0.005,D444*Mortgage!$B$7/12,0)</f>
        <v/>
      </c>
      <c r="F444" s="147">
        <f>IF(D444&gt;0.005,MIN(Mortgage!$H$8-E444,D444),0)</f>
        <v/>
      </c>
      <c r="G444" s="147">
        <f>IF(D444-F444&gt;0.005,MIN(D444-F444,Mortgage!$B$18+IF(MONTH(B444)=Mortgage!$B$20,Mortgage!$B$19,0)+SUMIFS(Mortgage!$E$6:$E$15,Mortgage!$D$6:$D$15,"&gt;="&amp;B444,Mortgage!$D$6:$D$15,"&lt;"&amp;EDATE(B444,1))+IF(Mortgage!$B$10="Bi-weekly (accelerated)",Mortgage!$H$8/12,0)),0)</f>
        <v/>
      </c>
      <c r="H444" s="147">
        <f>F444+G444</f>
        <v/>
      </c>
      <c r="I444" s="148">
        <f>D444-H444</f>
        <v/>
      </c>
      <c r="J444" s="147">
        <f>E444+F444+G444</f>
        <v/>
      </c>
      <c r="K444" s="147">
        <f>IF(AND(D444&gt;0.005,Mortgage!$H$7&gt;0.8,D444/Mortgage!$B$5&gt;Mortgage!$B$14),Mortgage!$H$5*Mortgage!$B$13/12,0)</f>
        <v/>
      </c>
      <c r="L444" s="147">
        <f>IF(D444&gt;0.005,Mortgage!$B$11/12*(1+Mortgage!$B$16)^(C444-1),0)</f>
        <v/>
      </c>
      <c r="M444" s="147">
        <f>IF(D444&gt;0.005,Mortgage!$B$12/12*(1+Mortgage!$B$16)^(C444-1),0)</f>
        <v/>
      </c>
      <c r="N444" s="147">
        <f>IF(D444&gt;0.005,Mortgage!$B$15,0)</f>
        <v/>
      </c>
      <c r="O444" s="147">
        <f>J444+K444+L444+M444+N444</f>
        <v/>
      </c>
      <c r="P444" s="147">
        <f>P443+E444</f>
        <v/>
      </c>
      <c r="Q444" s="147">
        <f>IF(D444&gt;0.005,Mortgage!$B$5*(1+Mortgage!$B$17)^(A444/12),"")</f>
        <v/>
      </c>
      <c r="R444" s="147">
        <f>IF(D444&gt;0.005,Q444-I444,"")</f>
        <v/>
      </c>
      <c r="S444" s="147">
        <f>IF(A444&gt;Mortgage!$B$8*12,0,IF(Mortgage!$B$7=0,MAX(0,Mortgage!$H$5-Mortgage!$H$8*A444),MAX(0,Mortgage!$H$5*(1+(Mortgage!$B$7/12))^A444-Mortgage!$H$8*((1+(Mortgage!$B$7/12))^A444-1)/(Mortgage!$B$7/12))))</f>
        <v/>
      </c>
      <c r="T444" s="149">
        <f>IF(D444&gt;0.005,I444/Mortgage!$B$5,"")</f>
        <v/>
      </c>
      <c r="U444">
        <f>IF(A444&gt;Mortgage!$B$8*12,NA(),B444)</f>
        <v/>
      </c>
      <c r="V444">
        <f>IF(D444&gt;0.005,I444,NA())</f>
        <v/>
      </c>
      <c r="W444">
        <f>IF(A444&gt;Mortgage!$B$8*12,NA(),S444)</f>
        <v/>
      </c>
    </row>
    <row r="445">
      <c r="A445" s="129" t="n">
        <v>440</v>
      </c>
      <c r="B445" s="146">
        <f>EDATE(Mortgage!$B$9,A445-1)</f>
        <v/>
      </c>
      <c r="C445" s="129">
        <f>INT((A445-1)/12)+1</f>
        <v/>
      </c>
      <c r="D445" s="147">
        <f>IF(N(I444)&gt;0.005,I444,0)</f>
        <v/>
      </c>
      <c r="E445" s="147">
        <f>IF(D445&gt;0.005,D445*Mortgage!$B$7/12,0)</f>
        <v/>
      </c>
      <c r="F445" s="147">
        <f>IF(D445&gt;0.005,MIN(Mortgage!$H$8-E445,D445),0)</f>
        <v/>
      </c>
      <c r="G445" s="147">
        <f>IF(D445-F445&gt;0.005,MIN(D445-F445,Mortgage!$B$18+IF(MONTH(B445)=Mortgage!$B$20,Mortgage!$B$19,0)+SUMIFS(Mortgage!$E$6:$E$15,Mortgage!$D$6:$D$15,"&gt;="&amp;B445,Mortgage!$D$6:$D$15,"&lt;"&amp;EDATE(B445,1))+IF(Mortgage!$B$10="Bi-weekly (accelerated)",Mortgage!$H$8/12,0)),0)</f>
        <v/>
      </c>
      <c r="H445" s="147">
        <f>F445+G445</f>
        <v/>
      </c>
      <c r="I445" s="148">
        <f>D445-H445</f>
        <v/>
      </c>
      <c r="J445" s="147">
        <f>E445+F445+G445</f>
        <v/>
      </c>
      <c r="K445" s="147">
        <f>IF(AND(D445&gt;0.005,Mortgage!$H$7&gt;0.8,D445/Mortgage!$B$5&gt;Mortgage!$B$14),Mortgage!$H$5*Mortgage!$B$13/12,0)</f>
        <v/>
      </c>
      <c r="L445" s="147">
        <f>IF(D445&gt;0.005,Mortgage!$B$11/12*(1+Mortgage!$B$16)^(C445-1),0)</f>
        <v/>
      </c>
      <c r="M445" s="147">
        <f>IF(D445&gt;0.005,Mortgage!$B$12/12*(1+Mortgage!$B$16)^(C445-1),0)</f>
        <v/>
      </c>
      <c r="N445" s="147">
        <f>IF(D445&gt;0.005,Mortgage!$B$15,0)</f>
        <v/>
      </c>
      <c r="O445" s="147">
        <f>J445+K445+L445+M445+N445</f>
        <v/>
      </c>
      <c r="P445" s="147">
        <f>P444+E445</f>
        <v/>
      </c>
      <c r="Q445" s="147">
        <f>IF(D445&gt;0.005,Mortgage!$B$5*(1+Mortgage!$B$17)^(A445/12),"")</f>
        <v/>
      </c>
      <c r="R445" s="147">
        <f>IF(D445&gt;0.005,Q445-I445,"")</f>
        <v/>
      </c>
      <c r="S445" s="147">
        <f>IF(A445&gt;Mortgage!$B$8*12,0,IF(Mortgage!$B$7=0,MAX(0,Mortgage!$H$5-Mortgage!$H$8*A445),MAX(0,Mortgage!$H$5*(1+(Mortgage!$B$7/12))^A445-Mortgage!$H$8*((1+(Mortgage!$B$7/12))^A445-1)/(Mortgage!$B$7/12))))</f>
        <v/>
      </c>
      <c r="T445" s="149">
        <f>IF(D445&gt;0.005,I445/Mortgage!$B$5,"")</f>
        <v/>
      </c>
      <c r="U445">
        <f>IF(A445&gt;Mortgage!$B$8*12,NA(),B445)</f>
        <v/>
      </c>
      <c r="V445">
        <f>IF(D445&gt;0.005,I445,NA())</f>
        <v/>
      </c>
      <c r="W445">
        <f>IF(A445&gt;Mortgage!$B$8*12,NA(),S445)</f>
        <v/>
      </c>
    </row>
    <row r="446">
      <c r="A446" s="129" t="n">
        <v>441</v>
      </c>
      <c r="B446" s="146">
        <f>EDATE(Mortgage!$B$9,A446-1)</f>
        <v/>
      </c>
      <c r="C446" s="129">
        <f>INT((A446-1)/12)+1</f>
        <v/>
      </c>
      <c r="D446" s="147">
        <f>IF(N(I445)&gt;0.005,I445,0)</f>
        <v/>
      </c>
      <c r="E446" s="147">
        <f>IF(D446&gt;0.005,D446*Mortgage!$B$7/12,0)</f>
        <v/>
      </c>
      <c r="F446" s="147">
        <f>IF(D446&gt;0.005,MIN(Mortgage!$H$8-E446,D446),0)</f>
        <v/>
      </c>
      <c r="G446" s="147">
        <f>IF(D446-F446&gt;0.005,MIN(D446-F446,Mortgage!$B$18+IF(MONTH(B446)=Mortgage!$B$20,Mortgage!$B$19,0)+SUMIFS(Mortgage!$E$6:$E$15,Mortgage!$D$6:$D$15,"&gt;="&amp;B446,Mortgage!$D$6:$D$15,"&lt;"&amp;EDATE(B446,1))+IF(Mortgage!$B$10="Bi-weekly (accelerated)",Mortgage!$H$8/12,0)),0)</f>
        <v/>
      </c>
      <c r="H446" s="147">
        <f>F446+G446</f>
        <v/>
      </c>
      <c r="I446" s="148">
        <f>D446-H446</f>
        <v/>
      </c>
      <c r="J446" s="147">
        <f>E446+F446+G446</f>
        <v/>
      </c>
      <c r="K446" s="147">
        <f>IF(AND(D446&gt;0.005,Mortgage!$H$7&gt;0.8,D446/Mortgage!$B$5&gt;Mortgage!$B$14),Mortgage!$H$5*Mortgage!$B$13/12,0)</f>
        <v/>
      </c>
      <c r="L446" s="147">
        <f>IF(D446&gt;0.005,Mortgage!$B$11/12*(1+Mortgage!$B$16)^(C446-1),0)</f>
        <v/>
      </c>
      <c r="M446" s="147">
        <f>IF(D446&gt;0.005,Mortgage!$B$12/12*(1+Mortgage!$B$16)^(C446-1),0)</f>
        <v/>
      </c>
      <c r="N446" s="147">
        <f>IF(D446&gt;0.005,Mortgage!$B$15,0)</f>
        <v/>
      </c>
      <c r="O446" s="147">
        <f>J446+K446+L446+M446+N446</f>
        <v/>
      </c>
      <c r="P446" s="147">
        <f>P445+E446</f>
        <v/>
      </c>
      <c r="Q446" s="147">
        <f>IF(D446&gt;0.005,Mortgage!$B$5*(1+Mortgage!$B$17)^(A446/12),"")</f>
        <v/>
      </c>
      <c r="R446" s="147">
        <f>IF(D446&gt;0.005,Q446-I446,"")</f>
        <v/>
      </c>
      <c r="S446" s="147">
        <f>IF(A446&gt;Mortgage!$B$8*12,0,IF(Mortgage!$B$7=0,MAX(0,Mortgage!$H$5-Mortgage!$H$8*A446),MAX(0,Mortgage!$H$5*(1+(Mortgage!$B$7/12))^A446-Mortgage!$H$8*((1+(Mortgage!$B$7/12))^A446-1)/(Mortgage!$B$7/12))))</f>
        <v/>
      </c>
      <c r="T446" s="149">
        <f>IF(D446&gt;0.005,I446/Mortgage!$B$5,"")</f>
        <v/>
      </c>
      <c r="U446">
        <f>IF(A446&gt;Mortgage!$B$8*12,NA(),B446)</f>
        <v/>
      </c>
      <c r="V446">
        <f>IF(D446&gt;0.005,I446,NA())</f>
        <v/>
      </c>
      <c r="W446">
        <f>IF(A446&gt;Mortgage!$B$8*12,NA(),S446)</f>
        <v/>
      </c>
    </row>
    <row r="447">
      <c r="A447" s="129" t="n">
        <v>442</v>
      </c>
      <c r="B447" s="146">
        <f>EDATE(Mortgage!$B$9,A447-1)</f>
        <v/>
      </c>
      <c r="C447" s="129">
        <f>INT((A447-1)/12)+1</f>
        <v/>
      </c>
      <c r="D447" s="147">
        <f>IF(N(I446)&gt;0.005,I446,0)</f>
        <v/>
      </c>
      <c r="E447" s="147">
        <f>IF(D447&gt;0.005,D447*Mortgage!$B$7/12,0)</f>
        <v/>
      </c>
      <c r="F447" s="147">
        <f>IF(D447&gt;0.005,MIN(Mortgage!$H$8-E447,D447),0)</f>
        <v/>
      </c>
      <c r="G447" s="147">
        <f>IF(D447-F447&gt;0.005,MIN(D447-F447,Mortgage!$B$18+IF(MONTH(B447)=Mortgage!$B$20,Mortgage!$B$19,0)+SUMIFS(Mortgage!$E$6:$E$15,Mortgage!$D$6:$D$15,"&gt;="&amp;B447,Mortgage!$D$6:$D$15,"&lt;"&amp;EDATE(B447,1))+IF(Mortgage!$B$10="Bi-weekly (accelerated)",Mortgage!$H$8/12,0)),0)</f>
        <v/>
      </c>
      <c r="H447" s="147">
        <f>F447+G447</f>
        <v/>
      </c>
      <c r="I447" s="148">
        <f>D447-H447</f>
        <v/>
      </c>
      <c r="J447" s="147">
        <f>E447+F447+G447</f>
        <v/>
      </c>
      <c r="K447" s="147">
        <f>IF(AND(D447&gt;0.005,Mortgage!$H$7&gt;0.8,D447/Mortgage!$B$5&gt;Mortgage!$B$14),Mortgage!$H$5*Mortgage!$B$13/12,0)</f>
        <v/>
      </c>
      <c r="L447" s="147">
        <f>IF(D447&gt;0.005,Mortgage!$B$11/12*(1+Mortgage!$B$16)^(C447-1),0)</f>
        <v/>
      </c>
      <c r="M447" s="147">
        <f>IF(D447&gt;0.005,Mortgage!$B$12/12*(1+Mortgage!$B$16)^(C447-1),0)</f>
        <v/>
      </c>
      <c r="N447" s="147">
        <f>IF(D447&gt;0.005,Mortgage!$B$15,0)</f>
        <v/>
      </c>
      <c r="O447" s="147">
        <f>J447+K447+L447+M447+N447</f>
        <v/>
      </c>
      <c r="P447" s="147">
        <f>P446+E447</f>
        <v/>
      </c>
      <c r="Q447" s="147">
        <f>IF(D447&gt;0.005,Mortgage!$B$5*(1+Mortgage!$B$17)^(A447/12),"")</f>
        <v/>
      </c>
      <c r="R447" s="147">
        <f>IF(D447&gt;0.005,Q447-I447,"")</f>
        <v/>
      </c>
      <c r="S447" s="147">
        <f>IF(A447&gt;Mortgage!$B$8*12,0,IF(Mortgage!$B$7=0,MAX(0,Mortgage!$H$5-Mortgage!$H$8*A447),MAX(0,Mortgage!$H$5*(1+(Mortgage!$B$7/12))^A447-Mortgage!$H$8*((1+(Mortgage!$B$7/12))^A447-1)/(Mortgage!$B$7/12))))</f>
        <v/>
      </c>
      <c r="T447" s="149">
        <f>IF(D447&gt;0.005,I447/Mortgage!$B$5,"")</f>
        <v/>
      </c>
      <c r="U447">
        <f>IF(A447&gt;Mortgage!$B$8*12,NA(),B447)</f>
        <v/>
      </c>
      <c r="V447">
        <f>IF(D447&gt;0.005,I447,NA())</f>
        <v/>
      </c>
      <c r="W447">
        <f>IF(A447&gt;Mortgage!$B$8*12,NA(),S447)</f>
        <v/>
      </c>
    </row>
    <row r="448">
      <c r="A448" s="129" t="n">
        <v>443</v>
      </c>
      <c r="B448" s="146">
        <f>EDATE(Mortgage!$B$9,A448-1)</f>
        <v/>
      </c>
      <c r="C448" s="129">
        <f>INT((A448-1)/12)+1</f>
        <v/>
      </c>
      <c r="D448" s="147">
        <f>IF(N(I447)&gt;0.005,I447,0)</f>
        <v/>
      </c>
      <c r="E448" s="147">
        <f>IF(D448&gt;0.005,D448*Mortgage!$B$7/12,0)</f>
        <v/>
      </c>
      <c r="F448" s="147">
        <f>IF(D448&gt;0.005,MIN(Mortgage!$H$8-E448,D448),0)</f>
        <v/>
      </c>
      <c r="G448" s="147">
        <f>IF(D448-F448&gt;0.005,MIN(D448-F448,Mortgage!$B$18+IF(MONTH(B448)=Mortgage!$B$20,Mortgage!$B$19,0)+SUMIFS(Mortgage!$E$6:$E$15,Mortgage!$D$6:$D$15,"&gt;="&amp;B448,Mortgage!$D$6:$D$15,"&lt;"&amp;EDATE(B448,1))+IF(Mortgage!$B$10="Bi-weekly (accelerated)",Mortgage!$H$8/12,0)),0)</f>
        <v/>
      </c>
      <c r="H448" s="147">
        <f>F448+G448</f>
        <v/>
      </c>
      <c r="I448" s="148">
        <f>D448-H448</f>
        <v/>
      </c>
      <c r="J448" s="147">
        <f>E448+F448+G448</f>
        <v/>
      </c>
      <c r="K448" s="147">
        <f>IF(AND(D448&gt;0.005,Mortgage!$H$7&gt;0.8,D448/Mortgage!$B$5&gt;Mortgage!$B$14),Mortgage!$H$5*Mortgage!$B$13/12,0)</f>
        <v/>
      </c>
      <c r="L448" s="147">
        <f>IF(D448&gt;0.005,Mortgage!$B$11/12*(1+Mortgage!$B$16)^(C448-1),0)</f>
        <v/>
      </c>
      <c r="M448" s="147">
        <f>IF(D448&gt;0.005,Mortgage!$B$12/12*(1+Mortgage!$B$16)^(C448-1),0)</f>
        <v/>
      </c>
      <c r="N448" s="147">
        <f>IF(D448&gt;0.005,Mortgage!$B$15,0)</f>
        <v/>
      </c>
      <c r="O448" s="147">
        <f>J448+K448+L448+M448+N448</f>
        <v/>
      </c>
      <c r="P448" s="147">
        <f>P447+E448</f>
        <v/>
      </c>
      <c r="Q448" s="147">
        <f>IF(D448&gt;0.005,Mortgage!$B$5*(1+Mortgage!$B$17)^(A448/12),"")</f>
        <v/>
      </c>
      <c r="R448" s="147">
        <f>IF(D448&gt;0.005,Q448-I448,"")</f>
        <v/>
      </c>
      <c r="S448" s="147">
        <f>IF(A448&gt;Mortgage!$B$8*12,0,IF(Mortgage!$B$7=0,MAX(0,Mortgage!$H$5-Mortgage!$H$8*A448),MAX(0,Mortgage!$H$5*(1+(Mortgage!$B$7/12))^A448-Mortgage!$H$8*((1+(Mortgage!$B$7/12))^A448-1)/(Mortgage!$B$7/12))))</f>
        <v/>
      </c>
      <c r="T448" s="149">
        <f>IF(D448&gt;0.005,I448/Mortgage!$B$5,"")</f>
        <v/>
      </c>
      <c r="U448">
        <f>IF(A448&gt;Mortgage!$B$8*12,NA(),B448)</f>
        <v/>
      </c>
      <c r="V448">
        <f>IF(D448&gt;0.005,I448,NA())</f>
        <v/>
      </c>
      <c r="W448">
        <f>IF(A448&gt;Mortgage!$B$8*12,NA(),S448)</f>
        <v/>
      </c>
    </row>
    <row r="449">
      <c r="A449" s="129" t="n">
        <v>444</v>
      </c>
      <c r="B449" s="146">
        <f>EDATE(Mortgage!$B$9,A449-1)</f>
        <v/>
      </c>
      <c r="C449" s="129">
        <f>INT((A449-1)/12)+1</f>
        <v/>
      </c>
      <c r="D449" s="147">
        <f>IF(N(I448)&gt;0.005,I448,0)</f>
        <v/>
      </c>
      <c r="E449" s="147">
        <f>IF(D449&gt;0.005,D449*Mortgage!$B$7/12,0)</f>
        <v/>
      </c>
      <c r="F449" s="147">
        <f>IF(D449&gt;0.005,MIN(Mortgage!$H$8-E449,D449),0)</f>
        <v/>
      </c>
      <c r="G449" s="147">
        <f>IF(D449-F449&gt;0.005,MIN(D449-F449,Mortgage!$B$18+IF(MONTH(B449)=Mortgage!$B$20,Mortgage!$B$19,0)+SUMIFS(Mortgage!$E$6:$E$15,Mortgage!$D$6:$D$15,"&gt;="&amp;B449,Mortgage!$D$6:$D$15,"&lt;"&amp;EDATE(B449,1))+IF(Mortgage!$B$10="Bi-weekly (accelerated)",Mortgage!$H$8/12,0)),0)</f>
        <v/>
      </c>
      <c r="H449" s="147">
        <f>F449+G449</f>
        <v/>
      </c>
      <c r="I449" s="148">
        <f>D449-H449</f>
        <v/>
      </c>
      <c r="J449" s="147">
        <f>E449+F449+G449</f>
        <v/>
      </c>
      <c r="K449" s="147">
        <f>IF(AND(D449&gt;0.005,Mortgage!$H$7&gt;0.8,D449/Mortgage!$B$5&gt;Mortgage!$B$14),Mortgage!$H$5*Mortgage!$B$13/12,0)</f>
        <v/>
      </c>
      <c r="L449" s="147">
        <f>IF(D449&gt;0.005,Mortgage!$B$11/12*(1+Mortgage!$B$16)^(C449-1),0)</f>
        <v/>
      </c>
      <c r="M449" s="147">
        <f>IF(D449&gt;0.005,Mortgage!$B$12/12*(1+Mortgage!$B$16)^(C449-1),0)</f>
        <v/>
      </c>
      <c r="N449" s="147">
        <f>IF(D449&gt;0.005,Mortgage!$B$15,0)</f>
        <v/>
      </c>
      <c r="O449" s="147">
        <f>J449+K449+L449+M449+N449</f>
        <v/>
      </c>
      <c r="P449" s="147">
        <f>P448+E449</f>
        <v/>
      </c>
      <c r="Q449" s="147">
        <f>IF(D449&gt;0.005,Mortgage!$B$5*(1+Mortgage!$B$17)^(A449/12),"")</f>
        <v/>
      </c>
      <c r="R449" s="147">
        <f>IF(D449&gt;0.005,Q449-I449,"")</f>
        <v/>
      </c>
      <c r="S449" s="147">
        <f>IF(A449&gt;Mortgage!$B$8*12,0,IF(Mortgage!$B$7=0,MAX(0,Mortgage!$H$5-Mortgage!$H$8*A449),MAX(0,Mortgage!$H$5*(1+(Mortgage!$B$7/12))^A449-Mortgage!$H$8*((1+(Mortgage!$B$7/12))^A449-1)/(Mortgage!$B$7/12))))</f>
        <v/>
      </c>
      <c r="T449" s="149">
        <f>IF(D449&gt;0.005,I449/Mortgage!$B$5,"")</f>
        <v/>
      </c>
      <c r="U449">
        <f>IF(A449&gt;Mortgage!$B$8*12,NA(),B449)</f>
        <v/>
      </c>
      <c r="V449">
        <f>IF(D449&gt;0.005,I449,NA())</f>
        <v/>
      </c>
      <c r="W449">
        <f>IF(A449&gt;Mortgage!$B$8*12,NA(),S449)</f>
        <v/>
      </c>
    </row>
    <row r="450">
      <c r="A450" s="129" t="n">
        <v>445</v>
      </c>
      <c r="B450" s="146">
        <f>EDATE(Mortgage!$B$9,A450-1)</f>
        <v/>
      </c>
      <c r="C450" s="129">
        <f>INT((A450-1)/12)+1</f>
        <v/>
      </c>
      <c r="D450" s="147">
        <f>IF(N(I449)&gt;0.005,I449,0)</f>
        <v/>
      </c>
      <c r="E450" s="147">
        <f>IF(D450&gt;0.005,D450*Mortgage!$B$7/12,0)</f>
        <v/>
      </c>
      <c r="F450" s="147">
        <f>IF(D450&gt;0.005,MIN(Mortgage!$H$8-E450,D450),0)</f>
        <v/>
      </c>
      <c r="G450" s="147">
        <f>IF(D450-F450&gt;0.005,MIN(D450-F450,Mortgage!$B$18+IF(MONTH(B450)=Mortgage!$B$20,Mortgage!$B$19,0)+SUMIFS(Mortgage!$E$6:$E$15,Mortgage!$D$6:$D$15,"&gt;="&amp;B450,Mortgage!$D$6:$D$15,"&lt;"&amp;EDATE(B450,1))+IF(Mortgage!$B$10="Bi-weekly (accelerated)",Mortgage!$H$8/12,0)),0)</f>
        <v/>
      </c>
      <c r="H450" s="147">
        <f>F450+G450</f>
        <v/>
      </c>
      <c r="I450" s="148">
        <f>D450-H450</f>
        <v/>
      </c>
      <c r="J450" s="147">
        <f>E450+F450+G450</f>
        <v/>
      </c>
      <c r="K450" s="147">
        <f>IF(AND(D450&gt;0.005,Mortgage!$H$7&gt;0.8,D450/Mortgage!$B$5&gt;Mortgage!$B$14),Mortgage!$H$5*Mortgage!$B$13/12,0)</f>
        <v/>
      </c>
      <c r="L450" s="147">
        <f>IF(D450&gt;0.005,Mortgage!$B$11/12*(1+Mortgage!$B$16)^(C450-1),0)</f>
        <v/>
      </c>
      <c r="M450" s="147">
        <f>IF(D450&gt;0.005,Mortgage!$B$12/12*(1+Mortgage!$B$16)^(C450-1),0)</f>
        <v/>
      </c>
      <c r="N450" s="147">
        <f>IF(D450&gt;0.005,Mortgage!$B$15,0)</f>
        <v/>
      </c>
      <c r="O450" s="147">
        <f>J450+K450+L450+M450+N450</f>
        <v/>
      </c>
      <c r="P450" s="147">
        <f>P449+E450</f>
        <v/>
      </c>
      <c r="Q450" s="147">
        <f>IF(D450&gt;0.005,Mortgage!$B$5*(1+Mortgage!$B$17)^(A450/12),"")</f>
        <v/>
      </c>
      <c r="R450" s="147">
        <f>IF(D450&gt;0.005,Q450-I450,"")</f>
        <v/>
      </c>
      <c r="S450" s="147">
        <f>IF(A450&gt;Mortgage!$B$8*12,0,IF(Mortgage!$B$7=0,MAX(0,Mortgage!$H$5-Mortgage!$H$8*A450),MAX(0,Mortgage!$H$5*(1+(Mortgage!$B$7/12))^A450-Mortgage!$H$8*((1+(Mortgage!$B$7/12))^A450-1)/(Mortgage!$B$7/12))))</f>
        <v/>
      </c>
      <c r="T450" s="149">
        <f>IF(D450&gt;0.005,I450/Mortgage!$B$5,"")</f>
        <v/>
      </c>
      <c r="U450">
        <f>IF(A450&gt;Mortgage!$B$8*12,NA(),B450)</f>
        <v/>
      </c>
      <c r="V450">
        <f>IF(D450&gt;0.005,I450,NA())</f>
        <v/>
      </c>
      <c r="W450">
        <f>IF(A450&gt;Mortgage!$B$8*12,NA(),S450)</f>
        <v/>
      </c>
    </row>
    <row r="451">
      <c r="A451" s="129" t="n">
        <v>446</v>
      </c>
      <c r="B451" s="146">
        <f>EDATE(Mortgage!$B$9,A451-1)</f>
        <v/>
      </c>
      <c r="C451" s="129">
        <f>INT((A451-1)/12)+1</f>
        <v/>
      </c>
      <c r="D451" s="147">
        <f>IF(N(I450)&gt;0.005,I450,0)</f>
        <v/>
      </c>
      <c r="E451" s="147">
        <f>IF(D451&gt;0.005,D451*Mortgage!$B$7/12,0)</f>
        <v/>
      </c>
      <c r="F451" s="147">
        <f>IF(D451&gt;0.005,MIN(Mortgage!$H$8-E451,D451),0)</f>
        <v/>
      </c>
      <c r="G451" s="147">
        <f>IF(D451-F451&gt;0.005,MIN(D451-F451,Mortgage!$B$18+IF(MONTH(B451)=Mortgage!$B$20,Mortgage!$B$19,0)+SUMIFS(Mortgage!$E$6:$E$15,Mortgage!$D$6:$D$15,"&gt;="&amp;B451,Mortgage!$D$6:$D$15,"&lt;"&amp;EDATE(B451,1))+IF(Mortgage!$B$10="Bi-weekly (accelerated)",Mortgage!$H$8/12,0)),0)</f>
        <v/>
      </c>
      <c r="H451" s="147">
        <f>F451+G451</f>
        <v/>
      </c>
      <c r="I451" s="148">
        <f>D451-H451</f>
        <v/>
      </c>
      <c r="J451" s="147">
        <f>E451+F451+G451</f>
        <v/>
      </c>
      <c r="K451" s="147">
        <f>IF(AND(D451&gt;0.005,Mortgage!$H$7&gt;0.8,D451/Mortgage!$B$5&gt;Mortgage!$B$14),Mortgage!$H$5*Mortgage!$B$13/12,0)</f>
        <v/>
      </c>
      <c r="L451" s="147">
        <f>IF(D451&gt;0.005,Mortgage!$B$11/12*(1+Mortgage!$B$16)^(C451-1),0)</f>
        <v/>
      </c>
      <c r="M451" s="147">
        <f>IF(D451&gt;0.005,Mortgage!$B$12/12*(1+Mortgage!$B$16)^(C451-1),0)</f>
        <v/>
      </c>
      <c r="N451" s="147">
        <f>IF(D451&gt;0.005,Mortgage!$B$15,0)</f>
        <v/>
      </c>
      <c r="O451" s="147">
        <f>J451+K451+L451+M451+N451</f>
        <v/>
      </c>
      <c r="P451" s="147">
        <f>P450+E451</f>
        <v/>
      </c>
      <c r="Q451" s="147">
        <f>IF(D451&gt;0.005,Mortgage!$B$5*(1+Mortgage!$B$17)^(A451/12),"")</f>
        <v/>
      </c>
      <c r="R451" s="147">
        <f>IF(D451&gt;0.005,Q451-I451,"")</f>
        <v/>
      </c>
      <c r="S451" s="147">
        <f>IF(A451&gt;Mortgage!$B$8*12,0,IF(Mortgage!$B$7=0,MAX(0,Mortgage!$H$5-Mortgage!$H$8*A451),MAX(0,Mortgage!$H$5*(1+(Mortgage!$B$7/12))^A451-Mortgage!$H$8*((1+(Mortgage!$B$7/12))^A451-1)/(Mortgage!$B$7/12))))</f>
        <v/>
      </c>
      <c r="T451" s="149">
        <f>IF(D451&gt;0.005,I451/Mortgage!$B$5,"")</f>
        <v/>
      </c>
      <c r="U451">
        <f>IF(A451&gt;Mortgage!$B$8*12,NA(),B451)</f>
        <v/>
      </c>
      <c r="V451">
        <f>IF(D451&gt;0.005,I451,NA())</f>
        <v/>
      </c>
      <c r="W451">
        <f>IF(A451&gt;Mortgage!$B$8*12,NA(),S451)</f>
        <v/>
      </c>
    </row>
    <row r="452">
      <c r="A452" s="129" t="n">
        <v>447</v>
      </c>
      <c r="B452" s="146">
        <f>EDATE(Mortgage!$B$9,A452-1)</f>
        <v/>
      </c>
      <c r="C452" s="129">
        <f>INT((A452-1)/12)+1</f>
        <v/>
      </c>
      <c r="D452" s="147">
        <f>IF(N(I451)&gt;0.005,I451,0)</f>
        <v/>
      </c>
      <c r="E452" s="147">
        <f>IF(D452&gt;0.005,D452*Mortgage!$B$7/12,0)</f>
        <v/>
      </c>
      <c r="F452" s="147">
        <f>IF(D452&gt;0.005,MIN(Mortgage!$H$8-E452,D452),0)</f>
        <v/>
      </c>
      <c r="G452" s="147">
        <f>IF(D452-F452&gt;0.005,MIN(D452-F452,Mortgage!$B$18+IF(MONTH(B452)=Mortgage!$B$20,Mortgage!$B$19,0)+SUMIFS(Mortgage!$E$6:$E$15,Mortgage!$D$6:$D$15,"&gt;="&amp;B452,Mortgage!$D$6:$D$15,"&lt;"&amp;EDATE(B452,1))+IF(Mortgage!$B$10="Bi-weekly (accelerated)",Mortgage!$H$8/12,0)),0)</f>
        <v/>
      </c>
      <c r="H452" s="147">
        <f>F452+G452</f>
        <v/>
      </c>
      <c r="I452" s="148">
        <f>D452-H452</f>
        <v/>
      </c>
      <c r="J452" s="147">
        <f>E452+F452+G452</f>
        <v/>
      </c>
      <c r="K452" s="147">
        <f>IF(AND(D452&gt;0.005,Mortgage!$H$7&gt;0.8,D452/Mortgage!$B$5&gt;Mortgage!$B$14),Mortgage!$H$5*Mortgage!$B$13/12,0)</f>
        <v/>
      </c>
      <c r="L452" s="147">
        <f>IF(D452&gt;0.005,Mortgage!$B$11/12*(1+Mortgage!$B$16)^(C452-1),0)</f>
        <v/>
      </c>
      <c r="M452" s="147">
        <f>IF(D452&gt;0.005,Mortgage!$B$12/12*(1+Mortgage!$B$16)^(C452-1),0)</f>
        <v/>
      </c>
      <c r="N452" s="147">
        <f>IF(D452&gt;0.005,Mortgage!$B$15,0)</f>
        <v/>
      </c>
      <c r="O452" s="147">
        <f>J452+K452+L452+M452+N452</f>
        <v/>
      </c>
      <c r="P452" s="147">
        <f>P451+E452</f>
        <v/>
      </c>
      <c r="Q452" s="147">
        <f>IF(D452&gt;0.005,Mortgage!$B$5*(1+Mortgage!$B$17)^(A452/12),"")</f>
        <v/>
      </c>
      <c r="R452" s="147">
        <f>IF(D452&gt;0.005,Q452-I452,"")</f>
        <v/>
      </c>
      <c r="S452" s="147">
        <f>IF(A452&gt;Mortgage!$B$8*12,0,IF(Mortgage!$B$7=0,MAX(0,Mortgage!$H$5-Mortgage!$H$8*A452),MAX(0,Mortgage!$H$5*(1+(Mortgage!$B$7/12))^A452-Mortgage!$H$8*((1+(Mortgage!$B$7/12))^A452-1)/(Mortgage!$B$7/12))))</f>
        <v/>
      </c>
      <c r="T452" s="149">
        <f>IF(D452&gt;0.005,I452/Mortgage!$B$5,"")</f>
        <v/>
      </c>
      <c r="U452">
        <f>IF(A452&gt;Mortgage!$B$8*12,NA(),B452)</f>
        <v/>
      </c>
      <c r="V452">
        <f>IF(D452&gt;0.005,I452,NA())</f>
        <v/>
      </c>
      <c r="W452">
        <f>IF(A452&gt;Mortgage!$B$8*12,NA(),S452)</f>
        <v/>
      </c>
    </row>
    <row r="453">
      <c r="A453" s="129" t="n">
        <v>448</v>
      </c>
      <c r="B453" s="146">
        <f>EDATE(Mortgage!$B$9,A453-1)</f>
        <v/>
      </c>
      <c r="C453" s="129">
        <f>INT((A453-1)/12)+1</f>
        <v/>
      </c>
      <c r="D453" s="147">
        <f>IF(N(I452)&gt;0.005,I452,0)</f>
        <v/>
      </c>
      <c r="E453" s="147">
        <f>IF(D453&gt;0.005,D453*Mortgage!$B$7/12,0)</f>
        <v/>
      </c>
      <c r="F453" s="147">
        <f>IF(D453&gt;0.005,MIN(Mortgage!$H$8-E453,D453),0)</f>
        <v/>
      </c>
      <c r="G453" s="147">
        <f>IF(D453-F453&gt;0.005,MIN(D453-F453,Mortgage!$B$18+IF(MONTH(B453)=Mortgage!$B$20,Mortgage!$B$19,0)+SUMIFS(Mortgage!$E$6:$E$15,Mortgage!$D$6:$D$15,"&gt;="&amp;B453,Mortgage!$D$6:$D$15,"&lt;"&amp;EDATE(B453,1))+IF(Mortgage!$B$10="Bi-weekly (accelerated)",Mortgage!$H$8/12,0)),0)</f>
        <v/>
      </c>
      <c r="H453" s="147">
        <f>F453+G453</f>
        <v/>
      </c>
      <c r="I453" s="148">
        <f>D453-H453</f>
        <v/>
      </c>
      <c r="J453" s="147">
        <f>E453+F453+G453</f>
        <v/>
      </c>
      <c r="K453" s="147">
        <f>IF(AND(D453&gt;0.005,Mortgage!$H$7&gt;0.8,D453/Mortgage!$B$5&gt;Mortgage!$B$14),Mortgage!$H$5*Mortgage!$B$13/12,0)</f>
        <v/>
      </c>
      <c r="L453" s="147">
        <f>IF(D453&gt;0.005,Mortgage!$B$11/12*(1+Mortgage!$B$16)^(C453-1),0)</f>
        <v/>
      </c>
      <c r="M453" s="147">
        <f>IF(D453&gt;0.005,Mortgage!$B$12/12*(1+Mortgage!$B$16)^(C453-1),0)</f>
        <v/>
      </c>
      <c r="N453" s="147">
        <f>IF(D453&gt;0.005,Mortgage!$B$15,0)</f>
        <v/>
      </c>
      <c r="O453" s="147">
        <f>J453+K453+L453+M453+N453</f>
        <v/>
      </c>
      <c r="P453" s="147">
        <f>P452+E453</f>
        <v/>
      </c>
      <c r="Q453" s="147">
        <f>IF(D453&gt;0.005,Mortgage!$B$5*(1+Mortgage!$B$17)^(A453/12),"")</f>
        <v/>
      </c>
      <c r="R453" s="147">
        <f>IF(D453&gt;0.005,Q453-I453,"")</f>
        <v/>
      </c>
      <c r="S453" s="147">
        <f>IF(A453&gt;Mortgage!$B$8*12,0,IF(Mortgage!$B$7=0,MAX(0,Mortgage!$H$5-Mortgage!$H$8*A453),MAX(0,Mortgage!$H$5*(1+(Mortgage!$B$7/12))^A453-Mortgage!$H$8*((1+(Mortgage!$B$7/12))^A453-1)/(Mortgage!$B$7/12))))</f>
        <v/>
      </c>
      <c r="T453" s="149">
        <f>IF(D453&gt;0.005,I453/Mortgage!$B$5,"")</f>
        <v/>
      </c>
      <c r="U453">
        <f>IF(A453&gt;Mortgage!$B$8*12,NA(),B453)</f>
        <v/>
      </c>
      <c r="V453">
        <f>IF(D453&gt;0.005,I453,NA())</f>
        <v/>
      </c>
      <c r="W453">
        <f>IF(A453&gt;Mortgage!$B$8*12,NA(),S453)</f>
        <v/>
      </c>
    </row>
    <row r="454">
      <c r="A454" s="129" t="n">
        <v>449</v>
      </c>
      <c r="B454" s="146">
        <f>EDATE(Mortgage!$B$9,A454-1)</f>
        <v/>
      </c>
      <c r="C454" s="129">
        <f>INT((A454-1)/12)+1</f>
        <v/>
      </c>
      <c r="D454" s="147">
        <f>IF(N(I453)&gt;0.005,I453,0)</f>
        <v/>
      </c>
      <c r="E454" s="147">
        <f>IF(D454&gt;0.005,D454*Mortgage!$B$7/12,0)</f>
        <v/>
      </c>
      <c r="F454" s="147">
        <f>IF(D454&gt;0.005,MIN(Mortgage!$H$8-E454,D454),0)</f>
        <v/>
      </c>
      <c r="G454" s="147">
        <f>IF(D454-F454&gt;0.005,MIN(D454-F454,Mortgage!$B$18+IF(MONTH(B454)=Mortgage!$B$20,Mortgage!$B$19,0)+SUMIFS(Mortgage!$E$6:$E$15,Mortgage!$D$6:$D$15,"&gt;="&amp;B454,Mortgage!$D$6:$D$15,"&lt;"&amp;EDATE(B454,1))+IF(Mortgage!$B$10="Bi-weekly (accelerated)",Mortgage!$H$8/12,0)),0)</f>
        <v/>
      </c>
      <c r="H454" s="147">
        <f>F454+G454</f>
        <v/>
      </c>
      <c r="I454" s="148">
        <f>D454-H454</f>
        <v/>
      </c>
      <c r="J454" s="147">
        <f>E454+F454+G454</f>
        <v/>
      </c>
      <c r="K454" s="147">
        <f>IF(AND(D454&gt;0.005,Mortgage!$H$7&gt;0.8,D454/Mortgage!$B$5&gt;Mortgage!$B$14),Mortgage!$H$5*Mortgage!$B$13/12,0)</f>
        <v/>
      </c>
      <c r="L454" s="147">
        <f>IF(D454&gt;0.005,Mortgage!$B$11/12*(1+Mortgage!$B$16)^(C454-1),0)</f>
        <v/>
      </c>
      <c r="M454" s="147">
        <f>IF(D454&gt;0.005,Mortgage!$B$12/12*(1+Mortgage!$B$16)^(C454-1),0)</f>
        <v/>
      </c>
      <c r="N454" s="147">
        <f>IF(D454&gt;0.005,Mortgage!$B$15,0)</f>
        <v/>
      </c>
      <c r="O454" s="147">
        <f>J454+K454+L454+M454+N454</f>
        <v/>
      </c>
      <c r="P454" s="147">
        <f>P453+E454</f>
        <v/>
      </c>
      <c r="Q454" s="147">
        <f>IF(D454&gt;0.005,Mortgage!$B$5*(1+Mortgage!$B$17)^(A454/12),"")</f>
        <v/>
      </c>
      <c r="R454" s="147">
        <f>IF(D454&gt;0.005,Q454-I454,"")</f>
        <v/>
      </c>
      <c r="S454" s="147">
        <f>IF(A454&gt;Mortgage!$B$8*12,0,IF(Mortgage!$B$7=0,MAX(0,Mortgage!$H$5-Mortgage!$H$8*A454),MAX(0,Mortgage!$H$5*(1+(Mortgage!$B$7/12))^A454-Mortgage!$H$8*((1+(Mortgage!$B$7/12))^A454-1)/(Mortgage!$B$7/12))))</f>
        <v/>
      </c>
      <c r="T454" s="149">
        <f>IF(D454&gt;0.005,I454/Mortgage!$B$5,"")</f>
        <v/>
      </c>
      <c r="U454">
        <f>IF(A454&gt;Mortgage!$B$8*12,NA(),B454)</f>
        <v/>
      </c>
      <c r="V454">
        <f>IF(D454&gt;0.005,I454,NA())</f>
        <v/>
      </c>
      <c r="W454">
        <f>IF(A454&gt;Mortgage!$B$8*12,NA(),S454)</f>
        <v/>
      </c>
    </row>
    <row r="455">
      <c r="A455" s="129" t="n">
        <v>450</v>
      </c>
      <c r="B455" s="146">
        <f>EDATE(Mortgage!$B$9,A455-1)</f>
        <v/>
      </c>
      <c r="C455" s="129">
        <f>INT((A455-1)/12)+1</f>
        <v/>
      </c>
      <c r="D455" s="147">
        <f>IF(N(I454)&gt;0.005,I454,0)</f>
        <v/>
      </c>
      <c r="E455" s="147">
        <f>IF(D455&gt;0.005,D455*Mortgage!$B$7/12,0)</f>
        <v/>
      </c>
      <c r="F455" s="147">
        <f>IF(D455&gt;0.005,MIN(Mortgage!$H$8-E455,D455),0)</f>
        <v/>
      </c>
      <c r="G455" s="147">
        <f>IF(D455-F455&gt;0.005,MIN(D455-F455,Mortgage!$B$18+IF(MONTH(B455)=Mortgage!$B$20,Mortgage!$B$19,0)+SUMIFS(Mortgage!$E$6:$E$15,Mortgage!$D$6:$D$15,"&gt;="&amp;B455,Mortgage!$D$6:$D$15,"&lt;"&amp;EDATE(B455,1))+IF(Mortgage!$B$10="Bi-weekly (accelerated)",Mortgage!$H$8/12,0)),0)</f>
        <v/>
      </c>
      <c r="H455" s="147">
        <f>F455+G455</f>
        <v/>
      </c>
      <c r="I455" s="148">
        <f>D455-H455</f>
        <v/>
      </c>
      <c r="J455" s="147">
        <f>E455+F455+G455</f>
        <v/>
      </c>
      <c r="K455" s="147">
        <f>IF(AND(D455&gt;0.005,Mortgage!$H$7&gt;0.8,D455/Mortgage!$B$5&gt;Mortgage!$B$14),Mortgage!$H$5*Mortgage!$B$13/12,0)</f>
        <v/>
      </c>
      <c r="L455" s="147">
        <f>IF(D455&gt;0.005,Mortgage!$B$11/12*(1+Mortgage!$B$16)^(C455-1),0)</f>
        <v/>
      </c>
      <c r="M455" s="147">
        <f>IF(D455&gt;0.005,Mortgage!$B$12/12*(1+Mortgage!$B$16)^(C455-1),0)</f>
        <v/>
      </c>
      <c r="N455" s="147">
        <f>IF(D455&gt;0.005,Mortgage!$B$15,0)</f>
        <v/>
      </c>
      <c r="O455" s="147">
        <f>J455+K455+L455+M455+N455</f>
        <v/>
      </c>
      <c r="P455" s="147">
        <f>P454+E455</f>
        <v/>
      </c>
      <c r="Q455" s="147">
        <f>IF(D455&gt;0.005,Mortgage!$B$5*(1+Mortgage!$B$17)^(A455/12),"")</f>
        <v/>
      </c>
      <c r="R455" s="147">
        <f>IF(D455&gt;0.005,Q455-I455,"")</f>
        <v/>
      </c>
      <c r="S455" s="147">
        <f>IF(A455&gt;Mortgage!$B$8*12,0,IF(Mortgage!$B$7=0,MAX(0,Mortgage!$H$5-Mortgage!$H$8*A455),MAX(0,Mortgage!$H$5*(1+(Mortgage!$B$7/12))^A455-Mortgage!$H$8*((1+(Mortgage!$B$7/12))^A455-1)/(Mortgage!$B$7/12))))</f>
        <v/>
      </c>
      <c r="T455" s="149">
        <f>IF(D455&gt;0.005,I455/Mortgage!$B$5,"")</f>
        <v/>
      </c>
      <c r="U455">
        <f>IF(A455&gt;Mortgage!$B$8*12,NA(),B455)</f>
        <v/>
      </c>
      <c r="V455">
        <f>IF(D455&gt;0.005,I455,NA())</f>
        <v/>
      </c>
      <c r="W455">
        <f>IF(A455&gt;Mortgage!$B$8*12,NA(),S455)</f>
        <v/>
      </c>
    </row>
    <row r="456">
      <c r="A456" s="129" t="n">
        <v>451</v>
      </c>
      <c r="B456" s="146">
        <f>EDATE(Mortgage!$B$9,A456-1)</f>
        <v/>
      </c>
      <c r="C456" s="129">
        <f>INT((A456-1)/12)+1</f>
        <v/>
      </c>
      <c r="D456" s="147">
        <f>IF(N(I455)&gt;0.005,I455,0)</f>
        <v/>
      </c>
      <c r="E456" s="147">
        <f>IF(D456&gt;0.005,D456*Mortgage!$B$7/12,0)</f>
        <v/>
      </c>
      <c r="F456" s="147">
        <f>IF(D456&gt;0.005,MIN(Mortgage!$H$8-E456,D456),0)</f>
        <v/>
      </c>
      <c r="G456" s="147">
        <f>IF(D456-F456&gt;0.005,MIN(D456-F456,Mortgage!$B$18+IF(MONTH(B456)=Mortgage!$B$20,Mortgage!$B$19,0)+SUMIFS(Mortgage!$E$6:$E$15,Mortgage!$D$6:$D$15,"&gt;="&amp;B456,Mortgage!$D$6:$D$15,"&lt;"&amp;EDATE(B456,1))+IF(Mortgage!$B$10="Bi-weekly (accelerated)",Mortgage!$H$8/12,0)),0)</f>
        <v/>
      </c>
      <c r="H456" s="147">
        <f>F456+G456</f>
        <v/>
      </c>
      <c r="I456" s="148">
        <f>D456-H456</f>
        <v/>
      </c>
      <c r="J456" s="147">
        <f>E456+F456+G456</f>
        <v/>
      </c>
      <c r="K456" s="147">
        <f>IF(AND(D456&gt;0.005,Mortgage!$H$7&gt;0.8,D456/Mortgage!$B$5&gt;Mortgage!$B$14),Mortgage!$H$5*Mortgage!$B$13/12,0)</f>
        <v/>
      </c>
      <c r="L456" s="147">
        <f>IF(D456&gt;0.005,Mortgage!$B$11/12*(1+Mortgage!$B$16)^(C456-1),0)</f>
        <v/>
      </c>
      <c r="M456" s="147">
        <f>IF(D456&gt;0.005,Mortgage!$B$12/12*(1+Mortgage!$B$16)^(C456-1),0)</f>
        <v/>
      </c>
      <c r="N456" s="147">
        <f>IF(D456&gt;0.005,Mortgage!$B$15,0)</f>
        <v/>
      </c>
      <c r="O456" s="147">
        <f>J456+K456+L456+M456+N456</f>
        <v/>
      </c>
      <c r="P456" s="147">
        <f>P455+E456</f>
        <v/>
      </c>
      <c r="Q456" s="147">
        <f>IF(D456&gt;0.005,Mortgage!$B$5*(1+Mortgage!$B$17)^(A456/12),"")</f>
        <v/>
      </c>
      <c r="R456" s="147">
        <f>IF(D456&gt;0.005,Q456-I456,"")</f>
        <v/>
      </c>
      <c r="S456" s="147">
        <f>IF(A456&gt;Mortgage!$B$8*12,0,IF(Mortgage!$B$7=0,MAX(0,Mortgage!$H$5-Mortgage!$H$8*A456),MAX(0,Mortgage!$H$5*(1+(Mortgage!$B$7/12))^A456-Mortgage!$H$8*((1+(Mortgage!$B$7/12))^A456-1)/(Mortgage!$B$7/12))))</f>
        <v/>
      </c>
      <c r="T456" s="149">
        <f>IF(D456&gt;0.005,I456/Mortgage!$B$5,"")</f>
        <v/>
      </c>
      <c r="U456">
        <f>IF(A456&gt;Mortgage!$B$8*12,NA(),B456)</f>
        <v/>
      </c>
      <c r="V456">
        <f>IF(D456&gt;0.005,I456,NA())</f>
        <v/>
      </c>
      <c r="W456">
        <f>IF(A456&gt;Mortgage!$B$8*12,NA(),S456)</f>
        <v/>
      </c>
    </row>
    <row r="457">
      <c r="A457" s="129" t="n">
        <v>452</v>
      </c>
      <c r="B457" s="146">
        <f>EDATE(Mortgage!$B$9,A457-1)</f>
        <v/>
      </c>
      <c r="C457" s="129">
        <f>INT((A457-1)/12)+1</f>
        <v/>
      </c>
      <c r="D457" s="147">
        <f>IF(N(I456)&gt;0.005,I456,0)</f>
        <v/>
      </c>
      <c r="E457" s="147">
        <f>IF(D457&gt;0.005,D457*Mortgage!$B$7/12,0)</f>
        <v/>
      </c>
      <c r="F457" s="147">
        <f>IF(D457&gt;0.005,MIN(Mortgage!$H$8-E457,D457),0)</f>
        <v/>
      </c>
      <c r="G457" s="147">
        <f>IF(D457-F457&gt;0.005,MIN(D457-F457,Mortgage!$B$18+IF(MONTH(B457)=Mortgage!$B$20,Mortgage!$B$19,0)+SUMIFS(Mortgage!$E$6:$E$15,Mortgage!$D$6:$D$15,"&gt;="&amp;B457,Mortgage!$D$6:$D$15,"&lt;"&amp;EDATE(B457,1))+IF(Mortgage!$B$10="Bi-weekly (accelerated)",Mortgage!$H$8/12,0)),0)</f>
        <v/>
      </c>
      <c r="H457" s="147">
        <f>F457+G457</f>
        <v/>
      </c>
      <c r="I457" s="148">
        <f>D457-H457</f>
        <v/>
      </c>
      <c r="J457" s="147">
        <f>E457+F457+G457</f>
        <v/>
      </c>
      <c r="K457" s="147">
        <f>IF(AND(D457&gt;0.005,Mortgage!$H$7&gt;0.8,D457/Mortgage!$B$5&gt;Mortgage!$B$14),Mortgage!$H$5*Mortgage!$B$13/12,0)</f>
        <v/>
      </c>
      <c r="L457" s="147">
        <f>IF(D457&gt;0.005,Mortgage!$B$11/12*(1+Mortgage!$B$16)^(C457-1),0)</f>
        <v/>
      </c>
      <c r="M457" s="147">
        <f>IF(D457&gt;0.005,Mortgage!$B$12/12*(1+Mortgage!$B$16)^(C457-1),0)</f>
        <v/>
      </c>
      <c r="N457" s="147">
        <f>IF(D457&gt;0.005,Mortgage!$B$15,0)</f>
        <v/>
      </c>
      <c r="O457" s="147">
        <f>J457+K457+L457+M457+N457</f>
        <v/>
      </c>
      <c r="P457" s="147">
        <f>P456+E457</f>
        <v/>
      </c>
      <c r="Q457" s="147">
        <f>IF(D457&gt;0.005,Mortgage!$B$5*(1+Mortgage!$B$17)^(A457/12),"")</f>
        <v/>
      </c>
      <c r="R457" s="147">
        <f>IF(D457&gt;0.005,Q457-I457,"")</f>
        <v/>
      </c>
      <c r="S457" s="147">
        <f>IF(A457&gt;Mortgage!$B$8*12,0,IF(Mortgage!$B$7=0,MAX(0,Mortgage!$H$5-Mortgage!$H$8*A457),MAX(0,Mortgage!$H$5*(1+(Mortgage!$B$7/12))^A457-Mortgage!$H$8*((1+(Mortgage!$B$7/12))^A457-1)/(Mortgage!$B$7/12))))</f>
        <v/>
      </c>
      <c r="T457" s="149">
        <f>IF(D457&gt;0.005,I457/Mortgage!$B$5,"")</f>
        <v/>
      </c>
      <c r="U457">
        <f>IF(A457&gt;Mortgage!$B$8*12,NA(),B457)</f>
        <v/>
      </c>
      <c r="V457">
        <f>IF(D457&gt;0.005,I457,NA())</f>
        <v/>
      </c>
      <c r="W457">
        <f>IF(A457&gt;Mortgage!$B$8*12,NA(),S457)</f>
        <v/>
      </c>
    </row>
    <row r="458">
      <c r="A458" s="129" t="n">
        <v>453</v>
      </c>
      <c r="B458" s="146">
        <f>EDATE(Mortgage!$B$9,A458-1)</f>
        <v/>
      </c>
      <c r="C458" s="129">
        <f>INT((A458-1)/12)+1</f>
        <v/>
      </c>
      <c r="D458" s="147">
        <f>IF(N(I457)&gt;0.005,I457,0)</f>
        <v/>
      </c>
      <c r="E458" s="147">
        <f>IF(D458&gt;0.005,D458*Mortgage!$B$7/12,0)</f>
        <v/>
      </c>
      <c r="F458" s="147">
        <f>IF(D458&gt;0.005,MIN(Mortgage!$H$8-E458,D458),0)</f>
        <v/>
      </c>
      <c r="G458" s="147">
        <f>IF(D458-F458&gt;0.005,MIN(D458-F458,Mortgage!$B$18+IF(MONTH(B458)=Mortgage!$B$20,Mortgage!$B$19,0)+SUMIFS(Mortgage!$E$6:$E$15,Mortgage!$D$6:$D$15,"&gt;="&amp;B458,Mortgage!$D$6:$D$15,"&lt;"&amp;EDATE(B458,1))+IF(Mortgage!$B$10="Bi-weekly (accelerated)",Mortgage!$H$8/12,0)),0)</f>
        <v/>
      </c>
      <c r="H458" s="147">
        <f>F458+G458</f>
        <v/>
      </c>
      <c r="I458" s="148">
        <f>D458-H458</f>
        <v/>
      </c>
      <c r="J458" s="147">
        <f>E458+F458+G458</f>
        <v/>
      </c>
      <c r="K458" s="147">
        <f>IF(AND(D458&gt;0.005,Mortgage!$H$7&gt;0.8,D458/Mortgage!$B$5&gt;Mortgage!$B$14),Mortgage!$H$5*Mortgage!$B$13/12,0)</f>
        <v/>
      </c>
      <c r="L458" s="147">
        <f>IF(D458&gt;0.005,Mortgage!$B$11/12*(1+Mortgage!$B$16)^(C458-1),0)</f>
        <v/>
      </c>
      <c r="M458" s="147">
        <f>IF(D458&gt;0.005,Mortgage!$B$12/12*(1+Mortgage!$B$16)^(C458-1),0)</f>
        <v/>
      </c>
      <c r="N458" s="147">
        <f>IF(D458&gt;0.005,Mortgage!$B$15,0)</f>
        <v/>
      </c>
      <c r="O458" s="147">
        <f>J458+K458+L458+M458+N458</f>
        <v/>
      </c>
      <c r="P458" s="147">
        <f>P457+E458</f>
        <v/>
      </c>
      <c r="Q458" s="147">
        <f>IF(D458&gt;0.005,Mortgage!$B$5*(1+Mortgage!$B$17)^(A458/12),"")</f>
        <v/>
      </c>
      <c r="R458" s="147">
        <f>IF(D458&gt;0.005,Q458-I458,"")</f>
        <v/>
      </c>
      <c r="S458" s="147">
        <f>IF(A458&gt;Mortgage!$B$8*12,0,IF(Mortgage!$B$7=0,MAX(0,Mortgage!$H$5-Mortgage!$H$8*A458),MAX(0,Mortgage!$H$5*(1+(Mortgage!$B$7/12))^A458-Mortgage!$H$8*((1+(Mortgage!$B$7/12))^A458-1)/(Mortgage!$B$7/12))))</f>
        <v/>
      </c>
      <c r="T458" s="149">
        <f>IF(D458&gt;0.005,I458/Mortgage!$B$5,"")</f>
        <v/>
      </c>
      <c r="U458">
        <f>IF(A458&gt;Mortgage!$B$8*12,NA(),B458)</f>
        <v/>
      </c>
      <c r="V458">
        <f>IF(D458&gt;0.005,I458,NA())</f>
        <v/>
      </c>
      <c r="W458">
        <f>IF(A458&gt;Mortgage!$B$8*12,NA(),S458)</f>
        <v/>
      </c>
    </row>
    <row r="459">
      <c r="A459" s="129" t="n">
        <v>454</v>
      </c>
      <c r="B459" s="146">
        <f>EDATE(Mortgage!$B$9,A459-1)</f>
        <v/>
      </c>
      <c r="C459" s="129">
        <f>INT((A459-1)/12)+1</f>
        <v/>
      </c>
      <c r="D459" s="147">
        <f>IF(N(I458)&gt;0.005,I458,0)</f>
        <v/>
      </c>
      <c r="E459" s="147">
        <f>IF(D459&gt;0.005,D459*Mortgage!$B$7/12,0)</f>
        <v/>
      </c>
      <c r="F459" s="147">
        <f>IF(D459&gt;0.005,MIN(Mortgage!$H$8-E459,D459),0)</f>
        <v/>
      </c>
      <c r="G459" s="147">
        <f>IF(D459-F459&gt;0.005,MIN(D459-F459,Mortgage!$B$18+IF(MONTH(B459)=Mortgage!$B$20,Mortgage!$B$19,0)+SUMIFS(Mortgage!$E$6:$E$15,Mortgage!$D$6:$D$15,"&gt;="&amp;B459,Mortgage!$D$6:$D$15,"&lt;"&amp;EDATE(B459,1))+IF(Mortgage!$B$10="Bi-weekly (accelerated)",Mortgage!$H$8/12,0)),0)</f>
        <v/>
      </c>
      <c r="H459" s="147">
        <f>F459+G459</f>
        <v/>
      </c>
      <c r="I459" s="148">
        <f>D459-H459</f>
        <v/>
      </c>
      <c r="J459" s="147">
        <f>E459+F459+G459</f>
        <v/>
      </c>
      <c r="K459" s="147">
        <f>IF(AND(D459&gt;0.005,Mortgage!$H$7&gt;0.8,D459/Mortgage!$B$5&gt;Mortgage!$B$14),Mortgage!$H$5*Mortgage!$B$13/12,0)</f>
        <v/>
      </c>
      <c r="L459" s="147">
        <f>IF(D459&gt;0.005,Mortgage!$B$11/12*(1+Mortgage!$B$16)^(C459-1),0)</f>
        <v/>
      </c>
      <c r="M459" s="147">
        <f>IF(D459&gt;0.005,Mortgage!$B$12/12*(1+Mortgage!$B$16)^(C459-1),0)</f>
        <v/>
      </c>
      <c r="N459" s="147">
        <f>IF(D459&gt;0.005,Mortgage!$B$15,0)</f>
        <v/>
      </c>
      <c r="O459" s="147">
        <f>J459+K459+L459+M459+N459</f>
        <v/>
      </c>
      <c r="P459" s="147">
        <f>P458+E459</f>
        <v/>
      </c>
      <c r="Q459" s="147">
        <f>IF(D459&gt;0.005,Mortgage!$B$5*(1+Mortgage!$B$17)^(A459/12),"")</f>
        <v/>
      </c>
      <c r="R459" s="147">
        <f>IF(D459&gt;0.005,Q459-I459,"")</f>
        <v/>
      </c>
      <c r="S459" s="147">
        <f>IF(A459&gt;Mortgage!$B$8*12,0,IF(Mortgage!$B$7=0,MAX(0,Mortgage!$H$5-Mortgage!$H$8*A459),MAX(0,Mortgage!$H$5*(1+(Mortgage!$B$7/12))^A459-Mortgage!$H$8*((1+(Mortgage!$B$7/12))^A459-1)/(Mortgage!$B$7/12))))</f>
        <v/>
      </c>
      <c r="T459" s="149">
        <f>IF(D459&gt;0.005,I459/Mortgage!$B$5,"")</f>
        <v/>
      </c>
      <c r="U459">
        <f>IF(A459&gt;Mortgage!$B$8*12,NA(),B459)</f>
        <v/>
      </c>
      <c r="V459">
        <f>IF(D459&gt;0.005,I459,NA())</f>
        <v/>
      </c>
      <c r="W459">
        <f>IF(A459&gt;Mortgage!$B$8*12,NA(),S459)</f>
        <v/>
      </c>
    </row>
    <row r="460">
      <c r="A460" s="129" t="n">
        <v>455</v>
      </c>
      <c r="B460" s="146">
        <f>EDATE(Mortgage!$B$9,A460-1)</f>
        <v/>
      </c>
      <c r="C460" s="129">
        <f>INT((A460-1)/12)+1</f>
        <v/>
      </c>
      <c r="D460" s="147">
        <f>IF(N(I459)&gt;0.005,I459,0)</f>
        <v/>
      </c>
      <c r="E460" s="147">
        <f>IF(D460&gt;0.005,D460*Mortgage!$B$7/12,0)</f>
        <v/>
      </c>
      <c r="F460" s="147">
        <f>IF(D460&gt;0.005,MIN(Mortgage!$H$8-E460,D460),0)</f>
        <v/>
      </c>
      <c r="G460" s="147">
        <f>IF(D460-F460&gt;0.005,MIN(D460-F460,Mortgage!$B$18+IF(MONTH(B460)=Mortgage!$B$20,Mortgage!$B$19,0)+SUMIFS(Mortgage!$E$6:$E$15,Mortgage!$D$6:$D$15,"&gt;="&amp;B460,Mortgage!$D$6:$D$15,"&lt;"&amp;EDATE(B460,1))+IF(Mortgage!$B$10="Bi-weekly (accelerated)",Mortgage!$H$8/12,0)),0)</f>
        <v/>
      </c>
      <c r="H460" s="147">
        <f>F460+G460</f>
        <v/>
      </c>
      <c r="I460" s="148">
        <f>D460-H460</f>
        <v/>
      </c>
      <c r="J460" s="147">
        <f>E460+F460+G460</f>
        <v/>
      </c>
      <c r="K460" s="147">
        <f>IF(AND(D460&gt;0.005,Mortgage!$H$7&gt;0.8,D460/Mortgage!$B$5&gt;Mortgage!$B$14),Mortgage!$H$5*Mortgage!$B$13/12,0)</f>
        <v/>
      </c>
      <c r="L460" s="147">
        <f>IF(D460&gt;0.005,Mortgage!$B$11/12*(1+Mortgage!$B$16)^(C460-1),0)</f>
        <v/>
      </c>
      <c r="M460" s="147">
        <f>IF(D460&gt;0.005,Mortgage!$B$12/12*(1+Mortgage!$B$16)^(C460-1),0)</f>
        <v/>
      </c>
      <c r="N460" s="147">
        <f>IF(D460&gt;0.005,Mortgage!$B$15,0)</f>
        <v/>
      </c>
      <c r="O460" s="147">
        <f>J460+K460+L460+M460+N460</f>
        <v/>
      </c>
      <c r="P460" s="147">
        <f>P459+E460</f>
        <v/>
      </c>
      <c r="Q460" s="147">
        <f>IF(D460&gt;0.005,Mortgage!$B$5*(1+Mortgage!$B$17)^(A460/12),"")</f>
        <v/>
      </c>
      <c r="R460" s="147">
        <f>IF(D460&gt;0.005,Q460-I460,"")</f>
        <v/>
      </c>
      <c r="S460" s="147">
        <f>IF(A460&gt;Mortgage!$B$8*12,0,IF(Mortgage!$B$7=0,MAX(0,Mortgage!$H$5-Mortgage!$H$8*A460),MAX(0,Mortgage!$H$5*(1+(Mortgage!$B$7/12))^A460-Mortgage!$H$8*((1+(Mortgage!$B$7/12))^A460-1)/(Mortgage!$B$7/12))))</f>
        <v/>
      </c>
      <c r="T460" s="149">
        <f>IF(D460&gt;0.005,I460/Mortgage!$B$5,"")</f>
        <v/>
      </c>
      <c r="U460">
        <f>IF(A460&gt;Mortgage!$B$8*12,NA(),B460)</f>
        <v/>
      </c>
      <c r="V460">
        <f>IF(D460&gt;0.005,I460,NA())</f>
        <v/>
      </c>
      <c r="W460">
        <f>IF(A460&gt;Mortgage!$B$8*12,NA(),S460)</f>
        <v/>
      </c>
    </row>
    <row r="461">
      <c r="A461" s="129" t="n">
        <v>456</v>
      </c>
      <c r="B461" s="146">
        <f>EDATE(Mortgage!$B$9,A461-1)</f>
        <v/>
      </c>
      <c r="C461" s="129">
        <f>INT((A461-1)/12)+1</f>
        <v/>
      </c>
      <c r="D461" s="147">
        <f>IF(N(I460)&gt;0.005,I460,0)</f>
        <v/>
      </c>
      <c r="E461" s="147">
        <f>IF(D461&gt;0.005,D461*Mortgage!$B$7/12,0)</f>
        <v/>
      </c>
      <c r="F461" s="147">
        <f>IF(D461&gt;0.005,MIN(Mortgage!$H$8-E461,D461),0)</f>
        <v/>
      </c>
      <c r="G461" s="147">
        <f>IF(D461-F461&gt;0.005,MIN(D461-F461,Mortgage!$B$18+IF(MONTH(B461)=Mortgage!$B$20,Mortgage!$B$19,0)+SUMIFS(Mortgage!$E$6:$E$15,Mortgage!$D$6:$D$15,"&gt;="&amp;B461,Mortgage!$D$6:$D$15,"&lt;"&amp;EDATE(B461,1))+IF(Mortgage!$B$10="Bi-weekly (accelerated)",Mortgage!$H$8/12,0)),0)</f>
        <v/>
      </c>
      <c r="H461" s="147">
        <f>F461+G461</f>
        <v/>
      </c>
      <c r="I461" s="148">
        <f>D461-H461</f>
        <v/>
      </c>
      <c r="J461" s="147">
        <f>E461+F461+G461</f>
        <v/>
      </c>
      <c r="K461" s="147">
        <f>IF(AND(D461&gt;0.005,Mortgage!$H$7&gt;0.8,D461/Mortgage!$B$5&gt;Mortgage!$B$14),Mortgage!$H$5*Mortgage!$B$13/12,0)</f>
        <v/>
      </c>
      <c r="L461" s="147">
        <f>IF(D461&gt;0.005,Mortgage!$B$11/12*(1+Mortgage!$B$16)^(C461-1),0)</f>
        <v/>
      </c>
      <c r="M461" s="147">
        <f>IF(D461&gt;0.005,Mortgage!$B$12/12*(1+Mortgage!$B$16)^(C461-1),0)</f>
        <v/>
      </c>
      <c r="N461" s="147">
        <f>IF(D461&gt;0.005,Mortgage!$B$15,0)</f>
        <v/>
      </c>
      <c r="O461" s="147">
        <f>J461+K461+L461+M461+N461</f>
        <v/>
      </c>
      <c r="P461" s="147">
        <f>P460+E461</f>
        <v/>
      </c>
      <c r="Q461" s="147">
        <f>IF(D461&gt;0.005,Mortgage!$B$5*(1+Mortgage!$B$17)^(A461/12),"")</f>
        <v/>
      </c>
      <c r="R461" s="147">
        <f>IF(D461&gt;0.005,Q461-I461,"")</f>
        <v/>
      </c>
      <c r="S461" s="147">
        <f>IF(A461&gt;Mortgage!$B$8*12,0,IF(Mortgage!$B$7=0,MAX(0,Mortgage!$H$5-Mortgage!$H$8*A461),MAX(0,Mortgage!$H$5*(1+(Mortgage!$B$7/12))^A461-Mortgage!$H$8*((1+(Mortgage!$B$7/12))^A461-1)/(Mortgage!$B$7/12))))</f>
        <v/>
      </c>
      <c r="T461" s="149">
        <f>IF(D461&gt;0.005,I461/Mortgage!$B$5,"")</f>
        <v/>
      </c>
      <c r="U461">
        <f>IF(A461&gt;Mortgage!$B$8*12,NA(),B461)</f>
        <v/>
      </c>
      <c r="V461">
        <f>IF(D461&gt;0.005,I461,NA())</f>
        <v/>
      </c>
      <c r="W461">
        <f>IF(A461&gt;Mortgage!$B$8*12,NA(),S461)</f>
        <v/>
      </c>
    </row>
    <row r="462">
      <c r="A462" s="129" t="n">
        <v>457</v>
      </c>
      <c r="B462" s="146">
        <f>EDATE(Mortgage!$B$9,A462-1)</f>
        <v/>
      </c>
      <c r="C462" s="129">
        <f>INT((A462-1)/12)+1</f>
        <v/>
      </c>
      <c r="D462" s="147">
        <f>IF(N(I461)&gt;0.005,I461,0)</f>
        <v/>
      </c>
      <c r="E462" s="147">
        <f>IF(D462&gt;0.005,D462*Mortgage!$B$7/12,0)</f>
        <v/>
      </c>
      <c r="F462" s="147">
        <f>IF(D462&gt;0.005,MIN(Mortgage!$H$8-E462,D462),0)</f>
        <v/>
      </c>
      <c r="G462" s="147">
        <f>IF(D462-F462&gt;0.005,MIN(D462-F462,Mortgage!$B$18+IF(MONTH(B462)=Mortgage!$B$20,Mortgage!$B$19,0)+SUMIFS(Mortgage!$E$6:$E$15,Mortgage!$D$6:$D$15,"&gt;="&amp;B462,Mortgage!$D$6:$D$15,"&lt;"&amp;EDATE(B462,1))+IF(Mortgage!$B$10="Bi-weekly (accelerated)",Mortgage!$H$8/12,0)),0)</f>
        <v/>
      </c>
      <c r="H462" s="147">
        <f>F462+G462</f>
        <v/>
      </c>
      <c r="I462" s="148">
        <f>D462-H462</f>
        <v/>
      </c>
      <c r="J462" s="147">
        <f>E462+F462+G462</f>
        <v/>
      </c>
      <c r="K462" s="147">
        <f>IF(AND(D462&gt;0.005,Mortgage!$H$7&gt;0.8,D462/Mortgage!$B$5&gt;Mortgage!$B$14),Mortgage!$H$5*Mortgage!$B$13/12,0)</f>
        <v/>
      </c>
      <c r="L462" s="147">
        <f>IF(D462&gt;0.005,Mortgage!$B$11/12*(1+Mortgage!$B$16)^(C462-1),0)</f>
        <v/>
      </c>
      <c r="M462" s="147">
        <f>IF(D462&gt;0.005,Mortgage!$B$12/12*(1+Mortgage!$B$16)^(C462-1),0)</f>
        <v/>
      </c>
      <c r="N462" s="147">
        <f>IF(D462&gt;0.005,Mortgage!$B$15,0)</f>
        <v/>
      </c>
      <c r="O462" s="147">
        <f>J462+K462+L462+M462+N462</f>
        <v/>
      </c>
      <c r="P462" s="147">
        <f>P461+E462</f>
        <v/>
      </c>
      <c r="Q462" s="147">
        <f>IF(D462&gt;0.005,Mortgage!$B$5*(1+Mortgage!$B$17)^(A462/12),"")</f>
        <v/>
      </c>
      <c r="R462" s="147">
        <f>IF(D462&gt;0.005,Q462-I462,"")</f>
        <v/>
      </c>
      <c r="S462" s="147">
        <f>IF(A462&gt;Mortgage!$B$8*12,0,IF(Mortgage!$B$7=0,MAX(0,Mortgage!$H$5-Mortgage!$H$8*A462),MAX(0,Mortgage!$H$5*(1+(Mortgage!$B$7/12))^A462-Mortgage!$H$8*((1+(Mortgage!$B$7/12))^A462-1)/(Mortgage!$B$7/12))))</f>
        <v/>
      </c>
      <c r="T462" s="149">
        <f>IF(D462&gt;0.005,I462/Mortgage!$B$5,"")</f>
        <v/>
      </c>
      <c r="U462">
        <f>IF(A462&gt;Mortgage!$B$8*12,NA(),B462)</f>
        <v/>
      </c>
      <c r="V462">
        <f>IF(D462&gt;0.005,I462,NA())</f>
        <v/>
      </c>
      <c r="W462">
        <f>IF(A462&gt;Mortgage!$B$8*12,NA(),S462)</f>
        <v/>
      </c>
    </row>
    <row r="463">
      <c r="A463" s="129" t="n">
        <v>458</v>
      </c>
      <c r="B463" s="146">
        <f>EDATE(Mortgage!$B$9,A463-1)</f>
        <v/>
      </c>
      <c r="C463" s="129">
        <f>INT((A463-1)/12)+1</f>
        <v/>
      </c>
      <c r="D463" s="147">
        <f>IF(N(I462)&gt;0.005,I462,0)</f>
        <v/>
      </c>
      <c r="E463" s="147">
        <f>IF(D463&gt;0.005,D463*Mortgage!$B$7/12,0)</f>
        <v/>
      </c>
      <c r="F463" s="147">
        <f>IF(D463&gt;0.005,MIN(Mortgage!$H$8-E463,D463),0)</f>
        <v/>
      </c>
      <c r="G463" s="147">
        <f>IF(D463-F463&gt;0.005,MIN(D463-F463,Mortgage!$B$18+IF(MONTH(B463)=Mortgage!$B$20,Mortgage!$B$19,0)+SUMIFS(Mortgage!$E$6:$E$15,Mortgage!$D$6:$D$15,"&gt;="&amp;B463,Mortgage!$D$6:$D$15,"&lt;"&amp;EDATE(B463,1))+IF(Mortgage!$B$10="Bi-weekly (accelerated)",Mortgage!$H$8/12,0)),0)</f>
        <v/>
      </c>
      <c r="H463" s="147">
        <f>F463+G463</f>
        <v/>
      </c>
      <c r="I463" s="148">
        <f>D463-H463</f>
        <v/>
      </c>
      <c r="J463" s="147">
        <f>E463+F463+G463</f>
        <v/>
      </c>
      <c r="K463" s="147">
        <f>IF(AND(D463&gt;0.005,Mortgage!$H$7&gt;0.8,D463/Mortgage!$B$5&gt;Mortgage!$B$14),Mortgage!$H$5*Mortgage!$B$13/12,0)</f>
        <v/>
      </c>
      <c r="L463" s="147">
        <f>IF(D463&gt;0.005,Mortgage!$B$11/12*(1+Mortgage!$B$16)^(C463-1),0)</f>
        <v/>
      </c>
      <c r="M463" s="147">
        <f>IF(D463&gt;0.005,Mortgage!$B$12/12*(1+Mortgage!$B$16)^(C463-1),0)</f>
        <v/>
      </c>
      <c r="N463" s="147">
        <f>IF(D463&gt;0.005,Mortgage!$B$15,0)</f>
        <v/>
      </c>
      <c r="O463" s="147">
        <f>J463+K463+L463+M463+N463</f>
        <v/>
      </c>
      <c r="P463" s="147">
        <f>P462+E463</f>
        <v/>
      </c>
      <c r="Q463" s="147">
        <f>IF(D463&gt;0.005,Mortgage!$B$5*(1+Mortgage!$B$17)^(A463/12),"")</f>
        <v/>
      </c>
      <c r="R463" s="147">
        <f>IF(D463&gt;0.005,Q463-I463,"")</f>
        <v/>
      </c>
      <c r="S463" s="147">
        <f>IF(A463&gt;Mortgage!$B$8*12,0,IF(Mortgage!$B$7=0,MAX(0,Mortgage!$H$5-Mortgage!$H$8*A463),MAX(0,Mortgage!$H$5*(1+(Mortgage!$B$7/12))^A463-Mortgage!$H$8*((1+(Mortgage!$B$7/12))^A463-1)/(Mortgage!$B$7/12))))</f>
        <v/>
      </c>
      <c r="T463" s="149">
        <f>IF(D463&gt;0.005,I463/Mortgage!$B$5,"")</f>
        <v/>
      </c>
      <c r="U463">
        <f>IF(A463&gt;Mortgage!$B$8*12,NA(),B463)</f>
        <v/>
      </c>
      <c r="V463">
        <f>IF(D463&gt;0.005,I463,NA())</f>
        <v/>
      </c>
      <c r="W463">
        <f>IF(A463&gt;Mortgage!$B$8*12,NA(),S463)</f>
        <v/>
      </c>
    </row>
    <row r="464">
      <c r="A464" s="129" t="n">
        <v>459</v>
      </c>
      <c r="B464" s="146">
        <f>EDATE(Mortgage!$B$9,A464-1)</f>
        <v/>
      </c>
      <c r="C464" s="129">
        <f>INT((A464-1)/12)+1</f>
        <v/>
      </c>
      <c r="D464" s="147">
        <f>IF(N(I463)&gt;0.005,I463,0)</f>
        <v/>
      </c>
      <c r="E464" s="147">
        <f>IF(D464&gt;0.005,D464*Mortgage!$B$7/12,0)</f>
        <v/>
      </c>
      <c r="F464" s="147">
        <f>IF(D464&gt;0.005,MIN(Mortgage!$H$8-E464,D464),0)</f>
        <v/>
      </c>
      <c r="G464" s="147">
        <f>IF(D464-F464&gt;0.005,MIN(D464-F464,Mortgage!$B$18+IF(MONTH(B464)=Mortgage!$B$20,Mortgage!$B$19,0)+SUMIFS(Mortgage!$E$6:$E$15,Mortgage!$D$6:$D$15,"&gt;="&amp;B464,Mortgage!$D$6:$D$15,"&lt;"&amp;EDATE(B464,1))+IF(Mortgage!$B$10="Bi-weekly (accelerated)",Mortgage!$H$8/12,0)),0)</f>
        <v/>
      </c>
      <c r="H464" s="147">
        <f>F464+G464</f>
        <v/>
      </c>
      <c r="I464" s="148">
        <f>D464-H464</f>
        <v/>
      </c>
      <c r="J464" s="147">
        <f>E464+F464+G464</f>
        <v/>
      </c>
      <c r="K464" s="147">
        <f>IF(AND(D464&gt;0.005,Mortgage!$H$7&gt;0.8,D464/Mortgage!$B$5&gt;Mortgage!$B$14),Mortgage!$H$5*Mortgage!$B$13/12,0)</f>
        <v/>
      </c>
      <c r="L464" s="147">
        <f>IF(D464&gt;0.005,Mortgage!$B$11/12*(1+Mortgage!$B$16)^(C464-1),0)</f>
        <v/>
      </c>
      <c r="M464" s="147">
        <f>IF(D464&gt;0.005,Mortgage!$B$12/12*(1+Mortgage!$B$16)^(C464-1),0)</f>
        <v/>
      </c>
      <c r="N464" s="147">
        <f>IF(D464&gt;0.005,Mortgage!$B$15,0)</f>
        <v/>
      </c>
      <c r="O464" s="147">
        <f>J464+K464+L464+M464+N464</f>
        <v/>
      </c>
      <c r="P464" s="147">
        <f>P463+E464</f>
        <v/>
      </c>
      <c r="Q464" s="147">
        <f>IF(D464&gt;0.005,Mortgage!$B$5*(1+Mortgage!$B$17)^(A464/12),"")</f>
        <v/>
      </c>
      <c r="R464" s="147">
        <f>IF(D464&gt;0.005,Q464-I464,"")</f>
        <v/>
      </c>
      <c r="S464" s="147">
        <f>IF(A464&gt;Mortgage!$B$8*12,0,IF(Mortgage!$B$7=0,MAX(0,Mortgage!$H$5-Mortgage!$H$8*A464),MAX(0,Mortgage!$H$5*(1+(Mortgage!$B$7/12))^A464-Mortgage!$H$8*((1+(Mortgage!$B$7/12))^A464-1)/(Mortgage!$B$7/12))))</f>
        <v/>
      </c>
      <c r="T464" s="149">
        <f>IF(D464&gt;0.005,I464/Mortgage!$B$5,"")</f>
        <v/>
      </c>
      <c r="U464">
        <f>IF(A464&gt;Mortgage!$B$8*12,NA(),B464)</f>
        <v/>
      </c>
      <c r="V464">
        <f>IF(D464&gt;0.005,I464,NA())</f>
        <v/>
      </c>
      <c r="W464">
        <f>IF(A464&gt;Mortgage!$B$8*12,NA(),S464)</f>
        <v/>
      </c>
    </row>
    <row r="465">
      <c r="A465" s="129" t="n">
        <v>460</v>
      </c>
      <c r="B465" s="146">
        <f>EDATE(Mortgage!$B$9,A465-1)</f>
        <v/>
      </c>
      <c r="C465" s="129">
        <f>INT((A465-1)/12)+1</f>
        <v/>
      </c>
      <c r="D465" s="147">
        <f>IF(N(I464)&gt;0.005,I464,0)</f>
        <v/>
      </c>
      <c r="E465" s="147">
        <f>IF(D465&gt;0.005,D465*Mortgage!$B$7/12,0)</f>
        <v/>
      </c>
      <c r="F465" s="147">
        <f>IF(D465&gt;0.005,MIN(Mortgage!$H$8-E465,D465),0)</f>
        <v/>
      </c>
      <c r="G465" s="147">
        <f>IF(D465-F465&gt;0.005,MIN(D465-F465,Mortgage!$B$18+IF(MONTH(B465)=Mortgage!$B$20,Mortgage!$B$19,0)+SUMIFS(Mortgage!$E$6:$E$15,Mortgage!$D$6:$D$15,"&gt;="&amp;B465,Mortgage!$D$6:$D$15,"&lt;"&amp;EDATE(B465,1))+IF(Mortgage!$B$10="Bi-weekly (accelerated)",Mortgage!$H$8/12,0)),0)</f>
        <v/>
      </c>
      <c r="H465" s="147">
        <f>F465+G465</f>
        <v/>
      </c>
      <c r="I465" s="148">
        <f>D465-H465</f>
        <v/>
      </c>
      <c r="J465" s="147">
        <f>E465+F465+G465</f>
        <v/>
      </c>
      <c r="K465" s="147">
        <f>IF(AND(D465&gt;0.005,Mortgage!$H$7&gt;0.8,D465/Mortgage!$B$5&gt;Mortgage!$B$14),Mortgage!$H$5*Mortgage!$B$13/12,0)</f>
        <v/>
      </c>
      <c r="L465" s="147">
        <f>IF(D465&gt;0.005,Mortgage!$B$11/12*(1+Mortgage!$B$16)^(C465-1),0)</f>
        <v/>
      </c>
      <c r="M465" s="147">
        <f>IF(D465&gt;0.005,Mortgage!$B$12/12*(1+Mortgage!$B$16)^(C465-1),0)</f>
        <v/>
      </c>
      <c r="N465" s="147">
        <f>IF(D465&gt;0.005,Mortgage!$B$15,0)</f>
        <v/>
      </c>
      <c r="O465" s="147">
        <f>J465+K465+L465+M465+N465</f>
        <v/>
      </c>
      <c r="P465" s="147">
        <f>P464+E465</f>
        <v/>
      </c>
      <c r="Q465" s="147">
        <f>IF(D465&gt;0.005,Mortgage!$B$5*(1+Mortgage!$B$17)^(A465/12),"")</f>
        <v/>
      </c>
      <c r="R465" s="147">
        <f>IF(D465&gt;0.005,Q465-I465,"")</f>
        <v/>
      </c>
      <c r="S465" s="147">
        <f>IF(A465&gt;Mortgage!$B$8*12,0,IF(Mortgage!$B$7=0,MAX(0,Mortgage!$H$5-Mortgage!$H$8*A465),MAX(0,Mortgage!$H$5*(1+(Mortgage!$B$7/12))^A465-Mortgage!$H$8*((1+(Mortgage!$B$7/12))^A465-1)/(Mortgage!$B$7/12))))</f>
        <v/>
      </c>
      <c r="T465" s="149">
        <f>IF(D465&gt;0.005,I465/Mortgage!$B$5,"")</f>
        <v/>
      </c>
      <c r="U465">
        <f>IF(A465&gt;Mortgage!$B$8*12,NA(),B465)</f>
        <v/>
      </c>
      <c r="V465">
        <f>IF(D465&gt;0.005,I465,NA())</f>
        <v/>
      </c>
      <c r="W465">
        <f>IF(A465&gt;Mortgage!$B$8*12,NA(),S465)</f>
        <v/>
      </c>
    </row>
    <row r="466">
      <c r="A466" s="129" t="n">
        <v>461</v>
      </c>
      <c r="B466" s="146">
        <f>EDATE(Mortgage!$B$9,A466-1)</f>
        <v/>
      </c>
      <c r="C466" s="129">
        <f>INT((A466-1)/12)+1</f>
        <v/>
      </c>
      <c r="D466" s="147">
        <f>IF(N(I465)&gt;0.005,I465,0)</f>
        <v/>
      </c>
      <c r="E466" s="147">
        <f>IF(D466&gt;0.005,D466*Mortgage!$B$7/12,0)</f>
        <v/>
      </c>
      <c r="F466" s="147">
        <f>IF(D466&gt;0.005,MIN(Mortgage!$H$8-E466,D466),0)</f>
        <v/>
      </c>
      <c r="G466" s="147">
        <f>IF(D466-F466&gt;0.005,MIN(D466-F466,Mortgage!$B$18+IF(MONTH(B466)=Mortgage!$B$20,Mortgage!$B$19,0)+SUMIFS(Mortgage!$E$6:$E$15,Mortgage!$D$6:$D$15,"&gt;="&amp;B466,Mortgage!$D$6:$D$15,"&lt;"&amp;EDATE(B466,1))+IF(Mortgage!$B$10="Bi-weekly (accelerated)",Mortgage!$H$8/12,0)),0)</f>
        <v/>
      </c>
      <c r="H466" s="147">
        <f>F466+G466</f>
        <v/>
      </c>
      <c r="I466" s="148">
        <f>D466-H466</f>
        <v/>
      </c>
      <c r="J466" s="147">
        <f>E466+F466+G466</f>
        <v/>
      </c>
      <c r="K466" s="147">
        <f>IF(AND(D466&gt;0.005,Mortgage!$H$7&gt;0.8,D466/Mortgage!$B$5&gt;Mortgage!$B$14),Mortgage!$H$5*Mortgage!$B$13/12,0)</f>
        <v/>
      </c>
      <c r="L466" s="147">
        <f>IF(D466&gt;0.005,Mortgage!$B$11/12*(1+Mortgage!$B$16)^(C466-1),0)</f>
        <v/>
      </c>
      <c r="M466" s="147">
        <f>IF(D466&gt;0.005,Mortgage!$B$12/12*(1+Mortgage!$B$16)^(C466-1),0)</f>
        <v/>
      </c>
      <c r="N466" s="147">
        <f>IF(D466&gt;0.005,Mortgage!$B$15,0)</f>
        <v/>
      </c>
      <c r="O466" s="147">
        <f>J466+K466+L466+M466+N466</f>
        <v/>
      </c>
      <c r="P466" s="147">
        <f>P465+E466</f>
        <v/>
      </c>
      <c r="Q466" s="147">
        <f>IF(D466&gt;0.005,Mortgage!$B$5*(1+Mortgage!$B$17)^(A466/12),"")</f>
        <v/>
      </c>
      <c r="R466" s="147">
        <f>IF(D466&gt;0.005,Q466-I466,"")</f>
        <v/>
      </c>
      <c r="S466" s="147">
        <f>IF(A466&gt;Mortgage!$B$8*12,0,IF(Mortgage!$B$7=0,MAX(0,Mortgage!$H$5-Mortgage!$H$8*A466),MAX(0,Mortgage!$H$5*(1+(Mortgage!$B$7/12))^A466-Mortgage!$H$8*((1+(Mortgage!$B$7/12))^A466-1)/(Mortgage!$B$7/12))))</f>
        <v/>
      </c>
      <c r="T466" s="149">
        <f>IF(D466&gt;0.005,I466/Mortgage!$B$5,"")</f>
        <v/>
      </c>
      <c r="U466">
        <f>IF(A466&gt;Mortgage!$B$8*12,NA(),B466)</f>
        <v/>
      </c>
      <c r="V466">
        <f>IF(D466&gt;0.005,I466,NA())</f>
        <v/>
      </c>
      <c r="W466">
        <f>IF(A466&gt;Mortgage!$B$8*12,NA(),S466)</f>
        <v/>
      </c>
    </row>
    <row r="467">
      <c r="A467" s="129" t="n">
        <v>462</v>
      </c>
      <c r="B467" s="146">
        <f>EDATE(Mortgage!$B$9,A467-1)</f>
        <v/>
      </c>
      <c r="C467" s="129">
        <f>INT((A467-1)/12)+1</f>
        <v/>
      </c>
      <c r="D467" s="147">
        <f>IF(N(I466)&gt;0.005,I466,0)</f>
        <v/>
      </c>
      <c r="E467" s="147">
        <f>IF(D467&gt;0.005,D467*Mortgage!$B$7/12,0)</f>
        <v/>
      </c>
      <c r="F467" s="147">
        <f>IF(D467&gt;0.005,MIN(Mortgage!$H$8-E467,D467),0)</f>
        <v/>
      </c>
      <c r="G467" s="147">
        <f>IF(D467-F467&gt;0.005,MIN(D467-F467,Mortgage!$B$18+IF(MONTH(B467)=Mortgage!$B$20,Mortgage!$B$19,0)+SUMIFS(Mortgage!$E$6:$E$15,Mortgage!$D$6:$D$15,"&gt;="&amp;B467,Mortgage!$D$6:$D$15,"&lt;"&amp;EDATE(B467,1))+IF(Mortgage!$B$10="Bi-weekly (accelerated)",Mortgage!$H$8/12,0)),0)</f>
        <v/>
      </c>
      <c r="H467" s="147">
        <f>F467+G467</f>
        <v/>
      </c>
      <c r="I467" s="148">
        <f>D467-H467</f>
        <v/>
      </c>
      <c r="J467" s="147">
        <f>E467+F467+G467</f>
        <v/>
      </c>
      <c r="K467" s="147">
        <f>IF(AND(D467&gt;0.005,Mortgage!$H$7&gt;0.8,D467/Mortgage!$B$5&gt;Mortgage!$B$14),Mortgage!$H$5*Mortgage!$B$13/12,0)</f>
        <v/>
      </c>
      <c r="L467" s="147">
        <f>IF(D467&gt;0.005,Mortgage!$B$11/12*(1+Mortgage!$B$16)^(C467-1),0)</f>
        <v/>
      </c>
      <c r="M467" s="147">
        <f>IF(D467&gt;0.005,Mortgage!$B$12/12*(1+Mortgage!$B$16)^(C467-1),0)</f>
        <v/>
      </c>
      <c r="N467" s="147">
        <f>IF(D467&gt;0.005,Mortgage!$B$15,0)</f>
        <v/>
      </c>
      <c r="O467" s="147">
        <f>J467+K467+L467+M467+N467</f>
        <v/>
      </c>
      <c r="P467" s="147">
        <f>P466+E467</f>
        <v/>
      </c>
      <c r="Q467" s="147">
        <f>IF(D467&gt;0.005,Mortgage!$B$5*(1+Mortgage!$B$17)^(A467/12),"")</f>
        <v/>
      </c>
      <c r="R467" s="147">
        <f>IF(D467&gt;0.005,Q467-I467,"")</f>
        <v/>
      </c>
      <c r="S467" s="147">
        <f>IF(A467&gt;Mortgage!$B$8*12,0,IF(Mortgage!$B$7=0,MAX(0,Mortgage!$H$5-Mortgage!$H$8*A467),MAX(0,Mortgage!$H$5*(1+(Mortgage!$B$7/12))^A467-Mortgage!$H$8*((1+(Mortgage!$B$7/12))^A467-1)/(Mortgage!$B$7/12))))</f>
        <v/>
      </c>
      <c r="T467" s="149">
        <f>IF(D467&gt;0.005,I467/Mortgage!$B$5,"")</f>
        <v/>
      </c>
      <c r="U467">
        <f>IF(A467&gt;Mortgage!$B$8*12,NA(),B467)</f>
        <v/>
      </c>
      <c r="V467">
        <f>IF(D467&gt;0.005,I467,NA())</f>
        <v/>
      </c>
      <c r="W467">
        <f>IF(A467&gt;Mortgage!$B$8*12,NA(),S467)</f>
        <v/>
      </c>
    </row>
    <row r="468">
      <c r="A468" s="129" t="n">
        <v>463</v>
      </c>
      <c r="B468" s="146">
        <f>EDATE(Mortgage!$B$9,A468-1)</f>
        <v/>
      </c>
      <c r="C468" s="129">
        <f>INT((A468-1)/12)+1</f>
        <v/>
      </c>
      <c r="D468" s="147">
        <f>IF(N(I467)&gt;0.005,I467,0)</f>
        <v/>
      </c>
      <c r="E468" s="147">
        <f>IF(D468&gt;0.005,D468*Mortgage!$B$7/12,0)</f>
        <v/>
      </c>
      <c r="F468" s="147">
        <f>IF(D468&gt;0.005,MIN(Mortgage!$H$8-E468,D468),0)</f>
        <v/>
      </c>
      <c r="G468" s="147">
        <f>IF(D468-F468&gt;0.005,MIN(D468-F468,Mortgage!$B$18+IF(MONTH(B468)=Mortgage!$B$20,Mortgage!$B$19,0)+SUMIFS(Mortgage!$E$6:$E$15,Mortgage!$D$6:$D$15,"&gt;="&amp;B468,Mortgage!$D$6:$D$15,"&lt;"&amp;EDATE(B468,1))+IF(Mortgage!$B$10="Bi-weekly (accelerated)",Mortgage!$H$8/12,0)),0)</f>
        <v/>
      </c>
      <c r="H468" s="147">
        <f>F468+G468</f>
        <v/>
      </c>
      <c r="I468" s="148">
        <f>D468-H468</f>
        <v/>
      </c>
      <c r="J468" s="147">
        <f>E468+F468+G468</f>
        <v/>
      </c>
      <c r="K468" s="147">
        <f>IF(AND(D468&gt;0.005,Mortgage!$H$7&gt;0.8,D468/Mortgage!$B$5&gt;Mortgage!$B$14),Mortgage!$H$5*Mortgage!$B$13/12,0)</f>
        <v/>
      </c>
      <c r="L468" s="147">
        <f>IF(D468&gt;0.005,Mortgage!$B$11/12*(1+Mortgage!$B$16)^(C468-1),0)</f>
        <v/>
      </c>
      <c r="M468" s="147">
        <f>IF(D468&gt;0.005,Mortgage!$B$12/12*(1+Mortgage!$B$16)^(C468-1),0)</f>
        <v/>
      </c>
      <c r="N468" s="147">
        <f>IF(D468&gt;0.005,Mortgage!$B$15,0)</f>
        <v/>
      </c>
      <c r="O468" s="147">
        <f>J468+K468+L468+M468+N468</f>
        <v/>
      </c>
      <c r="P468" s="147">
        <f>P467+E468</f>
        <v/>
      </c>
      <c r="Q468" s="147">
        <f>IF(D468&gt;0.005,Mortgage!$B$5*(1+Mortgage!$B$17)^(A468/12),"")</f>
        <v/>
      </c>
      <c r="R468" s="147">
        <f>IF(D468&gt;0.005,Q468-I468,"")</f>
        <v/>
      </c>
      <c r="S468" s="147">
        <f>IF(A468&gt;Mortgage!$B$8*12,0,IF(Mortgage!$B$7=0,MAX(0,Mortgage!$H$5-Mortgage!$H$8*A468),MAX(0,Mortgage!$H$5*(1+(Mortgage!$B$7/12))^A468-Mortgage!$H$8*((1+(Mortgage!$B$7/12))^A468-1)/(Mortgage!$B$7/12))))</f>
        <v/>
      </c>
      <c r="T468" s="149">
        <f>IF(D468&gt;0.005,I468/Mortgage!$B$5,"")</f>
        <v/>
      </c>
      <c r="U468">
        <f>IF(A468&gt;Mortgage!$B$8*12,NA(),B468)</f>
        <v/>
      </c>
      <c r="V468">
        <f>IF(D468&gt;0.005,I468,NA())</f>
        <v/>
      </c>
      <c r="W468">
        <f>IF(A468&gt;Mortgage!$B$8*12,NA(),S468)</f>
        <v/>
      </c>
    </row>
    <row r="469">
      <c r="A469" s="129" t="n">
        <v>464</v>
      </c>
      <c r="B469" s="146">
        <f>EDATE(Mortgage!$B$9,A469-1)</f>
        <v/>
      </c>
      <c r="C469" s="129">
        <f>INT((A469-1)/12)+1</f>
        <v/>
      </c>
      <c r="D469" s="147">
        <f>IF(N(I468)&gt;0.005,I468,0)</f>
        <v/>
      </c>
      <c r="E469" s="147">
        <f>IF(D469&gt;0.005,D469*Mortgage!$B$7/12,0)</f>
        <v/>
      </c>
      <c r="F469" s="147">
        <f>IF(D469&gt;0.005,MIN(Mortgage!$H$8-E469,D469),0)</f>
        <v/>
      </c>
      <c r="G469" s="147">
        <f>IF(D469-F469&gt;0.005,MIN(D469-F469,Mortgage!$B$18+IF(MONTH(B469)=Mortgage!$B$20,Mortgage!$B$19,0)+SUMIFS(Mortgage!$E$6:$E$15,Mortgage!$D$6:$D$15,"&gt;="&amp;B469,Mortgage!$D$6:$D$15,"&lt;"&amp;EDATE(B469,1))+IF(Mortgage!$B$10="Bi-weekly (accelerated)",Mortgage!$H$8/12,0)),0)</f>
        <v/>
      </c>
      <c r="H469" s="147">
        <f>F469+G469</f>
        <v/>
      </c>
      <c r="I469" s="148">
        <f>D469-H469</f>
        <v/>
      </c>
      <c r="J469" s="147">
        <f>E469+F469+G469</f>
        <v/>
      </c>
      <c r="K469" s="147">
        <f>IF(AND(D469&gt;0.005,Mortgage!$H$7&gt;0.8,D469/Mortgage!$B$5&gt;Mortgage!$B$14),Mortgage!$H$5*Mortgage!$B$13/12,0)</f>
        <v/>
      </c>
      <c r="L469" s="147">
        <f>IF(D469&gt;0.005,Mortgage!$B$11/12*(1+Mortgage!$B$16)^(C469-1),0)</f>
        <v/>
      </c>
      <c r="M469" s="147">
        <f>IF(D469&gt;0.005,Mortgage!$B$12/12*(1+Mortgage!$B$16)^(C469-1),0)</f>
        <v/>
      </c>
      <c r="N469" s="147">
        <f>IF(D469&gt;0.005,Mortgage!$B$15,0)</f>
        <v/>
      </c>
      <c r="O469" s="147">
        <f>J469+K469+L469+M469+N469</f>
        <v/>
      </c>
      <c r="P469" s="147">
        <f>P468+E469</f>
        <v/>
      </c>
      <c r="Q469" s="147">
        <f>IF(D469&gt;0.005,Mortgage!$B$5*(1+Mortgage!$B$17)^(A469/12),"")</f>
        <v/>
      </c>
      <c r="R469" s="147">
        <f>IF(D469&gt;0.005,Q469-I469,"")</f>
        <v/>
      </c>
      <c r="S469" s="147">
        <f>IF(A469&gt;Mortgage!$B$8*12,0,IF(Mortgage!$B$7=0,MAX(0,Mortgage!$H$5-Mortgage!$H$8*A469),MAX(0,Mortgage!$H$5*(1+(Mortgage!$B$7/12))^A469-Mortgage!$H$8*((1+(Mortgage!$B$7/12))^A469-1)/(Mortgage!$B$7/12))))</f>
        <v/>
      </c>
      <c r="T469" s="149">
        <f>IF(D469&gt;0.005,I469/Mortgage!$B$5,"")</f>
        <v/>
      </c>
      <c r="U469">
        <f>IF(A469&gt;Mortgage!$B$8*12,NA(),B469)</f>
        <v/>
      </c>
      <c r="V469">
        <f>IF(D469&gt;0.005,I469,NA())</f>
        <v/>
      </c>
      <c r="W469">
        <f>IF(A469&gt;Mortgage!$B$8*12,NA(),S469)</f>
        <v/>
      </c>
    </row>
    <row r="470">
      <c r="A470" s="129" t="n">
        <v>465</v>
      </c>
      <c r="B470" s="146">
        <f>EDATE(Mortgage!$B$9,A470-1)</f>
        <v/>
      </c>
      <c r="C470" s="129">
        <f>INT((A470-1)/12)+1</f>
        <v/>
      </c>
      <c r="D470" s="147">
        <f>IF(N(I469)&gt;0.005,I469,0)</f>
        <v/>
      </c>
      <c r="E470" s="147">
        <f>IF(D470&gt;0.005,D470*Mortgage!$B$7/12,0)</f>
        <v/>
      </c>
      <c r="F470" s="147">
        <f>IF(D470&gt;0.005,MIN(Mortgage!$H$8-E470,D470),0)</f>
        <v/>
      </c>
      <c r="G470" s="147">
        <f>IF(D470-F470&gt;0.005,MIN(D470-F470,Mortgage!$B$18+IF(MONTH(B470)=Mortgage!$B$20,Mortgage!$B$19,0)+SUMIFS(Mortgage!$E$6:$E$15,Mortgage!$D$6:$D$15,"&gt;="&amp;B470,Mortgage!$D$6:$D$15,"&lt;"&amp;EDATE(B470,1))+IF(Mortgage!$B$10="Bi-weekly (accelerated)",Mortgage!$H$8/12,0)),0)</f>
        <v/>
      </c>
      <c r="H470" s="147">
        <f>F470+G470</f>
        <v/>
      </c>
      <c r="I470" s="148">
        <f>D470-H470</f>
        <v/>
      </c>
      <c r="J470" s="147">
        <f>E470+F470+G470</f>
        <v/>
      </c>
      <c r="K470" s="147">
        <f>IF(AND(D470&gt;0.005,Mortgage!$H$7&gt;0.8,D470/Mortgage!$B$5&gt;Mortgage!$B$14),Mortgage!$H$5*Mortgage!$B$13/12,0)</f>
        <v/>
      </c>
      <c r="L470" s="147">
        <f>IF(D470&gt;0.005,Mortgage!$B$11/12*(1+Mortgage!$B$16)^(C470-1),0)</f>
        <v/>
      </c>
      <c r="M470" s="147">
        <f>IF(D470&gt;0.005,Mortgage!$B$12/12*(1+Mortgage!$B$16)^(C470-1),0)</f>
        <v/>
      </c>
      <c r="N470" s="147">
        <f>IF(D470&gt;0.005,Mortgage!$B$15,0)</f>
        <v/>
      </c>
      <c r="O470" s="147">
        <f>J470+K470+L470+M470+N470</f>
        <v/>
      </c>
      <c r="P470" s="147">
        <f>P469+E470</f>
        <v/>
      </c>
      <c r="Q470" s="147">
        <f>IF(D470&gt;0.005,Mortgage!$B$5*(1+Mortgage!$B$17)^(A470/12),"")</f>
        <v/>
      </c>
      <c r="R470" s="147">
        <f>IF(D470&gt;0.005,Q470-I470,"")</f>
        <v/>
      </c>
      <c r="S470" s="147">
        <f>IF(A470&gt;Mortgage!$B$8*12,0,IF(Mortgage!$B$7=0,MAX(0,Mortgage!$H$5-Mortgage!$H$8*A470),MAX(0,Mortgage!$H$5*(1+(Mortgage!$B$7/12))^A470-Mortgage!$H$8*((1+(Mortgage!$B$7/12))^A470-1)/(Mortgage!$B$7/12))))</f>
        <v/>
      </c>
      <c r="T470" s="149">
        <f>IF(D470&gt;0.005,I470/Mortgage!$B$5,"")</f>
        <v/>
      </c>
      <c r="U470">
        <f>IF(A470&gt;Mortgage!$B$8*12,NA(),B470)</f>
        <v/>
      </c>
      <c r="V470">
        <f>IF(D470&gt;0.005,I470,NA())</f>
        <v/>
      </c>
      <c r="W470">
        <f>IF(A470&gt;Mortgage!$B$8*12,NA(),S470)</f>
        <v/>
      </c>
    </row>
    <row r="471">
      <c r="A471" s="129" t="n">
        <v>466</v>
      </c>
      <c r="B471" s="146">
        <f>EDATE(Mortgage!$B$9,A471-1)</f>
        <v/>
      </c>
      <c r="C471" s="129">
        <f>INT((A471-1)/12)+1</f>
        <v/>
      </c>
      <c r="D471" s="147">
        <f>IF(N(I470)&gt;0.005,I470,0)</f>
        <v/>
      </c>
      <c r="E471" s="147">
        <f>IF(D471&gt;0.005,D471*Mortgage!$B$7/12,0)</f>
        <v/>
      </c>
      <c r="F471" s="147">
        <f>IF(D471&gt;0.005,MIN(Mortgage!$H$8-E471,D471),0)</f>
        <v/>
      </c>
      <c r="G471" s="147">
        <f>IF(D471-F471&gt;0.005,MIN(D471-F471,Mortgage!$B$18+IF(MONTH(B471)=Mortgage!$B$20,Mortgage!$B$19,0)+SUMIFS(Mortgage!$E$6:$E$15,Mortgage!$D$6:$D$15,"&gt;="&amp;B471,Mortgage!$D$6:$D$15,"&lt;"&amp;EDATE(B471,1))+IF(Mortgage!$B$10="Bi-weekly (accelerated)",Mortgage!$H$8/12,0)),0)</f>
        <v/>
      </c>
      <c r="H471" s="147">
        <f>F471+G471</f>
        <v/>
      </c>
      <c r="I471" s="148">
        <f>D471-H471</f>
        <v/>
      </c>
      <c r="J471" s="147">
        <f>E471+F471+G471</f>
        <v/>
      </c>
      <c r="K471" s="147">
        <f>IF(AND(D471&gt;0.005,Mortgage!$H$7&gt;0.8,D471/Mortgage!$B$5&gt;Mortgage!$B$14),Mortgage!$H$5*Mortgage!$B$13/12,0)</f>
        <v/>
      </c>
      <c r="L471" s="147">
        <f>IF(D471&gt;0.005,Mortgage!$B$11/12*(1+Mortgage!$B$16)^(C471-1),0)</f>
        <v/>
      </c>
      <c r="M471" s="147">
        <f>IF(D471&gt;0.005,Mortgage!$B$12/12*(1+Mortgage!$B$16)^(C471-1),0)</f>
        <v/>
      </c>
      <c r="N471" s="147">
        <f>IF(D471&gt;0.005,Mortgage!$B$15,0)</f>
        <v/>
      </c>
      <c r="O471" s="147">
        <f>J471+K471+L471+M471+N471</f>
        <v/>
      </c>
      <c r="P471" s="147">
        <f>P470+E471</f>
        <v/>
      </c>
      <c r="Q471" s="147">
        <f>IF(D471&gt;0.005,Mortgage!$B$5*(1+Mortgage!$B$17)^(A471/12),"")</f>
        <v/>
      </c>
      <c r="R471" s="147">
        <f>IF(D471&gt;0.005,Q471-I471,"")</f>
        <v/>
      </c>
      <c r="S471" s="147">
        <f>IF(A471&gt;Mortgage!$B$8*12,0,IF(Mortgage!$B$7=0,MAX(0,Mortgage!$H$5-Mortgage!$H$8*A471),MAX(0,Mortgage!$H$5*(1+(Mortgage!$B$7/12))^A471-Mortgage!$H$8*((1+(Mortgage!$B$7/12))^A471-1)/(Mortgage!$B$7/12))))</f>
        <v/>
      </c>
      <c r="T471" s="149">
        <f>IF(D471&gt;0.005,I471/Mortgage!$B$5,"")</f>
        <v/>
      </c>
      <c r="U471">
        <f>IF(A471&gt;Mortgage!$B$8*12,NA(),B471)</f>
        <v/>
      </c>
      <c r="V471">
        <f>IF(D471&gt;0.005,I471,NA())</f>
        <v/>
      </c>
      <c r="W471">
        <f>IF(A471&gt;Mortgage!$B$8*12,NA(),S471)</f>
        <v/>
      </c>
    </row>
    <row r="472">
      <c r="A472" s="129" t="n">
        <v>467</v>
      </c>
      <c r="B472" s="146">
        <f>EDATE(Mortgage!$B$9,A472-1)</f>
        <v/>
      </c>
      <c r="C472" s="129">
        <f>INT((A472-1)/12)+1</f>
        <v/>
      </c>
      <c r="D472" s="147">
        <f>IF(N(I471)&gt;0.005,I471,0)</f>
        <v/>
      </c>
      <c r="E472" s="147">
        <f>IF(D472&gt;0.005,D472*Mortgage!$B$7/12,0)</f>
        <v/>
      </c>
      <c r="F472" s="147">
        <f>IF(D472&gt;0.005,MIN(Mortgage!$H$8-E472,D472),0)</f>
        <v/>
      </c>
      <c r="G472" s="147">
        <f>IF(D472-F472&gt;0.005,MIN(D472-F472,Mortgage!$B$18+IF(MONTH(B472)=Mortgage!$B$20,Mortgage!$B$19,0)+SUMIFS(Mortgage!$E$6:$E$15,Mortgage!$D$6:$D$15,"&gt;="&amp;B472,Mortgage!$D$6:$D$15,"&lt;"&amp;EDATE(B472,1))+IF(Mortgage!$B$10="Bi-weekly (accelerated)",Mortgage!$H$8/12,0)),0)</f>
        <v/>
      </c>
      <c r="H472" s="147">
        <f>F472+G472</f>
        <v/>
      </c>
      <c r="I472" s="148">
        <f>D472-H472</f>
        <v/>
      </c>
      <c r="J472" s="147">
        <f>E472+F472+G472</f>
        <v/>
      </c>
      <c r="K472" s="147">
        <f>IF(AND(D472&gt;0.005,Mortgage!$H$7&gt;0.8,D472/Mortgage!$B$5&gt;Mortgage!$B$14),Mortgage!$H$5*Mortgage!$B$13/12,0)</f>
        <v/>
      </c>
      <c r="L472" s="147">
        <f>IF(D472&gt;0.005,Mortgage!$B$11/12*(1+Mortgage!$B$16)^(C472-1),0)</f>
        <v/>
      </c>
      <c r="M472" s="147">
        <f>IF(D472&gt;0.005,Mortgage!$B$12/12*(1+Mortgage!$B$16)^(C472-1),0)</f>
        <v/>
      </c>
      <c r="N472" s="147">
        <f>IF(D472&gt;0.005,Mortgage!$B$15,0)</f>
        <v/>
      </c>
      <c r="O472" s="147">
        <f>J472+K472+L472+M472+N472</f>
        <v/>
      </c>
      <c r="P472" s="147">
        <f>P471+E472</f>
        <v/>
      </c>
      <c r="Q472" s="147">
        <f>IF(D472&gt;0.005,Mortgage!$B$5*(1+Mortgage!$B$17)^(A472/12),"")</f>
        <v/>
      </c>
      <c r="R472" s="147">
        <f>IF(D472&gt;0.005,Q472-I472,"")</f>
        <v/>
      </c>
      <c r="S472" s="147">
        <f>IF(A472&gt;Mortgage!$B$8*12,0,IF(Mortgage!$B$7=0,MAX(0,Mortgage!$H$5-Mortgage!$H$8*A472),MAX(0,Mortgage!$H$5*(1+(Mortgage!$B$7/12))^A472-Mortgage!$H$8*((1+(Mortgage!$B$7/12))^A472-1)/(Mortgage!$B$7/12))))</f>
        <v/>
      </c>
      <c r="T472" s="149">
        <f>IF(D472&gt;0.005,I472/Mortgage!$B$5,"")</f>
        <v/>
      </c>
      <c r="U472">
        <f>IF(A472&gt;Mortgage!$B$8*12,NA(),B472)</f>
        <v/>
      </c>
      <c r="V472">
        <f>IF(D472&gt;0.005,I472,NA())</f>
        <v/>
      </c>
      <c r="W472">
        <f>IF(A472&gt;Mortgage!$B$8*12,NA(),S472)</f>
        <v/>
      </c>
    </row>
    <row r="473">
      <c r="A473" s="129" t="n">
        <v>468</v>
      </c>
      <c r="B473" s="146">
        <f>EDATE(Mortgage!$B$9,A473-1)</f>
        <v/>
      </c>
      <c r="C473" s="129">
        <f>INT((A473-1)/12)+1</f>
        <v/>
      </c>
      <c r="D473" s="147">
        <f>IF(N(I472)&gt;0.005,I472,0)</f>
        <v/>
      </c>
      <c r="E473" s="147">
        <f>IF(D473&gt;0.005,D473*Mortgage!$B$7/12,0)</f>
        <v/>
      </c>
      <c r="F473" s="147">
        <f>IF(D473&gt;0.005,MIN(Mortgage!$H$8-E473,D473),0)</f>
        <v/>
      </c>
      <c r="G473" s="147">
        <f>IF(D473-F473&gt;0.005,MIN(D473-F473,Mortgage!$B$18+IF(MONTH(B473)=Mortgage!$B$20,Mortgage!$B$19,0)+SUMIFS(Mortgage!$E$6:$E$15,Mortgage!$D$6:$D$15,"&gt;="&amp;B473,Mortgage!$D$6:$D$15,"&lt;"&amp;EDATE(B473,1))+IF(Mortgage!$B$10="Bi-weekly (accelerated)",Mortgage!$H$8/12,0)),0)</f>
        <v/>
      </c>
      <c r="H473" s="147">
        <f>F473+G473</f>
        <v/>
      </c>
      <c r="I473" s="148">
        <f>D473-H473</f>
        <v/>
      </c>
      <c r="J473" s="147">
        <f>E473+F473+G473</f>
        <v/>
      </c>
      <c r="K473" s="147">
        <f>IF(AND(D473&gt;0.005,Mortgage!$H$7&gt;0.8,D473/Mortgage!$B$5&gt;Mortgage!$B$14),Mortgage!$H$5*Mortgage!$B$13/12,0)</f>
        <v/>
      </c>
      <c r="L473" s="147">
        <f>IF(D473&gt;0.005,Mortgage!$B$11/12*(1+Mortgage!$B$16)^(C473-1),0)</f>
        <v/>
      </c>
      <c r="M473" s="147">
        <f>IF(D473&gt;0.005,Mortgage!$B$12/12*(1+Mortgage!$B$16)^(C473-1),0)</f>
        <v/>
      </c>
      <c r="N473" s="147">
        <f>IF(D473&gt;0.005,Mortgage!$B$15,0)</f>
        <v/>
      </c>
      <c r="O473" s="147">
        <f>J473+K473+L473+M473+N473</f>
        <v/>
      </c>
      <c r="P473" s="147">
        <f>P472+E473</f>
        <v/>
      </c>
      <c r="Q473" s="147">
        <f>IF(D473&gt;0.005,Mortgage!$B$5*(1+Mortgage!$B$17)^(A473/12),"")</f>
        <v/>
      </c>
      <c r="R473" s="147">
        <f>IF(D473&gt;0.005,Q473-I473,"")</f>
        <v/>
      </c>
      <c r="S473" s="147">
        <f>IF(A473&gt;Mortgage!$B$8*12,0,IF(Mortgage!$B$7=0,MAX(0,Mortgage!$H$5-Mortgage!$H$8*A473),MAX(0,Mortgage!$H$5*(1+(Mortgage!$B$7/12))^A473-Mortgage!$H$8*((1+(Mortgage!$B$7/12))^A473-1)/(Mortgage!$B$7/12))))</f>
        <v/>
      </c>
      <c r="T473" s="149">
        <f>IF(D473&gt;0.005,I473/Mortgage!$B$5,"")</f>
        <v/>
      </c>
      <c r="U473">
        <f>IF(A473&gt;Mortgage!$B$8*12,NA(),B473)</f>
        <v/>
      </c>
      <c r="V473">
        <f>IF(D473&gt;0.005,I473,NA())</f>
        <v/>
      </c>
      <c r="W473">
        <f>IF(A473&gt;Mortgage!$B$8*12,NA(),S473)</f>
        <v/>
      </c>
    </row>
    <row r="474">
      <c r="A474" s="129" t="n">
        <v>469</v>
      </c>
      <c r="B474" s="146">
        <f>EDATE(Mortgage!$B$9,A474-1)</f>
        <v/>
      </c>
      <c r="C474" s="129">
        <f>INT((A474-1)/12)+1</f>
        <v/>
      </c>
      <c r="D474" s="147">
        <f>IF(N(I473)&gt;0.005,I473,0)</f>
        <v/>
      </c>
      <c r="E474" s="147">
        <f>IF(D474&gt;0.005,D474*Mortgage!$B$7/12,0)</f>
        <v/>
      </c>
      <c r="F474" s="147">
        <f>IF(D474&gt;0.005,MIN(Mortgage!$H$8-E474,D474),0)</f>
        <v/>
      </c>
      <c r="G474" s="147">
        <f>IF(D474-F474&gt;0.005,MIN(D474-F474,Mortgage!$B$18+IF(MONTH(B474)=Mortgage!$B$20,Mortgage!$B$19,0)+SUMIFS(Mortgage!$E$6:$E$15,Mortgage!$D$6:$D$15,"&gt;="&amp;B474,Mortgage!$D$6:$D$15,"&lt;"&amp;EDATE(B474,1))+IF(Mortgage!$B$10="Bi-weekly (accelerated)",Mortgage!$H$8/12,0)),0)</f>
        <v/>
      </c>
      <c r="H474" s="147">
        <f>F474+G474</f>
        <v/>
      </c>
      <c r="I474" s="148">
        <f>D474-H474</f>
        <v/>
      </c>
      <c r="J474" s="147">
        <f>E474+F474+G474</f>
        <v/>
      </c>
      <c r="K474" s="147">
        <f>IF(AND(D474&gt;0.005,Mortgage!$H$7&gt;0.8,D474/Mortgage!$B$5&gt;Mortgage!$B$14),Mortgage!$H$5*Mortgage!$B$13/12,0)</f>
        <v/>
      </c>
      <c r="L474" s="147">
        <f>IF(D474&gt;0.005,Mortgage!$B$11/12*(1+Mortgage!$B$16)^(C474-1),0)</f>
        <v/>
      </c>
      <c r="M474" s="147">
        <f>IF(D474&gt;0.005,Mortgage!$B$12/12*(1+Mortgage!$B$16)^(C474-1),0)</f>
        <v/>
      </c>
      <c r="N474" s="147">
        <f>IF(D474&gt;0.005,Mortgage!$B$15,0)</f>
        <v/>
      </c>
      <c r="O474" s="147">
        <f>J474+K474+L474+M474+N474</f>
        <v/>
      </c>
      <c r="P474" s="147">
        <f>P473+E474</f>
        <v/>
      </c>
      <c r="Q474" s="147">
        <f>IF(D474&gt;0.005,Mortgage!$B$5*(1+Mortgage!$B$17)^(A474/12),"")</f>
        <v/>
      </c>
      <c r="R474" s="147">
        <f>IF(D474&gt;0.005,Q474-I474,"")</f>
        <v/>
      </c>
      <c r="S474" s="147">
        <f>IF(A474&gt;Mortgage!$B$8*12,0,IF(Mortgage!$B$7=0,MAX(0,Mortgage!$H$5-Mortgage!$H$8*A474),MAX(0,Mortgage!$H$5*(1+(Mortgage!$B$7/12))^A474-Mortgage!$H$8*((1+(Mortgage!$B$7/12))^A474-1)/(Mortgage!$B$7/12))))</f>
        <v/>
      </c>
      <c r="T474" s="149">
        <f>IF(D474&gt;0.005,I474/Mortgage!$B$5,"")</f>
        <v/>
      </c>
      <c r="U474">
        <f>IF(A474&gt;Mortgage!$B$8*12,NA(),B474)</f>
        <v/>
      </c>
      <c r="V474">
        <f>IF(D474&gt;0.005,I474,NA())</f>
        <v/>
      </c>
      <c r="W474">
        <f>IF(A474&gt;Mortgage!$B$8*12,NA(),S474)</f>
        <v/>
      </c>
    </row>
    <row r="475">
      <c r="A475" s="129" t="n">
        <v>470</v>
      </c>
      <c r="B475" s="146">
        <f>EDATE(Mortgage!$B$9,A475-1)</f>
        <v/>
      </c>
      <c r="C475" s="129">
        <f>INT((A475-1)/12)+1</f>
        <v/>
      </c>
      <c r="D475" s="147">
        <f>IF(N(I474)&gt;0.005,I474,0)</f>
        <v/>
      </c>
      <c r="E475" s="147">
        <f>IF(D475&gt;0.005,D475*Mortgage!$B$7/12,0)</f>
        <v/>
      </c>
      <c r="F475" s="147">
        <f>IF(D475&gt;0.005,MIN(Mortgage!$H$8-E475,D475),0)</f>
        <v/>
      </c>
      <c r="G475" s="147">
        <f>IF(D475-F475&gt;0.005,MIN(D475-F475,Mortgage!$B$18+IF(MONTH(B475)=Mortgage!$B$20,Mortgage!$B$19,0)+SUMIFS(Mortgage!$E$6:$E$15,Mortgage!$D$6:$D$15,"&gt;="&amp;B475,Mortgage!$D$6:$D$15,"&lt;"&amp;EDATE(B475,1))+IF(Mortgage!$B$10="Bi-weekly (accelerated)",Mortgage!$H$8/12,0)),0)</f>
        <v/>
      </c>
      <c r="H475" s="147">
        <f>F475+G475</f>
        <v/>
      </c>
      <c r="I475" s="148">
        <f>D475-H475</f>
        <v/>
      </c>
      <c r="J475" s="147">
        <f>E475+F475+G475</f>
        <v/>
      </c>
      <c r="K475" s="147">
        <f>IF(AND(D475&gt;0.005,Mortgage!$H$7&gt;0.8,D475/Mortgage!$B$5&gt;Mortgage!$B$14),Mortgage!$H$5*Mortgage!$B$13/12,0)</f>
        <v/>
      </c>
      <c r="L475" s="147">
        <f>IF(D475&gt;0.005,Mortgage!$B$11/12*(1+Mortgage!$B$16)^(C475-1),0)</f>
        <v/>
      </c>
      <c r="M475" s="147">
        <f>IF(D475&gt;0.005,Mortgage!$B$12/12*(1+Mortgage!$B$16)^(C475-1),0)</f>
        <v/>
      </c>
      <c r="N475" s="147">
        <f>IF(D475&gt;0.005,Mortgage!$B$15,0)</f>
        <v/>
      </c>
      <c r="O475" s="147">
        <f>J475+K475+L475+M475+N475</f>
        <v/>
      </c>
      <c r="P475" s="147">
        <f>P474+E475</f>
        <v/>
      </c>
      <c r="Q475" s="147">
        <f>IF(D475&gt;0.005,Mortgage!$B$5*(1+Mortgage!$B$17)^(A475/12),"")</f>
        <v/>
      </c>
      <c r="R475" s="147">
        <f>IF(D475&gt;0.005,Q475-I475,"")</f>
        <v/>
      </c>
      <c r="S475" s="147">
        <f>IF(A475&gt;Mortgage!$B$8*12,0,IF(Mortgage!$B$7=0,MAX(0,Mortgage!$H$5-Mortgage!$H$8*A475),MAX(0,Mortgage!$H$5*(1+(Mortgage!$B$7/12))^A475-Mortgage!$H$8*((1+(Mortgage!$B$7/12))^A475-1)/(Mortgage!$B$7/12))))</f>
        <v/>
      </c>
      <c r="T475" s="149">
        <f>IF(D475&gt;0.005,I475/Mortgage!$B$5,"")</f>
        <v/>
      </c>
      <c r="U475">
        <f>IF(A475&gt;Mortgage!$B$8*12,NA(),B475)</f>
        <v/>
      </c>
      <c r="V475">
        <f>IF(D475&gt;0.005,I475,NA())</f>
        <v/>
      </c>
      <c r="W475">
        <f>IF(A475&gt;Mortgage!$B$8*12,NA(),S475)</f>
        <v/>
      </c>
    </row>
    <row r="476">
      <c r="A476" s="129" t="n">
        <v>471</v>
      </c>
      <c r="B476" s="146">
        <f>EDATE(Mortgage!$B$9,A476-1)</f>
        <v/>
      </c>
      <c r="C476" s="129">
        <f>INT((A476-1)/12)+1</f>
        <v/>
      </c>
      <c r="D476" s="147">
        <f>IF(N(I475)&gt;0.005,I475,0)</f>
        <v/>
      </c>
      <c r="E476" s="147">
        <f>IF(D476&gt;0.005,D476*Mortgage!$B$7/12,0)</f>
        <v/>
      </c>
      <c r="F476" s="147">
        <f>IF(D476&gt;0.005,MIN(Mortgage!$H$8-E476,D476),0)</f>
        <v/>
      </c>
      <c r="G476" s="147">
        <f>IF(D476-F476&gt;0.005,MIN(D476-F476,Mortgage!$B$18+IF(MONTH(B476)=Mortgage!$B$20,Mortgage!$B$19,0)+SUMIFS(Mortgage!$E$6:$E$15,Mortgage!$D$6:$D$15,"&gt;="&amp;B476,Mortgage!$D$6:$D$15,"&lt;"&amp;EDATE(B476,1))+IF(Mortgage!$B$10="Bi-weekly (accelerated)",Mortgage!$H$8/12,0)),0)</f>
        <v/>
      </c>
      <c r="H476" s="147">
        <f>F476+G476</f>
        <v/>
      </c>
      <c r="I476" s="148">
        <f>D476-H476</f>
        <v/>
      </c>
      <c r="J476" s="147">
        <f>E476+F476+G476</f>
        <v/>
      </c>
      <c r="K476" s="147">
        <f>IF(AND(D476&gt;0.005,Mortgage!$H$7&gt;0.8,D476/Mortgage!$B$5&gt;Mortgage!$B$14),Mortgage!$H$5*Mortgage!$B$13/12,0)</f>
        <v/>
      </c>
      <c r="L476" s="147">
        <f>IF(D476&gt;0.005,Mortgage!$B$11/12*(1+Mortgage!$B$16)^(C476-1),0)</f>
        <v/>
      </c>
      <c r="M476" s="147">
        <f>IF(D476&gt;0.005,Mortgage!$B$12/12*(1+Mortgage!$B$16)^(C476-1),0)</f>
        <v/>
      </c>
      <c r="N476" s="147">
        <f>IF(D476&gt;0.005,Mortgage!$B$15,0)</f>
        <v/>
      </c>
      <c r="O476" s="147">
        <f>J476+K476+L476+M476+N476</f>
        <v/>
      </c>
      <c r="P476" s="147">
        <f>P475+E476</f>
        <v/>
      </c>
      <c r="Q476" s="147">
        <f>IF(D476&gt;0.005,Mortgage!$B$5*(1+Mortgage!$B$17)^(A476/12),"")</f>
        <v/>
      </c>
      <c r="R476" s="147">
        <f>IF(D476&gt;0.005,Q476-I476,"")</f>
        <v/>
      </c>
      <c r="S476" s="147">
        <f>IF(A476&gt;Mortgage!$B$8*12,0,IF(Mortgage!$B$7=0,MAX(0,Mortgage!$H$5-Mortgage!$H$8*A476),MAX(0,Mortgage!$H$5*(1+(Mortgage!$B$7/12))^A476-Mortgage!$H$8*((1+(Mortgage!$B$7/12))^A476-1)/(Mortgage!$B$7/12))))</f>
        <v/>
      </c>
      <c r="T476" s="149">
        <f>IF(D476&gt;0.005,I476/Mortgage!$B$5,"")</f>
        <v/>
      </c>
      <c r="U476">
        <f>IF(A476&gt;Mortgage!$B$8*12,NA(),B476)</f>
        <v/>
      </c>
      <c r="V476">
        <f>IF(D476&gt;0.005,I476,NA())</f>
        <v/>
      </c>
      <c r="W476">
        <f>IF(A476&gt;Mortgage!$B$8*12,NA(),S476)</f>
        <v/>
      </c>
    </row>
    <row r="477">
      <c r="A477" s="129" t="n">
        <v>472</v>
      </c>
      <c r="B477" s="146">
        <f>EDATE(Mortgage!$B$9,A477-1)</f>
        <v/>
      </c>
      <c r="C477" s="129">
        <f>INT((A477-1)/12)+1</f>
        <v/>
      </c>
      <c r="D477" s="147">
        <f>IF(N(I476)&gt;0.005,I476,0)</f>
        <v/>
      </c>
      <c r="E477" s="147">
        <f>IF(D477&gt;0.005,D477*Mortgage!$B$7/12,0)</f>
        <v/>
      </c>
      <c r="F477" s="147">
        <f>IF(D477&gt;0.005,MIN(Mortgage!$H$8-E477,D477),0)</f>
        <v/>
      </c>
      <c r="G477" s="147">
        <f>IF(D477-F477&gt;0.005,MIN(D477-F477,Mortgage!$B$18+IF(MONTH(B477)=Mortgage!$B$20,Mortgage!$B$19,0)+SUMIFS(Mortgage!$E$6:$E$15,Mortgage!$D$6:$D$15,"&gt;="&amp;B477,Mortgage!$D$6:$D$15,"&lt;"&amp;EDATE(B477,1))+IF(Mortgage!$B$10="Bi-weekly (accelerated)",Mortgage!$H$8/12,0)),0)</f>
        <v/>
      </c>
      <c r="H477" s="147">
        <f>F477+G477</f>
        <v/>
      </c>
      <c r="I477" s="148">
        <f>D477-H477</f>
        <v/>
      </c>
      <c r="J477" s="147">
        <f>E477+F477+G477</f>
        <v/>
      </c>
      <c r="K477" s="147">
        <f>IF(AND(D477&gt;0.005,Mortgage!$H$7&gt;0.8,D477/Mortgage!$B$5&gt;Mortgage!$B$14),Mortgage!$H$5*Mortgage!$B$13/12,0)</f>
        <v/>
      </c>
      <c r="L477" s="147">
        <f>IF(D477&gt;0.005,Mortgage!$B$11/12*(1+Mortgage!$B$16)^(C477-1),0)</f>
        <v/>
      </c>
      <c r="M477" s="147">
        <f>IF(D477&gt;0.005,Mortgage!$B$12/12*(1+Mortgage!$B$16)^(C477-1),0)</f>
        <v/>
      </c>
      <c r="N477" s="147">
        <f>IF(D477&gt;0.005,Mortgage!$B$15,0)</f>
        <v/>
      </c>
      <c r="O477" s="147">
        <f>J477+K477+L477+M477+N477</f>
        <v/>
      </c>
      <c r="P477" s="147">
        <f>P476+E477</f>
        <v/>
      </c>
      <c r="Q477" s="147">
        <f>IF(D477&gt;0.005,Mortgage!$B$5*(1+Mortgage!$B$17)^(A477/12),"")</f>
        <v/>
      </c>
      <c r="R477" s="147">
        <f>IF(D477&gt;0.005,Q477-I477,"")</f>
        <v/>
      </c>
      <c r="S477" s="147">
        <f>IF(A477&gt;Mortgage!$B$8*12,0,IF(Mortgage!$B$7=0,MAX(0,Mortgage!$H$5-Mortgage!$H$8*A477),MAX(0,Mortgage!$H$5*(1+(Mortgage!$B$7/12))^A477-Mortgage!$H$8*((1+(Mortgage!$B$7/12))^A477-1)/(Mortgage!$B$7/12))))</f>
        <v/>
      </c>
      <c r="T477" s="149">
        <f>IF(D477&gt;0.005,I477/Mortgage!$B$5,"")</f>
        <v/>
      </c>
      <c r="U477">
        <f>IF(A477&gt;Mortgage!$B$8*12,NA(),B477)</f>
        <v/>
      </c>
      <c r="V477">
        <f>IF(D477&gt;0.005,I477,NA())</f>
        <v/>
      </c>
      <c r="W477">
        <f>IF(A477&gt;Mortgage!$B$8*12,NA(),S477)</f>
        <v/>
      </c>
    </row>
    <row r="478">
      <c r="A478" s="129" t="n">
        <v>473</v>
      </c>
      <c r="B478" s="146">
        <f>EDATE(Mortgage!$B$9,A478-1)</f>
        <v/>
      </c>
      <c r="C478" s="129">
        <f>INT((A478-1)/12)+1</f>
        <v/>
      </c>
      <c r="D478" s="147">
        <f>IF(N(I477)&gt;0.005,I477,0)</f>
        <v/>
      </c>
      <c r="E478" s="147">
        <f>IF(D478&gt;0.005,D478*Mortgage!$B$7/12,0)</f>
        <v/>
      </c>
      <c r="F478" s="147">
        <f>IF(D478&gt;0.005,MIN(Mortgage!$H$8-E478,D478),0)</f>
        <v/>
      </c>
      <c r="G478" s="147">
        <f>IF(D478-F478&gt;0.005,MIN(D478-F478,Mortgage!$B$18+IF(MONTH(B478)=Mortgage!$B$20,Mortgage!$B$19,0)+SUMIFS(Mortgage!$E$6:$E$15,Mortgage!$D$6:$D$15,"&gt;="&amp;B478,Mortgage!$D$6:$D$15,"&lt;"&amp;EDATE(B478,1))+IF(Mortgage!$B$10="Bi-weekly (accelerated)",Mortgage!$H$8/12,0)),0)</f>
        <v/>
      </c>
      <c r="H478" s="147">
        <f>F478+G478</f>
        <v/>
      </c>
      <c r="I478" s="148">
        <f>D478-H478</f>
        <v/>
      </c>
      <c r="J478" s="147">
        <f>E478+F478+G478</f>
        <v/>
      </c>
      <c r="K478" s="147">
        <f>IF(AND(D478&gt;0.005,Mortgage!$H$7&gt;0.8,D478/Mortgage!$B$5&gt;Mortgage!$B$14),Mortgage!$H$5*Mortgage!$B$13/12,0)</f>
        <v/>
      </c>
      <c r="L478" s="147">
        <f>IF(D478&gt;0.005,Mortgage!$B$11/12*(1+Mortgage!$B$16)^(C478-1),0)</f>
        <v/>
      </c>
      <c r="M478" s="147">
        <f>IF(D478&gt;0.005,Mortgage!$B$12/12*(1+Mortgage!$B$16)^(C478-1),0)</f>
        <v/>
      </c>
      <c r="N478" s="147">
        <f>IF(D478&gt;0.005,Mortgage!$B$15,0)</f>
        <v/>
      </c>
      <c r="O478" s="147">
        <f>J478+K478+L478+M478+N478</f>
        <v/>
      </c>
      <c r="P478" s="147">
        <f>P477+E478</f>
        <v/>
      </c>
      <c r="Q478" s="147">
        <f>IF(D478&gt;0.005,Mortgage!$B$5*(1+Mortgage!$B$17)^(A478/12),"")</f>
        <v/>
      </c>
      <c r="R478" s="147">
        <f>IF(D478&gt;0.005,Q478-I478,"")</f>
        <v/>
      </c>
      <c r="S478" s="147">
        <f>IF(A478&gt;Mortgage!$B$8*12,0,IF(Mortgage!$B$7=0,MAX(0,Mortgage!$H$5-Mortgage!$H$8*A478),MAX(0,Mortgage!$H$5*(1+(Mortgage!$B$7/12))^A478-Mortgage!$H$8*((1+(Mortgage!$B$7/12))^A478-1)/(Mortgage!$B$7/12))))</f>
        <v/>
      </c>
      <c r="T478" s="149">
        <f>IF(D478&gt;0.005,I478/Mortgage!$B$5,"")</f>
        <v/>
      </c>
      <c r="U478">
        <f>IF(A478&gt;Mortgage!$B$8*12,NA(),B478)</f>
        <v/>
      </c>
      <c r="V478">
        <f>IF(D478&gt;0.005,I478,NA())</f>
        <v/>
      </c>
      <c r="W478">
        <f>IF(A478&gt;Mortgage!$B$8*12,NA(),S478)</f>
        <v/>
      </c>
    </row>
    <row r="479">
      <c r="A479" s="129" t="n">
        <v>474</v>
      </c>
      <c r="B479" s="146">
        <f>EDATE(Mortgage!$B$9,A479-1)</f>
        <v/>
      </c>
      <c r="C479" s="129">
        <f>INT((A479-1)/12)+1</f>
        <v/>
      </c>
      <c r="D479" s="147">
        <f>IF(N(I478)&gt;0.005,I478,0)</f>
        <v/>
      </c>
      <c r="E479" s="147">
        <f>IF(D479&gt;0.005,D479*Mortgage!$B$7/12,0)</f>
        <v/>
      </c>
      <c r="F479" s="147">
        <f>IF(D479&gt;0.005,MIN(Mortgage!$H$8-E479,D479),0)</f>
        <v/>
      </c>
      <c r="G479" s="147">
        <f>IF(D479-F479&gt;0.005,MIN(D479-F479,Mortgage!$B$18+IF(MONTH(B479)=Mortgage!$B$20,Mortgage!$B$19,0)+SUMIFS(Mortgage!$E$6:$E$15,Mortgage!$D$6:$D$15,"&gt;="&amp;B479,Mortgage!$D$6:$D$15,"&lt;"&amp;EDATE(B479,1))+IF(Mortgage!$B$10="Bi-weekly (accelerated)",Mortgage!$H$8/12,0)),0)</f>
        <v/>
      </c>
      <c r="H479" s="147">
        <f>F479+G479</f>
        <v/>
      </c>
      <c r="I479" s="148">
        <f>D479-H479</f>
        <v/>
      </c>
      <c r="J479" s="147">
        <f>E479+F479+G479</f>
        <v/>
      </c>
      <c r="K479" s="147">
        <f>IF(AND(D479&gt;0.005,Mortgage!$H$7&gt;0.8,D479/Mortgage!$B$5&gt;Mortgage!$B$14),Mortgage!$H$5*Mortgage!$B$13/12,0)</f>
        <v/>
      </c>
      <c r="L479" s="147">
        <f>IF(D479&gt;0.005,Mortgage!$B$11/12*(1+Mortgage!$B$16)^(C479-1),0)</f>
        <v/>
      </c>
      <c r="M479" s="147">
        <f>IF(D479&gt;0.005,Mortgage!$B$12/12*(1+Mortgage!$B$16)^(C479-1),0)</f>
        <v/>
      </c>
      <c r="N479" s="147">
        <f>IF(D479&gt;0.005,Mortgage!$B$15,0)</f>
        <v/>
      </c>
      <c r="O479" s="147">
        <f>J479+K479+L479+M479+N479</f>
        <v/>
      </c>
      <c r="P479" s="147">
        <f>P478+E479</f>
        <v/>
      </c>
      <c r="Q479" s="147">
        <f>IF(D479&gt;0.005,Mortgage!$B$5*(1+Mortgage!$B$17)^(A479/12),"")</f>
        <v/>
      </c>
      <c r="R479" s="147">
        <f>IF(D479&gt;0.005,Q479-I479,"")</f>
        <v/>
      </c>
      <c r="S479" s="147">
        <f>IF(A479&gt;Mortgage!$B$8*12,0,IF(Mortgage!$B$7=0,MAX(0,Mortgage!$H$5-Mortgage!$H$8*A479),MAX(0,Mortgage!$H$5*(1+(Mortgage!$B$7/12))^A479-Mortgage!$H$8*((1+(Mortgage!$B$7/12))^A479-1)/(Mortgage!$B$7/12))))</f>
        <v/>
      </c>
      <c r="T479" s="149">
        <f>IF(D479&gt;0.005,I479/Mortgage!$B$5,"")</f>
        <v/>
      </c>
      <c r="U479">
        <f>IF(A479&gt;Mortgage!$B$8*12,NA(),B479)</f>
        <v/>
      </c>
      <c r="V479">
        <f>IF(D479&gt;0.005,I479,NA())</f>
        <v/>
      </c>
      <c r="W479">
        <f>IF(A479&gt;Mortgage!$B$8*12,NA(),S479)</f>
        <v/>
      </c>
    </row>
    <row r="480">
      <c r="A480" s="129" t="n">
        <v>475</v>
      </c>
      <c r="B480" s="146">
        <f>EDATE(Mortgage!$B$9,A480-1)</f>
        <v/>
      </c>
      <c r="C480" s="129">
        <f>INT((A480-1)/12)+1</f>
        <v/>
      </c>
      <c r="D480" s="147">
        <f>IF(N(I479)&gt;0.005,I479,0)</f>
        <v/>
      </c>
      <c r="E480" s="147">
        <f>IF(D480&gt;0.005,D480*Mortgage!$B$7/12,0)</f>
        <v/>
      </c>
      <c r="F480" s="147">
        <f>IF(D480&gt;0.005,MIN(Mortgage!$H$8-E480,D480),0)</f>
        <v/>
      </c>
      <c r="G480" s="147">
        <f>IF(D480-F480&gt;0.005,MIN(D480-F480,Mortgage!$B$18+IF(MONTH(B480)=Mortgage!$B$20,Mortgage!$B$19,0)+SUMIFS(Mortgage!$E$6:$E$15,Mortgage!$D$6:$D$15,"&gt;="&amp;B480,Mortgage!$D$6:$D$15,"&lt;"&amp;EDATE(B480,1))+IF(Mortgage!$B$10="Bi-weekly (accelerated)",Mortgage!$H$8/12,0)),0)</f>
        <v/>
      </c>
      <c r="H480" s="147">
        <f>F480+G480</f>
        <v/>
      </c>
      <c r="I480" s="148">
        <f>D480-H480</f>
        <v/>
      </c>
      <c r="J480" s="147">
        <f>E480+F480+G480</f>
        <v/>
      </c>
      <c r="K480" s="147">
        <f>IF(AND(D480&gt;0.005,Mortgage!$H$7&gt;0.8,D480/Mortgage!$B$5&gt;Mortgage!$B$14),Mortgage!$H$5*Mortgage!$B$13/12,0)</f>
        <v/>
      </c>
      <c r="L480" s="147">
        <f>IF(D480&gt;0.005,Mortgage!$B$11/12*(1+Mortgage!$B$16)^(C480-1),0)</f>
        <v/>
      </c>
      <c r="M480" s="147">
        <f>IF(D480&gt;0.005,Mortgage!$B$12/12*(1+Mortgage!$B$16)^(C480-1),0)</f>
        <v/>
      </c>
      <c r="N480" s="147">
        <f>IF(D480&gt;0.005,Mortgage!$B$15,0)</f>
        <v/>
      </c>
      <c r="O480" s="147">
        <f>J480+K480+L480+M480+N480</f>
        <v/>
      </c>
      <c r="P480" s="147">
        <f>P479+E480</f>
        <v/>
      </c>
      <c r="Q480" s="147">
        <f>IF(D480&gt;0.005,Mortgage!$B$5*(1+Mortgage!$B$17)^(A480/12),"")</f>
        <v/>
      </c>
      <c r="R480" s="147">
        <f>IF(D480&gt;0.005,Q480-I480,"")</f>
        <v/>
      </c>
      <c r="S480" s="147">
        <f>IF(A480&gt;Mortgage!$B$8*12,0,IF(Mortgage!$B$7=0,MAX(0,Mortgage!$H$5-Mortgage!$H$8*A480),MAX(0,Mortgage!$H$5*(1+(Mortgage!$B$7/12))^A480-Mortgage!$H$8*((1+(Mortgage!$B$7/12))^A480-1)/(Mortgage!$B$7/12))))</f>
        <v/>
      </c>
      <c r="T480" s="149">
        <f>IF(D480&gt;0.005,I480/Mortgage!$B$5,"")</f>
        <v/>
      </c>
      <c r="U480">
        <f>IF(A480&gt;Mortgage!$B$8*12,NA(),B480)</f>
        <v/>
      </c>
      <c r="V480">
        <f>IF(D480&gt;0.005,I480,NA())</f>
        <v/>
      </c>
      <c r="W480">
        <f>IF(A480&gt;Mortgage!$B$8*12,NA(),S480)</f>
        <v/>
      </c>
    </row>
    <row r="481">
      <c r="A481" s="129" t="n">
        <v>476</v>
      </c>
      <c r="B481" s="146">
        <f>EDATE(Mortgage!$B$9,A481-1)</f>
        <v/>
      </c>
      <c r="C481" s="129">
        <f>INT((A481-1)/12)+1</f>
        <v/>
      </c>
      <c r="D481" s="147">
        <f>IF(N(I480)&gt;0.005,I480,0)</f>
        <v/>
      </c>
      <c r="E481" s="147">
        <f>IF(D481&gt;0.005,D481*Mortgage!$B$7/12,0)</f>
        <v/>
      </c>
      <c r="F481" s="147">
        <f>IF(D481&gt;0.005,MIN(Mortgage!$H$8-E481,D481),0)</f>
        <v/>
      </c>
      <c r="G481" s="147">
        <f>IF(D481-F481&gt;0.005,MIN(D481-F481,Mortgage!$B$18+IF(MONTH(B481)=Mortgage!$B$20,Mortgage!$B$19,0)+SUMIFS(Mortgage!$E$6:$E$15,Mortgage!$D$6:$D$15,"&gt;="&amp;B481,Mortgage!$D$6:$D$15,"&lt;"&amp;EDATE(B481,1))+IF(Mortgage!$B$10="Bi-weekly (accelerated)",Mortgage!$H$8/12,0)),0)</f>
        <v/>
      </c>
      <c r="H481" s="147">
        <f>F481+G481</f>
        <v/>
      </c>
      <c r="I481" s="148">
        <f>D481-H481</f>
        <v/>
      </c>
      <c r="J481" s="147">
        <f>E481+F481+G481</f>
        <v/>
      </c>
      <c r="K481" s="147">
        <f>IF(AND(D481&gt;0.005,Mortgage!$H$7&gt;0.8,D481/Mortgage!$B$5&gt;Mortgage!$B$14),Mortgage!$H$5*Mortgage!$B$13/12,0)</f>
        <v/>
      </c>
      <c r="L481" s="147">
        <f>IF(D481&gt;0.005,Mortgage!$B$11/12*(1+Mortgage!$B$16)^(C481-1),0)</f>
        <v/>
      </c>
      <c r="M481" s="147">
        <f>IF(D481&gt;0.005,Mortgage!$B$12/12*(1+Mortgage!$B$16)^(C481-1),0)</f>
        <v/>
      </c>
      <c r="N481" s="147">
        <f>IF(D481&gt;0.005,Mortgage!$B$15,0)</f>
        <v/>
      </c>
      <c r="O481" s="147">
        <f>J481+K481+L481+M481+N481</f>
        <v/>
      </c>
      <c r="P481" s="147">
        <f>P480+E481</f>
        <v/>
      </c>
      <c r="Q481" s="147">
        <f>IF(D481&gt;0.005,Mortgage!$B$5*(1+Mortgage!$B$17)^(A481/12),"")</f>
        <v/>
      </c>
      <c r="R481" s="147">
        <f>IF(D481&gt;0.005,Q481-I481,"")</f>
        <v/>
      </c>
      <c r="S481" s="147">
        <f>IF(A481&gt;Mortgage!$B$8*12,0,IF(Mortgage!$B$7=0,MAX(0,Mortgage!$H$5-Mortgage!$H$8*A481),MAX(0,Mortgage!$H$5*(1+(Mortgage!$B$7/12))^A481-Mortgage!$H$8*((1+(Mortgage!$B$7/12))^A481-1)/(Mortgage!$B$7/12))))</f>
        <v/>
      </c>
      <c r="T481" s="149">
        <f>IF(D481&gt;0.005,I481/Mortgage!$B$5,"")</f>
        <v/>
      </c>
      <c r="U481">
        <f>IF(A481&gt;Mortgage!$B$8*12,NA(),B481)</f>
        <v/>
      </c>
      <c r="V481">
        <f>IF(D481&gt;0.005,I481,NA())</f>
        <v/>
      </c>
      <c r="W481">
        <f>IF(A481&gt;Mortgage!$B$8*12,NA(),S481)</f>
        <v/>
      </c>
    </row>
    <row r="482">
      <c r="A482" s="129" t="n">
        <v>477</v>
      </c>
      <c r="B482" s="146">
        <f>EDATE(Mortgage!$B$9,A482-1)</f>
        <v/>
      </c>
      <c r="C482" s="129">
        <f>INT((A482-1)/12)+1</f>
        <v/>
      </c>
      <c r="D482" s="147">
        <f>IF(N(I481)&gt;0.005,I481,0)</f>
        <v/>
      </c>
      <c r="E482" s="147">
        <f>IF(D482&gt;0.005,D482*Mortgage!$B$7/12,0)</f>
        <v/>
      </c>
      <c r="F482" s="147">
        <f>IF(D482&gt;0.005,MIN(Mortgage!$H$8-E482,D482),0)</f>
        <v/>
      </c>
      <c r="G482" s="147">
        <f>IF(D482-F482&gt;0.005,MIN(D482-F482,Mortgage!$B$18+IF(MONTH(B482)=Mortgage!$B$20,Mortgage!$B$19,0)+SUMIFS(Mortgage!$E$6:$E$15,Mortgage!$D$6:$D$15,"&gt;="&amp;B482,Mortgage!$D$6:$D$15,"&lt;"&amp;EDATE(B482,1))+IF(Mortgage!$B$10="Bi-weekly (accelerated)",Mortgage!$H$8/12,0)),0)</f>
        <v/>
      </c>
      <c r="H482" s="147">
        <f>F482+G482</f>
        <v/>
      </c>
      <c r="I482" s="148">
        <f>D482-H482</f>
        <v/>
      </c>
      <c r="J482" s="147">
        <f>E482+F482+G482</f>
        <v/>
      </c>
      <c r="K482" s="147">
        <f>IF(AND(D482&gt;0.005,Mortgage!$H$7&gt;0.8,D482/Mortgage!$B$5&gt;Mortgage!$B$14),Mortgage!$H$5*Mortgage!$B$13/12,0)</f>
        <v/>
      </c>
      <c r="L482" s="147">
        <f>IF(D482&gt;0.005,Mortgage!$B$11/12*(1+Mortgage!$B$16)^(C482-1),0)</f>
        <v/>
      </c>
      <c r="M482" s="147">
        <f>IF(D482&gt;0.005,Mortgage!$B$12/12*(1+Mortgage!$B$16)^(C482-1),0)</f>
        <v/>
      </c>
      <c r="N482" s="147">
        <f>IF(D482&gt;0.005,Mortgage!$B$15,0)</f>
        <v/>
      </c>
      <c r="O482" s="147">
        <f>J482+K482+L482+M482+N482</f>
        <v/>
      </c>
      <c r="P482" s="147">
        <f>P481+E482</f>
        <v/>
      </c>
      <c r="Q482" s="147">
        <f>IF(D482&gt;0.005,Mortgage!$B$5*(1+Mortgage!$B$17)^(A482/12),"")</f>
        <v/>
      </c>
      <c r="R482" s="147">
        <f>IF(D482&gt;0.005,Q482-I482,"")</f>
        <v/>
      </c>
      <c r="S482" s="147">
        <f>IF(A482&gt;Mortgage!$B$8*12,0,IF(Mortgage!$B$7=0,MAX(0,Mortgage!$H$5-Mortgage!$H$8*A482),MAX(0,Mortgage!$H$5*(1+(Mortgage!$B$7/12))^A482-Mortgage!$H$8*((1+(Mortgage!$B$7/12))^A482-1)/(Mortgage!$B$7/12))))</f>
        <v/>
      </c>
      <c r="T482" s="149">
        <f>IF(D482&gt;0.005,I482/Mortgage!$B$5,"")</f>
        <v/>
      </c>
      <c r="U482">
        <f>IF(A482&gt;Mortgage!$B$8*12,NA(),B482)</f>
        <v/>
      </c>
      <c r="V482">
        <f>IF(D482&gt;0.005,I482,NA())</f>
        <v/>
      </c>
      <c r="W482">
        <f>IF(A482&gt;Mortgage!$B$8*12,NA(),S482)</f>
        <v/>
      </c>
    </row>
    <row r="483">
      <c r="A483" s="129" t="n">
        <v>478</v>
      </c>
      <c r="B483" s="146">
        <f>EDATE(Mortgage!$B$9,A483-1)</f>
        <v/>
      </c>
      <c r="C483" s="129">
        <f>INT((A483-1)/12)+1</f>
        <v/>
      </c>
      <c r="D483" s="147">
        <f>IF(N(I482)&gt;0.005,I482,0)</f>
        <v/>
      </c>
      <c r="E483" s="147">
        <f>IF(D483&gt;0.005,D483*Mortgage!$B$7/12,0)</f>
        <v/>
      </c>
      <c r="F483" s="147">
        <f>IF(D483&gt;0.005,MIN(Mortgage!$H$8-E483,D483),0)</f>
        <v/>
      </c>
      <c r="G483" s="147">
        <f>IF(D483-F483&gt;0.005,MIN(D483-F483,Mortgage!$B$18+IF(MONTH(B483)=Mortgage!$B$20,Mortgage!$B$19,0)+SUMIFS(Mortgage!$E$6:$E$15,Mortgage!$D$6:$D$15,"&gt;="&amp;B483,Mortgage!$D$6:$D$15,"&lt;"&amp;EDATE(B483,1))+IF(Mortgage!$B$10="Bi-weekly (accelerated)",Mortgage!$H$8/12,0)),0)</f>
        <v/>
      </c>
      <c r="H483" s="147">
        <f>F483+G483</f>
        <v/>
      </c>
      <c r="I483" s="148">
        <f>D483-H483</f>
        <v/>
      </c>
      <c r="J483" s="147">
        <f>E483+F483+G483</f>
        <v/>
      </c>
      <c r="K483" s="147">
        <f>IF(AND(D483&gt;0.005,Mortgage!$H$7&gt;0.8,D483/Mortgage!$B$5&gt;Mortgage!$B$14),Mortgage!$H$5*Mortgage!$B$13/12,0)</f>
        <v/>
      </c>
      <c r="L483" s="147">
        <f>IF(D483&gt;0.005,Mortgage!$B$11/12*(1+Mortgage!$B$16)^(C483-1),0)</f>
        <v/>
      </c>
      <c r="M483" s="147">
        <f>IF(D483&gt;0.005,Mortgage!$B$12/12*(1+Mortgage!$B$16)^(C483-1),0)</f>
        <v/>
      </c>
      <c r="N483" s="147">
        <f>IF(D483&gt;0.005,Mortgage!$B$15,0)</f>
        <v/>
      </c>
      <c r="O483" s="147">
        <f>J483+K483+L483+M483+N483</f>
        <v/>
      </c>
      <c r="P483" s="147">
        <f>P482+E483</f>
        <v/>
      </c>
      <c r="Q483" s="147">
        <f>IF(D483&gt;0.005,Mortgage!$B$5*(1+Mortgage!$B$17)^(A483/12),"")</f>
        <v/>
      </c>
      <c r="R483" s="147">
        <f>IF(D483&gt;0.005,Q483-I483,"")</f>
        <v/>
      </c>
      <c r="S483" s="147">
        <f>IF(A483&gt;Mortgage!$B$8*12,0,IF(Mortgage!$B$7=0,MAX(0,Mortgage!$H$5-Mortgage!$H$8*A483),MAX(0,Mortgage!$H$5*(1+(Mortgage!$B$7/12))^A483-Mortgage!$H$8*((1+(Mortgage!$B$7/12))^A483-1)/(Mortgage!$B$7/12))))</f>
        <v/>
      </c>
      <c r="T483" s="149">
        <f>IF(D483&gt;0.005,I483/Mortgage!$B$5,"")</f>
        <v/>
      </c>
      <c r="U483">
        <f>IF(A483&gt;Mortgage!$B$8*12,NA(),B483)</f>
        <v/>
      </c>
      <c r="V483">
        <f>IF(D483&gt;0.005,I483,NA())</f>
        <v/>
      </c>
      <c r="W483">
        <f>IF(A483&gt;Mortgage!$B$8*12,NA(),S483)</f>
        <v/>
      </c>
    </row>
    <row r="484">
      <c r="A484" s="129" t="n">
        <v>479</v>
      </c>
      <c r="B484" s="146">
        <f>EDATE(Mortgage!$B$9,A484-1)</f>
        <v/>
      </c>
      <c r="C484" s="129">
        <f>INT((A484-1)/12)+1</f>
        <v/>
      </c>
      <c r="D484" s="147">
        <f>IF(N(I483)&gt;0.005,I483,0)</f>
        <v/>
      </c>
      <c r="E484" s="147">
        <f>IF(D484&gt;0.005,D484*Mortgage!$B$7/12,0)</f>
        <v/>
      </c>
      <c r="F484" s="147">
        <f>IF(D484&gt;0.005,MIN(Mortgage!$H$8-E484,D484),0)</f>
        <v/>
      </c>
      <c r="G484" s="147">
        <f>IF(D484-F484&gt;0.005,MIN(D484-F484,Mortgage!$B$18+IF(MONTH(B484)=Mortgage!$B$20,Mortgage!$B$19,0)+SUMIFS(Mortgage!$E$6:$E$15,Mortgage!$D$6:$D$15,"&gt;="&amp;B484,Mortgage!$D$6:$D$15,"&lt;"&amp;EDATE(B484,1))+IF(Mortgage!$B$10="Bi-weekly (accelerated)",Mortgage!$H$8/12,0)),0)</f>
        <v/>
      </c>
      <c r="H484" s="147">
        <f>F484+G484</f>
        <v/>
      </c>
      <c r="I484" s="148">
        <f>D484-H484</f>
        <v/>
      </c>
      <c r="J484" s="147">
        <f>E484+F484+G484</f>
        <v/>
      </c>
      <c r="K484" s="147">
        <f>IF(AND(D484&gt;0.005,Mortgage!$H$7&gt;0.8,D484/Mortgage!$B$5&gt;Mortgage!$B$14),Mortgage!$H$5*Mortgage!$B$13/12,0)</f>
        <v/>
      </c>
      <c r="L484" s="147">
        <f>IF(D484&gt;0.005,Mortgage!$B$11/12*(1+Mortgage!$B$16)^(C484-1),0)</f>
        <v/>
      </c>
      <c r="M484" s="147">
        <f>IF(D484&gt;0.005,Mortgage!$B$12/12*(1+Mortgage!$B$16)^(C484-1),0)</f>
        <v/>
      </c>
      <c r="N484" s="147">
        <f>IF(D484&gt;0.005,Mortgage!$B$15,0)</f>
        <v/>
      </c>
      <c r="O484" s="147">
        <f>J484+K484+L484+M484+N484</f>
        <v/>
      </c>
      <c r="P484" s="147">
        <f>P483+E484</f>
        <v/>
      </c>
      <c r="Q484" s="147">
        <f>IF(D484&gt;0.005,Mortgage!$B$5*(1+Mortgage!$B$17)^(A484/12),"")</f>
        <v/>
      </c>
      <c r="R484" s="147">
        <f>IF(D484&gt;0.005,Q484-I484,"")</f>
        <v/>
      </c>
      <c r="S484" s="147">
        <f>IF(A484&gt;Mortgage!$B$8*12,0,IF(Mortgage!$B$7=0,MAX(0,Mortgage!$H$5-Mortgage!$H$8*A484),MAX(0,Mortgage!$H$5*(1+(Mortgage!$B$7/12))^A484-Mortgage!$H$8*((1+(Mortgage!$B$7/12))^A484-1)/(Mortgage!$B$7/12))))</f>
        <v/>
      </c>
      <c r="T484" s="149">
        <f>IF(D484&gt;0.005,I484/Mortgage!$B$5,"")</f>
        <v/>
      </c>
      <c r="U484">
        <f>IF(A484&gt;Mortgage!$B$8*12,NA(),B484)</f>
        <v/>
      </c>
      <c r="V484">
        <f>IF(D484&gt;0.005,I484,NA())</f>
        <v/>
      </c>
      <c r="W484">
        <f>IF(A484&gt;Mortgage!$B$8*12,NA(),S484)</f>
        <v/>
      </c>
    </row>
    <row r="485">
      <c r="A485" s="129" t="n">
        <v>480</v>
      </c>
      <c r="B485" s="146">
        <f>EDATE(Mortgage!$B$9,A485-1)</f>
        <v/>
      </c>
      <c r="C485" s="129">
        <f>INT((A485-1)/12)+1</f>
        <v/>
      </c>
      <c r="D485" s="147">
        <f>IF(N(I484)&gt;0.005,I484,0)</f>
        <v/>
      </c>
      <c r="E485" s="147">
        <f>IF(D485&gt;0.005,D485*Mortgage!$B$7/12,0)</f>
        <v/>
      </c>
      <c r="F485" s="147">
        <f>IF(D485&gt;0.005,MIN(Mortgage!$H$8-E485,D485),0)</f>
        <v/>
      </c>
      <c r="G485" s="147">
        <f>IF(D485-F485&gt;0.005,MIN(D485-F485,Mortgage!$B$18+IF(MONTH(B485)=Mortgage!$B$20,Mortgage!$B$19,0)+SUMIFS(Mortgage!$E$6:$E$15,Mortgage!$D$6:$D$15,"&gt;="&amp;B485,Mortgage!$D$6:$D$15,"&lt;"&amp;EDATE(B485,1))+IF(Mortgage!$B$10="Bi-weekly (accelerated)",Mortgage!$H$8/12,0)),0)</f>
        <v/>
      </c>
      <c r="H485" s="147">
        <f>F485+G485</f>
        <v/>
      </c>
      <c r="I485" s="148">
        <f>D485-H485</f>
        <v/>
      </c>
      <c r="J485" s="147">
        <f>E485+F485+G485</f>
        <v/>
      </c>
      <c r="K485" s="147">
        <f>IF(AND(D485&gt;0.005,Mortgage!$H$7&gt;0.8,D485/Mortgage!$B$5&gt;Mortgage!$B$14),Mortgage!$H$5*Mortgage!$B$13/12,0)</f>
        <v/>
      </c>
      <c r="L485" s="147">
        <f>IF(D485&gt;0.005,Mortgage!$B$11/12*(1+Mortgage!$B$16)^(C485-1),0)</f>
        <v/>
      </c>
      <c r="M485" s="147">
        <f>IF(D485&gt;0.005,Mortgage!$B$12/12*(1+Mortgage!$B$16)^(C485-1),0)</f>
        <v/>
      </c>
      <c r="N485" s="147">
        <f>IF(D485&gt;0.005,Mortgage!$B$15,0)</f>
        <v/>
      </c>
      <c r="O485" s="147">
        <f>J485+K485+L485+M485+N485</f>
        <v/>
      </c>
      <c r="P485" s="147">
        <f>P484+E485</f>
        <v/>
      </c>
      <c r="Q485" s="147">
        <f>IF(D485&gt;0.005,Mortgage!$B$5*(1+Mortgage!$B$17)^(A485/12),"")</f>
        <v/>
      </c>
      <c r="R485" s="147">
        <f>IF(D485&gt;0.005,Q485-I485,"")</f>
        <v/>
      </c>
      <c r="S485" s="147">
        <f>IF(A485&gt;Mortgage!$B$8*12,0,IF(Mortgage!$B$7=0,MAX(0,Mortgage!$H$5-Mortgage!$H$8*A485),MAX(0,Mortgage!$H$5*(1+(Mortgage!$B$7/12))^A485-Mortgage!$H$8*((1+(Mortgage!$B$7/12))^A485-1)/(Mortgage!$B$7/12))))</f>
        <v/>
      </c>
      <c r="T485" s="149">
        <f>IF(D485&gt;0.005,I485/Mortgage!$B$5,"")</f>
        <v/>
      </c>
      <c r="U485">
        <f>IF(A485&gt;Mortgage!$B$8*12,NA(),B485)</f>
        <v/>
      </c>
      <c r="V485">
        <f>IF(D485&gt;0.005,I485,NA())</f>
        <v/>
      </c>
      <c r="W485">
        <f>IF(A485&gt;Mortgage!$B$8*12,NA(),S485)</f>
        <v/>
      </c>
    </row>
  </sheetData>
  <conditionalFormatting sqref="A6:T485">
    <cfRule type="expression" priority="1" dxfId="7">
      <formula>$D6&lt;=0.005</formula>
    </cfRule>
  </conditionalFormatting>
  <pageMargins left="0.4" right="0.4" top="0.5" bottom="0.6" header="0.5" footer="0.5"/>
  <pageSetup orientation="landscape" paperSize="1" fitToHeight="0" fitToWidth="1"/>
  <headerFooter>
    <oddHeader/>
    <oddFooter>&amp;L&amp;A&amp;RPage &amp;P of &amp;N</oddFooter>
    <evenHeader/>
    <evenFooter/>
    <firstHeader/>
    <firstFooter/>
  </headerFooter>
</worksheet>
</file>

<file path=xl/worksheets/sheet17.xml><?xml version="1.0" encoding="utf-8"?>
<worksheet xmlns="http://schemas.openxmlformats.org/spreadsheetml/2006/main">
  <sheetPr codeName="shDebtCalc">
    <tabColor rgb="009CA3AF"/>
    <outlinePr summaryBelow="1" summaryRight="1"/>
    <pageSetUpPr/>
  </sheetPr>
  <dimension ref="A1:CP491"/>
  <sheetViews>
    <sheetView showGridLines="0" tabSelected="0" zoomScale="85" workbookViewId="0">
      <pane xSplit="2" ySplit="11" topLeftCell="C12" activePane="bottomRight" state="frozen"/>
      <selection pane="topRight"/>
      <selection pane="bottomLeft"/>
      <selection pane="bottomRight" activeCell="A1" sqref="A1"/>
    </sheetView>
  </sheetViews>
  <sheetFormatPr baseColWidth="8" defaultRowHeight="15"/>
  <cols>
    <col width="13" customWidth="1" min="1" max="1"/>
    <col width="13" customWidth="1" min="2" max="2"/>
    <col width="13" customWidth="1" min="3" max="3"/>
    <col width="13" customWidth="1" min="4" max="4"/>
    <col width="13" customWidth="1" min="5" max="5"/>
    <col width="13" customWidth="1" min="6" max="6"/>
    <col width="13" customWidth="1" min="7" max="7"/>
    <col width="13" customWidth="1" min="8" max="8"/>
    <col width="13" customWidth="1" min="9" max="9"/>
    <col width="13" customWidth="1" min="10" max="10"/>
    <col width="13" customWidth="1" min="11" max="11"/>
    <col width="13" customWidth="1" min="12" max="12"/>
    <col width="13" customWidth="1" min="13" max="13"/>
    <col width="13" customWidth="1" min="14" max="14"/>
    <col width="13" customWidth="1" min="15" max="15"/>
    <col width="13" customWidth="1" min="16" max="16"/>
    <col width="13" customWidth="1" min="17" max="17"/>
    <col width="13" customWidth="1" min="18" max="18"/>
    <col width="13" customWidth="1" min="19" max="19"/>
    <col width="13" customWidth="1" min="20" max="20"/>
    <col width="13" customWidth="1" min="21" max="21"/>
    <col width="13" customWidth="1" min="22" max="22"/>
    <col width="13" customWidth="1" min="23" max="23"/>
    <col width="13"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Debt Calc</t>
        </is>
      </c>
    </row>
    <row r="2" ht="20" customHeight="1">
      <c r="A2" s="61" t="inlineStr">
        <is>
          <t>Month-by-month engine for the Debt Payoff tab. No inputs here.</t>
        </is>
      </c>
      <c r="B2" s="2" t="n"/>
      <c r="C2" s="2" t="n"/>
      <c r="D2" s="2" t="n"/>
      <c r="E2" s="2" t="n"/>
      <c r="F2" s="2" t="n"/>
      <c r="G2" s="2" t="n"/>
      <c r="H2" s="2" t="n"/>
      <c r="I2" s="2" t="n"/>
      <c r="J2" s="2" t="n"/>
      <c r="K2" s="2" t="n"/>
      <c r="L2" s="2" t="n"/>
    </row>
    <row r="3">
      <c r="A3" s="17" t="inlineStr">
        <is>
          <t>Each block pays every minimum, then puts the extra (plus minimums freed up by paid-off debts) on the first debt in its order.</t>
        </is>
      </c>
    </row>
    <row r="4">
      <c r="B4" s="150" t="inlineStr">
        <is>
          <t>AVALANCHE</t>
        </is>
      </c>
      <c r="AR4" s="151" t="inlineStr">
        <is>
          <t>Summary</t>
        </is>
      </c>
      <c r="AW4" s="150" t="inlineStr">
        <is>
          <t>SNOWBALL</t>
        </is>
      </c>
      <c r="CM4" s="151" t="inlineStr">
        <is>
          <t>Summary</t>
        </is>
      </c>
    </row>
    <row r="5">
      <c r="C5">
        <f>IFERROR(MATCH(1,'Debt Payoff'!$G$11:$G$20,0),0)</f>
        <v/>
      </c>
      <c r="G5">
        <f>IFERROR(MATCH(2,'Debt Payoff'!$G$11:$G$20,0),0)</f>
        <v/>
      </c>
      <c r="K5">
        <f>IFERROR(MATCH(3,'Debt Payoff'!$G$11:$G$20,0),0)</f>
        <v/>
      </c>
      <c r="O5">
        <f>IFERROR(MATCH(4,'Debt Payoff'!$G$11:$G$20,0),0)</f>
        <v/>
      </c>
      <c r="S5">
        <f>IFERROR(MATCH(5,'Debt Payoff'!$G$11:$G$20,0),0)</f>
        <v/>
      </c>
      <c r="W5">
        <f>IFERROR(MATCH(6,'Debt Payoff'!$G$11:$G$20,0),0)</f>
        <v/>
      </c>
      <c r="AA5">
        <f>IFERROR(MATCH(7,'Debt Payoff'!$G$11:$G$20,0),0)</f>
        <v/>
      </c>
      <c r="AE5">
        <f>IFERROR(MATCH(8,'Debt Payoff'!$G$11:$G$20,0),0)</f>
        <v/>
      </c>
      <c r="AI5">
        <f>IFERROR(MATCH(9,'Debt Payoff'!$G$11:$G$20,0),0)</f>
        <v/>
      </c>
      <c r="AM5">
        <f>IFERROR(MATCH(10,'Debt Payoff'!$G$11:$G$20,0),0)</f>
        <v/>
      </c>
      <c r="AR5" t="inlineStr">
        <is>
          <t>Total paid</t>
        </is>
      </c>
      <c r="AS5">
        <f>SUM(AR12:AR491)</f>
        <v/>
      </c>
      <c r="AX5">
        <f>IFERROR(MATCH(1,'Debt Payoff'!$F$11:$F$20,0),0)</f>
        <v/>
      </c>
      <c r="BB5">
        <f>IFERROR(MATCH(2,'Debt Payoff'!$F$11:$F$20,0),0)</f>
        <v/>
      </c>
      <c r="BF5">
        <f>IFERROR(MATCH(3,'Debt Payoff'!$F$11:$F$20,0),0)</f>
        <v/>
      </c>
      <c r="BJ5">
        <f>IFERROR(MATCH(4,'Debt Payoff'!$F$11:$F$20,0),0)</f>
        <v/>
      </c>
      <c r="BN5">
        <f>IFERROR(MATCH(5,'Debt Payoff'!$F$11:$F$20,0),0)</f>
        <v/>
      </c>
      <c r="BR5">
        <f>IFERROR(MATCH(6,'Debt Payoff'!$F$11:$F$20,0),0)</f>
        <v/>
      </c>
      <c r="BV5">
        <f>IFERROR(MATCH(7,'Debt Payoff'!$F$11:$F$20,0),0)</f>
        <v/>
      </c>
      <c r="BZ5">
        <f>IFERROR(MATCH(8,'Debt Payoff'!$F$11:$F$20,0),0)</f>
        <v/>
      </c>
      <c r="CD5">
        <f>IFERROR(MATCH(9,'Debt Payoff'!$F$11:$F$20,0),0)</f>
        <v/>
      </c>
      <c r="CH5">
        <f>IFERROR(MATCH(10,'Debt Payoff'!$F$11:$F$20,0),0)</f>
        <v/>
      </c>
      <c r="CM5" t="inlineStr">
        <is>
          <t>Total paid</t>
        </is>
      </c>
      <c r="CN5">
        <f>SUM(CM12:CM491)</f>
        <v/>
      </c>
    </row>
    <row r="6">
      <c r="C6">
        <f>IF(C5=0,0,INDEX('Debt Payoff'!$C$11:$C$20,C5)/12)</f>
        <v/>
      </c>
      <c r="G6">
        <f>IF(G5=0,0,INDEX('Debt Payoff'!$C$11:$C$20,G5)/12)</f>
        <v/>
      </c>
      <c r="K6">
        <f>IF(K5=0,0,INDEX('Debt Payoff'!$C$11:$C$20,K5)/12)</f>
        <v/>
      </c>
      <c r="O6">
        <f>IF(O5=0,0,INDEX('Debt Payoff'!$C$11:$C$20,O5)/12)</f>
        <v/>
      </c>
      <c r="S6">
        <f>IF(S5=0,0,INDEX('Debt Payoff'!$C$11:$C$20,S5)/12)</f>
        <v/>
      </c>
      <c r="W6">
        <f>IF(W5=0,0,INDEX('Debt Payoff'!$C$11:$C$20,W5)/12)</f>
        <v/>
      </c>
      <c r="AA6">
        <f>IF(AA5=0,0,INDEX('Debt Payoff'!$C$11:$C$20,AA5)/12)</f>
        <v/>
      </c>
      <c r="AE6">
        <f>IF(AE5=0,0,INDEX('Debt Payoff'!$C$11:$C$20,AE5)/12)</f>
        <v/>
      </c>
      <c r="AI6">
        <f>IF(AI5=0,0,INDEX('Debt Payoff'!$C$11:$C$20,AI5)/12)</f>
        <v/>
      </c>
      <c r="AM6">
        <f>IF(AM5=0,0,INDEX('Debt Payoff'!$C$11:$C$20,AM5)/12)</f>
        <v/>
      </c>
      <c r="AR6" t="inlineStr">
        <is>
          <t>Months to debt-free</t>
        </is>
      </c>
      <c r="AS6">
        <f>IF(AS11&lt;=0.005,0,COUNTIF(AS12:AS491,"&gt;0.005")+1)</f>
        <v/>
      </c>
      <c r="AX6">
        <f>IF(AX5=0,0,INDEX('Debt Payoff'!$C$11:$C$20,AX5)/12)</f>
        <v/>
      </c>
      <c r="BB6">
        <f>IF(BB5=0,0,INDEX('Debt Payoff'!$C$11:$C$20,BB5)/12)</f>
        <v/>
      </c>
      <c r="BF6">
        <f>IF(BF5=0,0,INDEX('Debt Payoff'!$C$11:$C$20,BF5)/12)</f>
        <v/>
      </c>
      <c r="BJ6">
        <f>IF(BJ5=0,0,INDEX('Debt Payoff'!$C$11:$C$20,BJ5)/12)</f>
        <v/>
      </c>
      <c r="BN6">
        <f>IF(BN5=0,0,INDEX('Debt Payoff'!$C$11:$C$20,BN5)/12)</f>
        <v/>
      </c>
      <c r="BR6">
        <f>IF(BR5=0,0,INDEX('Debt Payoff'!$C$11:$C$20,BR5)/12)</f>
        <v/>
      </c>
      <c r="BV6">
        <f>IF(BV5=0,0,INDEX('Debt Payoff'!$C$11:$C$20,BV5)/12)</f>
        <v/>
      </c>
      <c r="BZ6">
        <f>IF(BZ5=0,0,INDEX('Debt Payoff'!$C$11:$C$20,BZ5)/12)</f>
        <v/>
      </c>
      <c r="CD6">
        <f>IF(CD5=0,0,INDEX('Debt Payoff'!$C$11:$C$20,CD5)/12)</f>
        <v/>
      </c>
      <c r="CH6">
        <f>IF(CH5=0,0,INDEX('Debt Payoff'!$C$11:$C$20,CH5)/12)</f>
        <v/>
      </c>
      <c r="CM6" t="inlineStr">
        <is>
          <t>Months to debt-free</t>
        </is>
      </c>
      <c r="CN6">
        <f>IF(CN11&lt;=0.005,0,COUNTIF(CN12:CN491,"&gt;0.005")+1)</f>
        <v/>
      </c>
    </row>
    <row r="7">
      <c r="C7">
        <f>IF(C5=0,0,INDEX('Debt Payoff'!$D$11:$D$20,C5))</f>
        <v/>
      </c>
      <c r="G7">
        <f>IF(G5=0,0,INDEX('Debt Payoff'!$D$11:$D$20,G5))</f>
        <v/>
      </c>
      <c r="K7">
        <f>IF(K5=0,0,INDEX('Debt Payoff'!$D$11:$D$20,K5))</f>
        <v/>
      </c>
      <c r="O7">
        <f>IF(O5=0,0,INDEX('Debt Payoff'!$D$11:$D$20,O5))</f>
        <v/>
      </c>
      <c r="S7">
        <f>IF(S5=0,0,INDEX('Debt Payoff'!$D$11:$D$20,S5))</f>
        <v/>
      </c>
      <c r="W7">
        <f>IF(W5=0,0,INDEX('Debt Payoff'!$D$11:$D$20,W5))</f>
        <v/>
      </c>
      <c r="AA7">
        <f>IF(AA5=0,0,INDEX('Debt Payoff'!$D$11:$D$20,AA5))</f>
        <v/>
      </c>
      <c r="AE7">
        <f>IF(AE5=0,0,INDEX('Debt Payoff'!$D$11:$D$20,AE5))</f>
        <v/>
      </c>
      <c r="AI7">
        <f>IF(AI5=0,0,INDEX('Debt Payoff'!$D$11:$D$20,AI5))</f>
        <v/>
      </c>
      <c r="AM7">
        <f>IF(AM5=0,0,INDEX('Debt Payoff'!$D$11:$D$20,AM5))</f>
        <v/>
      </c>
      <c r="AR7" t="inlineStr">
        <is>
          <t>Total interest</t>
        </is>
      </c>
      <c r="AS7">
        <f>MAX(0,AS5-AS11)</f>
        <v/>
      </c>
      <c r="AX7">
        <f>IF(AX5=0,0,INDEX('Debt Payoff'!$D$11:$D$20,AX5))</f>
        <v/>
      </c>
      <c r="BB7">
        <f>IF(BB5=0,0,INDEX('Debt Payoff'!$D$11:$D$20,BB5))</f>
        <v/>
      </c>
      <c r="BF7">
        <f>IF(BF5=0,0,INDEX('Debt Payoff'!$D$11:$D$20,BF5))</f>
        <v/>
      </c>
      <c r="BJ7">
        <f>IF(BJ5=0,0,INDEX('Debt Payoff'!$D$11:$D$20,BJ5))</f>
        <v/>
      </c>
      <c r="BN7">
        <f>IF(BN5=0,0,INDEX('Debt Payoff'!$D$11:$D$20,BN5))</f>
        <v/>
      </c>
      <c r="BR7">
        <f>IF(BR5=0,0,INDEX('Debt Payoff'!$D$11:$D$20,BR5))</f>
        <v/>
      </c>
      <c r="BV7">
        <f>IF(BV5=0,0,INDEX('Debt Payoff'!$D$11:$D$20,BV5))</f>
        <v/>
      </c>
      <c r="BZ7">
        <f>IF(BZ5=0,0,INDEX('Debt Payoff'!$D$11:$D$20,BZ5))</f>
        <v/>
      </c>
      <c r="CD7">
        <f>IF(CD5=0,0,INDEX('Debt Payoff'!$D$11:$D$20,CD5))</f>
        <v/>
      </c>
      <c r="CH7">
        <f>IF(CH5=0,0,INDEX('Debt Payoff'!$D$11:$D$20,CH5))</f>
        <v/>
      </c>
      <c r="CM7" t="inlineStr">
        <is>
          <t>Total interest</t>
        </is>
      </c>
      <c r="CN7">
        <f>MAX(0,CN5-CN11)</f>
        <v/>
      </c>
    </row>
    <row r="8">
      <c r="C8">
        <f>IF(C5=0,0,INDEX('Debt Payoff'!$B$11:$B$20,C5))</f>
        <v/>
      </c>
      <c r="G8">
        <f>IF(G5=0,0,INDEX('Debt Payoff'!$B$11:$B$20,G5))</f>
        <v/>
      </c>
      <c r="K8">
        <f>IF(K5=0,0,INDEX('Debt Payoff'!$B$11:$B$20,K5))</f>
        <v/>
      </c>
      <c r="O8">
        <f>IF(O5=0,0,INDEX('Debt Payoff'!$B$11:$B$20,O5))</f>
        <v/>
      </c>
      <c r="S8">
        <f>IF(S5=0,0,INDEX('Debt Payoff'!$B$11:$B$20,S5))</f>
        <v/>
      </c>
      <c r="W8">
        <f>IF(W5=0,0,INDEX('Debt Payoff'!$B$11:$B$20,W5))</f>
        <v/>
      </c>
      <c r="AA8">
        <f>IF(AA5=0,0,INDEX('Debt Payoff'!$B$11:$B$20,AA5))</f>
        <v/>
      </c>
      <c r="AE8">
        <f>IF(AE5=0,0,INDEX('Debt Payoff'!$B$11:$B$20,AE5))</f>
        <v/>
      </c>
      <c r="AI8">
        <f>IF(AI5=0,0,INDEX('Debt Payoff'!$B$11:$B$20,AI5))</f>
        <v/>
      </c>
      <c r="AM8">
        <f>IF(AM5=0,0,INDEX('Debt Payoff'!$B$11:$B$20,AM5))</f>
        <v/>
      </c>
      <c r="AX8">
        <f>IF(AX5=0,0,INDEX('Debt Payoff'!$B$11:$B$20,AX5))</f>
        <v/>
      </c>
      <c r="BB8">
        <f>IF(BB5=0,0,INDEX('Debt Payoff'!$B$11:$B$20,BB5))</f>
        <v/>
      </c>
      <c r="BF8">
        <f>IF(BF5=0,0,INDEX('Debt Payoff'!$B$11:$B$20,BF5))</f>
        <v/>
      </c>
      <c r="BJ8">
        <f>IF(BJ5=0,0,INDEX('Debt Payoff'!$B$11:$B$20,BJ5))</f>
        <v/>
      </c>
      <c r="BN8">
        <f>IF(BN5=0,0,INDEX('Debt Payoff'!$B$11:$B$20,BN5))</f>
        <v/>
      </c>
      <c r="BR8">
        <f>IF(BR5=0,0,INDEX('Debt Payoff'!$B$11:$B$20,BR5))</f>
        <v/>
      </c>
      <c r="BV8">
        <f>IF(BV5=0,0,INDEX('Debt Payoff'!$B$11:$B$20,BV5))</f>
        <v/>
      </c>
      <c r="BZ8">
        <f>IF(BZ5=0,0,INDEX('Debt Payoff'!$B$11:$B$20,BZ5))</f>
        <v/>
      </c>
      <c r="CD8">
        <f>IF(CD5=0,0,INDEX('Debt Payoff'!$B$11:$B$20,CD5))</f>
        <v/>
      </c>
      <c r="CH8">
        <f>IF(CH5=0,0,INDEX('Debt Payoff'!$B$11:$B$20,CH5))</f>
        <v/>
      </c>
    </row>
    <row r="10">
      <c r="B10" s="151" t="inlineStr">
        <is>
          <t>Month</t>
        </is>
      </c>
      <c r="C10" s="151" t="inlineStr">
        <is>
          <t>#1 Due</t>
        </is>
      </c>
      <c r="D10" s="151" t="inlineStr">
        <is>
          <t>#1 Minimum</t>
        </is>
      </c>
      <c r="E10" s="151" t="inlineStr">
        <is>
          <t>#1 Extra</t>
        </is>
      </c>
      <c r="F10" s="151" t="inlineStr">
        <is>
          <t>#1 Balance</t>
        </is>
      </c>
      <c r="G10" s="151" t="inlineStr">
        <is>
          <t>#2 Due</t>
        </is>
      </c>
      <c r="H10" s="151" t="inlineStr">
        <is>
          <t>#2 Minimum</t>
        </is>
      </c>
      <c r="I10" s="151" t="inlineStr">
        <is>
          <t>#2 Extra</t>
        </is>
      </c>
      <c r="J10" s="151" t="inlineStr">
        <is>
          <t>#2 Balance</t>
        </is>
      </c>
      <c r="K10" s="151" t="inlineStr">
        <is>
          <t>#3 Due</t>
        </is>
      </c>
      <c r="L10" s="151" t="inlineStr">
        <is>
          <t>#3 Minimum</t>
        </is>
      </c>
      <c r="M10" s="151" t="inlineStr">
        <is>
          <t>#3 Extra</t>
        </is>
      </c>
      <c r="N10" s="151" t="inlineStr">
        <is>
          <t>#3 Balance</t>
        </is>
      </c>
      <c r="O10" s="151" t="inlineStr">
        <is>
          <t>#4 Due</t>
        </is>
      </c>
      <c r="P10" s="151" t="inlineStr">
        <is>
          <t>#4 Minimum</t>
        </is>
      </c>
      <c r="Q10" s="151" t="inlineStr">
        <is>
          <t>#4 Extra</t>
        </is>
      </c>
      <c r="R10" s="151" t="inlineStr">
        <is>
          <t>#4 Balance</t>
        </is>
      </c>
      <c r="S10" s="151" t="inlineStr">
        <is>
          <t>#5 Due</t>
        </is>
      </c>
      <c r="T10" s="151" t="inlineStr">
        <is>
          <t>#5 Minimum</t>
        </is>
      </c>
      <c r="U10" s="151" t="inlineStr">
        <is>
          <t>#5 Extra</t>
        </is>
      </c>
      <c r="V10" s="151" t="inlineStr">
        <is>
          <t>#5 Balance</t>
        </is>
      </c>
      <c r="W10" s="151" t="inlineStr">
        <is>
          <t>#6 Due</t>
        </is>
      </c>
      <c r="X10" s="151" t="inlineStr">
        <is>
          <t>#6 Minimum</t>
        </is>
      </c>
      <c r="Y10" s="151" t="inlineStr">
        <is>
          <t>#6 Extra</t>
        </is>
      </c>
      <c r="Z10" s="151" t="inlineStr">
        <is>
          <t>#6 Balance</t>
        </is>
      </c>
      <c r="AA10" s="151" t="inlineStr">
        <is>
          <t>#7 Due</t>
        </is>
      </c>
      <c r="AB10" s="151" t="inlineStr">
        <is>
          <t>#7 Minimum</t>
        </is>
      </c>
      <c r="AC10" s="151" t="inlineStr">
        <is>
          <t>#7 Extra</t>
        </is>
      </c>
      <c r="AD10" s="151" t="inlineStr">
        <is>
          <t>#7 Balance</t>
        </is>
      </c>
      <c r="AE10" s="151" t="inlineStr">
        <is>
          <t>#8 Due</t>
        </is>
      </c>
      <c r="AF10" s="151" t="inlineStr">
        <is>
          <t>#8 Minimum</t>
        </is>
      </c>
      <c r="AG10" s="151" t="inlineStr">
        <is>
          <t>#8 Extra</t>
        </is>
      </c>
      <c r="AH10" s="151" t="inlineStr">
        <is>
          <t>#8 Balance</t>
        </is>
      </c>
      <c r="AI10" s="151" t="inlineStr">
        <is>
          <t>#9 Due</t>
        </is>
      </c>
      <c r="AJ10" s="151" t="inlineStr">
        <is>
          <t>#9 Minimum</t>
        </is>
      </c>
      <c r="AK10" s="151" t="inlineStr">
        <is>
          <t>#9 Extra</t>
        </is>
      </c>
      <c r="AL10" s="151" t="inlineStr">
        <is>
          <t>#9 Balance</t>
        </is>
      </c>
      <c r="AM10" s="151" t="inlineStr">
        <is>
          <t>#10 Due</t>
        </is>
      </c>
      <c r="AN10" s="151" t="inlineStr">
        <is>
          <t>#10 Minimum</t>
        </is>
      </c>
      <c r="AO10" s="151" t="inlineStr">
        <is>
          <t>#10 Extra</t>
        </is>
      </c>
      <c r="AP10" s="151" t="inlineStr">
        <is>
          <t>#10 Balance</t>
        </is>
      </c>
      <c r="AQ10" s="151" t="inlineStr">
        <is>
          <t>Pool for extra</t>
        </is>
      </c>
      <c r="AR10" s="151" t="inlineStr">
        <is>
          <t>Total paid</t>
        </is>
      </c>
      <c r="AS10" s="151" t="inlineStr">
        <is>
          <t>Total balance</t>
        </is>
      </c>
      <c r="AT10" s="151" t="inlineStr">
        <is>
          <t>Chart month</t>
        </is>
      </c>
      <c r="AU10" s="151" t="inlineStr">
        <is>
          <t>Chart balance</t>
        </is>
      </c>
      <c r="AW10" s="151" t="inlineStr">
        <is>
          <t>Month</t>
        </is>
      </c>
      <c r="AX10" s="151" t="inlineStr">
        <is>
          <t>#1 Due</t>
        </is>
      </c>
      <c r="AY10" s="151" t="inlineStr">
        <is>
          <t>#1 Minimum</t>
        </is>
      </c>
      <c r="AZ10" s="151" t="inlineStr">
        <is>
          <t>#1 Extra</t>
        </is>
      </c>
      <c r="BA10" s="151" t="inlineStr">
        <is>
          <t>#1 Balance</t>
        </is>
      </c>
      <c r="BB10" s="151" t="inlineStr">
        <is>
          <t>#2 Due</t>
        </is>
      </c>
      <c r="BC10" s="151" t="inlineStr">
        <is>
          <t>#2 Minimum</t>
        </is>
      </c>
      <c r="BD10" s="151" t="inlineStr">
        <is>
          <t>#2 Extra</t>
        </is>
      </c>
      <c r="BE10" s="151" t="inlineStr">
        <is>
          <t>#2 Balance</t>
        </is>
      </c>
      <c r="BF10" s="151" t="inlineStr">
        <is>
          <t>#3 Due</t>
        </is>
      </c>
      <c r="BG10" s="151" t="inlineStr">
        <is>
          <t>#3 Minimum</t>
        </is>
      </c>
      <c r="BH10" s="151" t="inlineStr">
        <is>
          <t>#3 Extra</t>
        </is>
      </c>
      <c r="BI10" s="151" t="inlineStr">
        <is>
          <t>#3 Balance</t>
        </is>
      </c>
      <c r="BJ10" s="151" t="inlineStr">
        <is>
          <t>#4 Due</t>
        </is>
      </c>
      <c r="BK10" s="151" t="inlineStr">
        <is>
          <t>#4 Minimum</t>
        </is>
      </c>
      <c r="BL10" s="151" t="inlineStr">
        <is>
          <t>#4 Extra</t>
        </is>
      </c>
      <c r="BM10" s="151" t="inlineStr">
        <is>
          <t>#4 Balance</t>
        </is>
      </c>
      <c r="BN10" s="151" t="inlineStr">
        <is>
          <t>#5 Due</t>
        </is>
      </c>
      <c r="BO10" s="151" t="inlineStr">
        <is>
          <t>#5 Minimum</t>
        </is>
      </c>
      <c r="BP10" s="151" t="inlineStr">
        <is>
          <t>#5 Extra</t>
        </is>
      </c>
      <c r="BQ10" s="151" t="inlineStr">
        <is>
          <t>#5 Balance</t>
        </is>
      </c>
      <c r="BR10" s="151" t="inlineStr">
        <is>
          <t>#6 Due</t>
        </is>
      </c>
      <c r="BS10" s="151" t="inlineStr">
        <is>
          <t>#6 Minimum</t>
        </is>
      </c>
      <c r="BT10" s="151" t="inlineStr">
        <is>
          <t>#6 Extra</t>
        </is>
      </c>
      <c r="BU10" s="151" t="inlineStr">
        <is>
          <t>#6 Balance</t>
        </is>
      </c>
      <c r="BV10" s="151" t="inlineStr">
        <is>
          <t>#7 Due</t>
        </is>
      </c>
      <c r="BW10" s="151" t="inlineStr">
        <is>
          <t>#7 Minimum</t>
        </is>
      </c>
      <c r="BX10" s="151" t="inlineStr">
        <is>
          <t>#7 Extra</t>
        </is>
      </c>
      <c r="BY10" s="151" t="inlineStr">
        <is>
          <t>#7 Balance</t>
        </is>
      </c>
      <c r="BZ10" s="151" t="inlineStr">
        <is>
          <t>#8 Due</t>
        </is>
      </c>
      <c r="CA10" s="151" t="inlineStr">
        <is>
          <t>#8 Minimum</t>
        </is>
      </c>
      <c r="CB10" s="151" t="inlineStr">
        <is>
          <t>#8 Extra</t>
        </is>
      </c>
      <c r="CC10" s="151" t="inlineStr">
        <is>
          <t>#8 Balance</t>
        </is>
      </c>
      <c r="CD10" s="151" t="inlineStr">
        <is>
          <t>#9 Due</t>
        </is>
      </c>
      <c r="CE10" s="151" t="inlineStr">
        <is>
          <t>#9 Minimum</t>
        </is>
      </c>
      <c r="CF10" s="151" t="inlineStr">
        <is>
          <t>#9 Extra</t>
        </is>
      </c>
      <c r="CG10" s="151" t="inlineStr">
        <is>
          <t>#9 Balance</t>
        </is>
      </c>
      <c r="CH10" s="151" t="inlineStr">
        <is>
          <t>#10 Due</t>
        </is>
      </c>
      <c r="CI10" s="151" t="inlineStr">
        <is>
          <t>#10 Minimum</t>
        </is>
      </c>
      <c r="CJ10" s="151" t="inlineStr">
        <is>
          <t>#10 Extra</t>
        </is>
      </c>
      <c r="CK10" s="151" t="inlineStr">
        <is>
          <t>#10 Balance</t>
        </is>
      </c>
      <c r="CL10" s="151" t="inlineStr">
        <is>
          <t>Pool for extra</t>
        </is>
      </c>
      <c r="CM10" s="151" t="inlineStr">
        <is>
          <t>Total paid</t>
        </is>
      </c>
      <c r="CN10" s="151" t="inlineStr">
        <is>
          <t>Total balance</t>
        </is>
      </c>
      <c r="CO10" s="151" t="inlineStr">
        <is>
          <t>Chart month</t>
        </is>
      </c>
      <c r="CP10" s="151" t="inlineStr">
        <is>
          <t>Chart balance</t>
        </is>
      </c>
    </row>
    <row r="11">
      <c r="B11" s="152" t="n">
        <v>0</v>
      </c>
      <c r="C11" s="152" t="n"/>
      <c r="D11" s="152" t="n"/>
      <c r="E11" s="152" t="n"/>
      <c r="F11" s="152">
        <f>C8</f>
        <v/>
      </c>
      <c r="G11" s="152" t="n"/>
      <c r="H11" s="152" t="n"/>
      <c r="I11" s="152" t="n"/>
      <c r="J11" s="152">
        <f>G8</f>
        <v/>
      </c>
      <c r="K11" s="152" t="n"/>
      <c r="L11" s="152" t="n"/>
      <c r="M11" s="152" t="n"/>
      <c r="N11" s="152">
        <f>K8</f>
        <v/>
      </c>
      <c r="O11" s="152" t="n"/>
      <c r="P11" s="152" t="n"/>
      <c r="Q11" s="152" t="n"/>
      <c r="R11" s="152">
        <f>O8</f>
        <v/>
      </c>
      <c r="S11" s="152" t="n"/>
      <c r="T11" s="152" t="n"/>
      <c r="U11" s="152" t="n"/>
      <c r="V11" s="152">
        <f>S8</f>
        <v/>
      </c>
      <c r="W11" s="152" t="n"/>
      <c r="X11" s="152" t="n"/>
      <c r="Y11" s="152" t="n"/>
      <c r="Z11" s="152">
        <f>W8</f>
        <v/>
      </c>
      <c r="AA11" s="152" t="n"/>
      <c r="AB11" s="152" t="n"/>
      <c r="AC11" s="152" t="n"/>
      <c r="AD11" s="152">
        <f>AA8</f>
        <v/>
      </c>
      <c r="AE11" s="152" t="n"/>
      <c r="AF11" s="152" t="n"/>
      <c r="AG11" s="152" t="n"/>
      <c r="AH11" s="152">
        <f>AE8</f>
        <v/>
      </c>
      <c r="AI11" s="152" t="n"/>
      <c r="AJ11" s="152" t="n"/>
      <c r="AK11" s="152" t="n"/>
      <c r="AL11" s="152">
        <f>AI8</f>
        <v/>
      </c>
      <c r="AM11" s="152" t="n"/>
      <c r="AN11" s="152" t="n"/>
      <c r="AO11" s="152" t="n"/>
      <c r="AP11" s="152">
        <f>AM8</f>
        <v/>
      </c>
      <c r="AQ11" s="152" t="n"/>
      <c r="AR11" s="152" t="n"/>
      <c r="AS11" s="152">
        <f>F11+J11+N11+R11+V11+Z11+AD11+AH11+AL11+AP11</f>
        <v/>
      </c>
      <c r="AT11" s="152">
        <f>IF(B11&gt;AS$6,NA(),B11)</f>
        <v/>
      </c>
      <c r="AU11" s="152">
        <f>IF(B11&gt;AS$6,NA(),AS11)</f>
        <v/>
      </c>
      <c r="AV11" s="152" t="n"/>
      <c r="AW11" s="152" t="n">
        <v>0</v>
      </c>
      <c r="AX11" s="152" t="n"/>
      <c r="AY11" s="152" t="n"/>
      <c r="AZ11" s="152" t="n"/>
      <c r="BA11" s="152">
        <f>AX8</f>
        <v/>
      </c>
      <c r="BB11" s="152" t="n"/>
      <c r="BC11" s="152" t="n"/>
      <c r="BD11" s="152" t="n"/>
      <c r="BE11" s="152">
        <f>BB8</f>
        <v/>
      </c>
      <c r="BF11" s="152" t="n"/>
      <c r="BG11" s="152" t="n"/>
      <c r="BH11" s="152" t="n"/>
      <c r="BI11" s="152">
        <f>BF8</f>
        <v/>
      </c>
      <c r="BJ11" s="152" t="n"/>
      <c r="BK11" s="152" t="n"/>
      <c r="BL11" s="152" t="n"/>
      <c r="BM11" s="152">
        <f>BJ8</f>
        <v/>
      </c>
      <c r="BN11" s="152" t="n"/>
      <c r="BO11" s="152" t="n"/>
      <c r="BP11" s="152" t="n"/>
      <c r="BQ11" s="152">
        <f>BN8</f>
        <v/>
      </c>
      <c r="BR11" s="152" t="n"/>
      <c r="BS11" s="152" t="n"/>
      <c r="BT11" s="152" t="n"/>
      <c r="BU11" s="152">
        <f>BR8</f>
        <v/>
      </c>
      <c r="BV11" s="152" t="n"/>
      <c r="BW11" s="152" t="n"/>
      <c r="BX11" s="152" t="n"/>
      <c r="BY11" s="152">
        <f>BV8</f>
        <v/>
      </c>
      <c r="BZ11" s="152" t="n"/>
      <c r="CA11" s="152" t="n"/>
      <c r="CB11" s="152" t="n"/>
      <c r="CC11" s="152">
        <f>BZ8</f>
        <v/>
      </c>
      <c r="CD11" s="152" t="n"/>
      <c r="CE11" s="152" t="n"/>
      <c r="CF11" s="152" t="n"/>
      <c r="CG11" s="152">
        <f>CD8</f>
        <v/>
      </c>
      <c r="CH11" s="152" t="n"/>
      <c r="CI11" s="152" t="n"/>
      <c r="CJ11" s="152" t="n"/>
      <c r="CK11" s="152">
        <f>CH8</f>
        <v/>
      </c>
      <c r="CL11" s="152" t="n"/>
      <c r="CM11" s="152" t="n"/>
      <c r="CN11" s="152">
        <f>BA11+BE11+BI11+BM11+BQ11+BU11+BY11+CC11+CG11+CK11</f>
        <v/>
      </c>
      <c r="CO11" s="152">
        <f>IF(AW11&gt;CN$6,NA(),AW11)</f>
        <v/>
      </c>
      <c r="CP11" s="152">
        <f>IF(AW11&gt;CN$6,NA(),CN11)</f>
        <v/>
      </c>
    </row>
    <row r="12">
      <c r="B12" s="152" t="n">
        <v>1</v>
      </c>
      <c r="C12" s="152">
        <f>IF(F11&lt;=0.005,0,F11*(1+C$6))</f>
        <v/>
      </c>
      <c r="D12" s="152">
        <f>MIN(C12,C$7)</f>
        <v/>
      </c>
      <c r="E12" s="152">
        <f>MAX(0,MIN(C12-D12,AQ12))</f>
        <v/>
      </c>
      <c r="F12" s="152">
        <f>C12-D12-E12</f>
        <v/>
      </c>
      <c r="G12" s="152">
        <f>IF(J11&lt;=0.005,0,J11*(1+G$6))</f>
        <v/>
      </c>
      <c r="H12" s="152">
        <f>MIN(G12,G$7)</f>
        <v/>
      </c>
      <c r="I12" s="152">
        <f>MAX(0,MIN(G12-H12,AQ12-(E12)))</f>
        <v/>
      </c>
      <c r="J12" s="152">
        <f>G12-H12-I12</f>
        <v/>
      </c>
      <c r="K12" s="152">
        <f>IF(N11&lt;=0.005,0,N11*(1+K$6))</f>
        <v/>
      </c>
      <c r="L12" s="152">
        <f>MIN(K12,K$7)</f>
        <v/>
      </c>
      <c r="M12" s="152">
        <f>MAX(0,MIN(K12-L12,AQ12-(E12+I12)))</f>
        <v/>
      </c>
      <c r="N12" s="152">
        <f>K12-L12-M12</f>
        <v/>
      </c>
      <c r="O12" s="152">
        <f>IF(R11&lt;=0.005,0,R11*(1+O$6))</f>
        <v/>
      </c>
      <c r="P12" s="152">
        <f>MIN(O12,O$7)</f>
        <v/>
      </c>
      <c r="Q12" s="152">
        <f>MAX(0,MIN(O12-P12,AQ12-(E12+I12+M12)))</f>
        <v/>
      </c>
      <c r="R12" s="152">
        <f>O12-P12-Q12</f>
        <v/>
      </c>
      <c r="S12" s="152">
        <f>IF(V11&lt;=0.005,0,V11*(1+S$6))</f>
        <v/>
      </c>
      <c r="T12" s="152">
        <f>MIN(S12,S$7)</f>
        <v/>
      </c>
      <c r="U12" s="152">
        <f>MAX(0,MIN(S12-T12,AQ12-(E12+I12+M12+Q12)))</f>
        <v/>
      </c>
      <c r="V12" s="152">
        <f>S12-T12-U12</f>
        <v/>
      </c>
      <c r="W12" s="152">
        <f>IF(Z11&lt;=0.005,0,Z11*(1+W$6))</f>
        <v/>
      </c>
      <c r="X12" s="152">
        <f>MIN(W12,W$7)</f>
        <v/>
      </c>
      <c r="Y12" s="152">
        <f>MAX(0,MIN(W12-X12,AQ12-(E12+I12+M12+Q12+U12)))</f>
        <v/>
      </c>
      <c r="Z12" s="152">
        <f>W12-X12-Y12</f>
        <v/>
      </c>
      <c r="AA12" s="152">
        <f>IF(AD11&lt;=0.005,0,AD11*(1+AA$6))</f>
        <v/>
      </c>
      <c r="AB12" s="152">
        <f>MIN(AA12,AA$7)</f>
        <v/>
      </c>
      <c r="AC12" s="152">
        <f>MAX(0,MIN(AA12-AB12,AQ12-(E12+I12+M12+Q12+U12+Y12)))</f>
        <v/>
      </c>
      <c r="AD12" s="152">
        <f>AA12-AB12-AC12</f>
        <v/>
      </c>
      <c r="AE12" s="152">
        <f>IF(AH11&lt;=0.005,0,AH11*(1+AE$6))</f>
        <v/>
      </c>
      <c r="AF12" s="152">
        <f>MIN(AE12,AE$7)</f>
        <v/>
      </c>
      <c r="AG12" s="152">
        <f>MAX(0,MIN(AE12-AF12,AQ12-(E12+I12+M12+Q12+U12+Y12+AC12)))</f>
        <v/>
      </c>
      <c r="AH12" s="152">
        <f>AE12-AF12-AG12</f>
        <v/>
      </c>
      <c r="AI12" s="152">
        <f>IF(AL11&lt;=0.005,0,AL11*(1+AI$6))</f>
        <v/>
      </c>
      <c r="AJ12" s="152">
        <f>MIN(AI12,AI$7)</f>
        <v/>
      </c>
      <c r="AK12" s="152">
        <f>MAX(0,MIN(AI12-AJ12,AQ12-(E12+I12+M12+Q12+U12+Y12+AC12+AG12)))</f>
        <v/>
      </c>
      <c r="AL12" s="152">
        <f>AI12-AJ12-AK12</f>
        <v/>
      </c>
      <c r="AM12" s="152">
        <f>IF(AP11&lt;=0.005,0,AP11*(1+AM$6))</f>
        <v/>
      </c>
      <c r="AN12" s="152">
        <f>MIN(AM12,AM$7)</f>
        <v/>
      </c>
      <c r="AO12" s="152">
        <f>MAX(0,MIN(AM12-AN12,AQ12-(E12+I12+M12+Q12+U12+Y12+AC12+AG12+AK12)))</f>
        <v/>
      </c>
      <c r="AP12" s="152">
        <f>AM12-AN12-AO12</f>
        <v/>
      </c>
      <c r="AQ12" s="152">
        <f>'Debt Payoff'!$C$8-SUM(D12,H12,L12,P12,T12,X12,AB12,AF12,AJ12,AN12)</f>
        <v/>
      </c>
      <c r="AR12" s="152">
        <f>SUM(D12,H12,L12,P12,T12,X12,AB12,AF12,AJ12,AN12)+SUM(E12,I12,M12,Q12,U12,Y12,AC12,AG12,AK12,AO12)</f>
        <v/>
      </c>
      <c r="AS12" s="152">
        <f>SUM(F12,J12,N12,R12,V12,Z12,AD12,AH12,AL12,AP12)</f>
        <v/>
      </c>
      <c r="AT12" s="152">
        <f>IF(B12&gt;AS$6,NA(),B12)</f>
        <v/>
      </c>
      <c r="AU12" s="152">
        <f>IF(B12&gt;AS$6,NA(),AS12)</f>
        <v/>
      </c>
      <c r="AV12" s="152" t="n"/>
      <c r="AW12" s="152" t="n">
        <v>1</v>
      </c>
      <c r="AX12" s="152">
        <f>IF(BA11&lt;=0.005,0,BA11*(1+AX$6))</f>
        <v/>
      </c>
      <c r="AY12" s="152">
        <f>MIN(AX12,AX$7)</f>
        <v/>
      </c>
      <c r="AZ12" s="152">
        <f>MAX(0,MIN(AX12-AY12,CL12))</f>
        <v/>
      </c>
      <c r="BA12" s="152">
        <f>AX12-AY12-AZ12</f>
        <v/>
      </c>
      <c r="BB12" s="152">
        <f>IF(BE11&lt;=0.005,0,BE11*(1+BB$6))</f>
        <v/>
      </c>
      <c r="BC12" s="152">
        <f>MIN(BB12,BB$7)</f>
        <v/>
      </c>
      <c r="BD12" s="152">
        <f>MAX(0,MIN(BB12-BC12,CL12-(AZ12)))</f>
        <v/>
      </c>
      <c r="BE12" s="152">
        <f>BB12-BC12-BD12</f>
        <v/>
      </c>
      <c r="BF12" s="152">
        <f>IF(BI11&lt;=0.005,0,BI11*(1+BF$6))</f>
        <v/>
      </c>
      <c r="BG12" s="152">
        <f>MIN(BF12,BF$7)</f>
        <v/>
      </c>
      <c r="BH12" s="152">
        <f>MAX(0,MIN(BF12-BG12,CL12-(AZ12+BD12)))</f>
        <v/>
      </c>
      <c r="BI12" s="152">
        <f>BF12-BG12-BH12</f>
        <v/>
      </c>
      <c r="BJ12" s="152">
        <f>IF(BM11&lt;=0.005,0,BM11*(1+BJ$6))</f>
        <v/>
      </c>
      <c r="BK12" s="152">
        <f>MIN(BJ12,BJ$7)</f>
        <v/>
      </c>
      <c r="BL12" s="152">
        <f>MAX(0,MIN(BJ12-BK12,CL12-(AZ12+BD12+BH12)))</f>
        <v/>
      </c>
      <c r="BM12" s="152">
        <f>BJ12-BK12-BL12</f>
        <v/>
      </c>
      <c r="BN12" s="152">
        <f>IF(BQ11&lt;=0.005,0,BQ11*(1+BN$6))</f>
        <v/>
      </c>
      <c r="BO12" s="152">
        <f>MIN(BN12,BN$7)</f>
        <v/>
      </c>
      <c r="BP12" s="152">
        <f>MAX(0,MIN(BN12-BO12,CL12-(AZ12+BD12+BH12+BL12)))</f>
        <v/>
      </c>
      <c r="BQ12" s="152">
        <f>BN12-BO12-BP12</f>
        <v/>
      </c>
      <c r="BR12" s="152">
        <f>IF(BU11&lt;=0.005,0,BU11*(1+BR$6))</f>
        <v/>
      </c>
      <c r="BS12" s="152">
        <f>MIN(BR12,BR$7)</f>
        <v/>
      </c>
      <c r="BT12" s="152">
        <f>MAX(0,MIN(BR12-BS12,CL12-(AZ12+BD12+BH12+BL12+BP12)))</f>
        <v/>
      </c>
      <c r="BU12" s="152">
        <f>BR12-BS12-BT12</f>
        <v/>
      </c>
      <c r="BV12" s="152">
        <f>IF(BY11&lt;=0.005,0,BY11*(1+BV$6))</f>
        <v/>
      </c>
      <c r="BW12" s="152">
        <f>MIN(BV12,BV$7)</f>
        <v/>
      </c>
      <c r="BX12" s="152">
        <f>MAX(0,MIN(BV12-BW12,CL12-(AZ12+BD12+BH12+BL12+BP12+BT12)))</f>
        <v/>
      </c>
      <c r="BY12" s="152">
        <f>BV12-BW12-BX12</f>
        <v/>
      </c>
      <c r="BZ12" s="152">
        <f>IF(CC11&lt;=0.005,0,CC11*(1+BZ$6))</f>
        <v/>
      </c>
      <c r="CA12" s="152">
        <f>MIN(BZ12,BZ$7)</f>
        <v/>
      </c>
      <c r="CB12" s="152">
        <f>MAX(0,MIN(BZ12-CA12,CL12-(AZ12+BD12+BH12+BL12+BP12+BT12+BX12)))</f>
        <v/>
      </c>
      <c r="CC12" s="152">
        <f>BZ12-CA12-CB12</f>
        <v/>
      </c>
      <c r="CD12" s="152">
        <f>IF(CG11&lt;=0.005,0,CG11*(1+CD$6))</f>
        <v/>
      </c>
      <c r="CE12" s="152">
        <f>MIN(CD12,CD$7)</f>
        <v/>
      </c>
      <c r="CF12" s="152">
        <f>MAX(0,MIN(CD12-CE12,CL12-(AZ12+BD12+BH12+BL12+BP12+BT12+BX12+CB12)))</f>
        <v/>
      </c>
      <c r="CG12" s="152">
        <f>CD12-CE12-CF12</f>
        <v/>
      </c>
      <c r="CH12" s="152">
        <f>IF(CK11&lt;=0.005,0,CK11*(1+CH$6))</f>
        <v/>
      </c>
      <c r="CI12" s="152">
        <f>MIN(CH12,CH$7)</f>
        <v/>
      </c>
      <c r="CJ12" s="152">
        <f>MAX(0,MIN(CH12-CI12,CL12-(AZ12+BD12+BH12+BL12+BP12+BT12+BX12+CB12+CF12)))</f>
        <v/>
      </c>
      <c r="CK12" s="152">
        <f>CH12-CI12-CJ12</f>
        <v/>
      </c>
      <c r="CL12" s="152">
        <f>'Debt Payoff'!$C$8-SUM(AY12,BC12,BG12,BK12,BO12,BS12,BW12,CA12,CE12,CI12)</f>
        <v/>
      </c>
      <c r="CM12" s="152">
        <f>SUM(AY12,BC12,BG12,BK12,BO12,BS12,BW12,CA12,CE12,CI12)+SUM(AZ12,BD12,BH12,BL12,BP12,BT12,BX12,CB12,CF12,CJ12)</f>
        <v/>
      </c>
      <c r="CN12" s="152">
        <f>SUM(BA12,BE12,BI12,BM12,BQ12,BU12,BY12,CC12,CG12,CK12)</f>
        <v/>
      </c>
      <c r="CO12" s="152">
        <f>IF(AW12&gt;CN$6,NA(),AW12)</f>
        <v/>
      </c>
      <c r="CP12" s="152">
        <f>IF(AW12&gt;CN$6,NA(),CN12)</f>
        <v/>
      </c>
    </row>
    <row r="13">
      <c r="B13" s="152" t="n">
        <v>2</v>
      </c>
      <c r="C13" s="152">
        <f>IF(F12&lt;=0.005,0,F12*(1+C$6))</f>
        <v/>
      </c>
      <c r="D13" s="152">
        <f>MIN(C13,C$7)</f>
        <v/>
      </c>
      <c r="E13" s="152">
        <f>MAX(0,MIN(C13-D13,AQ13))</f>
        <v/>
      </c>
      <c r="F13" s="152">
        <f>C13-D13-E13</f>
        <v/>
      </c>
      <c r="G13" s="152">
        <f>IF(J12&lt;=0.005,0,J12*(1+G$6))</f>
        <v/>
      </c>
      <c r="H13" s="152">
        <f>MIN(G13,G$7)</f>
        <v/>
      </c>
      <c r="I13" s="152">
        <f>MAX(0,MIN(G13-H13,AQ13-(E13)))</f>
        <v/>
      </c>
      <c r="J13" s="152">
        <f>G13-H13-I13</f>
        <v/>
      </c>
      <c r="K13" s="152">
        <f>IF(N12&lt;=0.005,0,N12*(1+K$6))</f>
        <v/>
      </c>
      <c r="L13" s="152">
        <f>MIN(K13,K$7)</f>
        <v/>
      </c>
      <c r="M13" s="152">
        <f>MAX(0,MIN(K13-L13,AQ13-(E13+I13)))</f>
        <v/>
      </c>
      <c r="N13" s="152">
        <f>K13-L13-M13</f>
        <v/>
      </c>
      <c r="O13" s="152">
        <f>IF(R12&lt;=0.005,0,R12*(1+O$6))</f>
        <v/>
      </c>
      <c r="P13" s="152">
        <f>MIN(O13,O$7)</f>
        <v/>
      </c>
      <c r="Q13" s="152">
        <f>MAX(0,MIN(O13-P13,AQ13-(E13+I13+M13)))</f>
        <v/>
      </c>
      <c r="R13" s="152">
        <f>O13-P13-Q13</f>
        <v/>
      </c>
      <c r="S13" s="152">
        <f>IF(V12&lt;=0.005,0,V12*(1+S$6))</f>
        <v/>
      </c>
      <c r="T13" s="152">
        <f>MIN(S13,S$7)</f>
        <v/>
      </c>
      <c r="U13" s="152">
        <f>MAX(0,MIN(S13-T13,AQ13-(E13+I13+M13+Q13)))</f>
        <v/>
      </c>
      <c r="V13" s="152">
        <f>S13-T13-U13</f>
        <v/>
      </c>
      <c r="W13" s="152">
        <f>IF(Z12&lt;=0.005,0,Z12*(1+W$6))</f>
        <v/>
      </c>
      <c r="X13" s="152">
        <f>MIN(W13,W$7)</f>
        <v/>
      </c>
      <c r="Y13" s="152">
        <f>MAX(0,MIN(W13-X13,AQ13-(E13+I13+M13+Q13+U13)))</f>
        <v/>
      </c>
      <c r="Z13" s="152">
        <f>W13-X13-Y13</f>
        <v/>
      </c>
      <c r="AA13" s="152">
        <f>IF(AD12&lt;=0.005,0,AD12*(1+AA$6))</f>
        <v/>
      </c>
      <c r="AB13" s="152">
        <f>MIN(AA13,AA$7)</f>
        <v/>
      </c>
      <c r="AC13" s="152">
        <f>MAX(0,MIN(AA13-AB13,AQ13-(E13+I13+M13+Q13+U13+Y13)))</f>
        <v/>
      </c>
      <c r="AD13" s="152">
        <f>AA13-AB13-AC13</f>
        <v/>
      </c>
      <c r="AE13" s="152">
        <f>IF(AH12&lt;=0.005,0,AH12*(1+AE$6))</f>
        <v/>
      </c>
      <c r="AF13" s="152">
        <f>MIN(AE13,AE$7)</f>
        <v/>
      </c>
      <c r="AG13" s="152">
        <f>MAX(0,MIN(AE13-AF13,AQ13-(E13+I13+M13+Q13+U13+Y13+AC13)))</f>
        <v/>
      </c>
      <c r="AH13" s="152">
        <f>AE13-AF13-AG13</f>
        <v/>
      </c>
      <c r="AI13" s="152">
        <f>IF(AL12&lt;=0.005,0,AL12*(1+AI$6))</f>
        <v/>
      </c>
      <c r="AJ13" s="152">
        <f>MIN(AI13,AI$7)</f>
        <v/>
      </c>
      <c r="AK13" s="152">
        <f>MAX(0,MIN(AI13-AJ13,AQ13-(E13+I13+M13+Q13+U13+Y13+AC13+AG13)))</f>
        <v/>
      </c>
      <c r="AL13" s="152">
        <f>AI13-AJ13-AK13</f>
        <v/>
      </c>
      <c r="AM13" s="152">
        <f>IF(AP12&lt;=0.005,0,AP12*(1+AM$6))</f>
        <v/>
      </c>
      <c r="AN13" s="152">
        <f>MIN(AM13,AM$7)</f>
        <v/>
      </c>
      <c r="AO13" s="152">
        <f>MAX(0,MIN(AM13-AN13,AQ13-(E13+I13+M13+Q13+U13+Y13+AC13+AG13+AK13)))</f>
        <v/>
      </c>
      <c r="AP13" s="152">
        <f>AM13-AN13-AO13</f>
        <v/>
      </c>
      <c r="AQ13" s="152">
        <f>'Debt Payoff'!$C$8-SUM(D13,H13,L13,P13,T13,X13,AB13,AF13,AJ13,AN13)</f>
        <v/>
      </c>
      <c r="AR13" s="152">
        <f>SUM(D13,H13,L13,P13,T13,X13,AB13,AF13,AJ13,AN13)+SUM(E13,I13,M13,Q13,U13,Y13,AC13,AG13,AK13,AO13)</f>
        <v/>
      </c>
      <c r="AS13" s="152">
        <f>SUM(F13,J13,N13,R13,V13,Z13,AD13,AH13,AL13,AP13)</f>
        <v/>
      </c>
      <c r="AT13" s="152">
        <f>IF(B13&gt;AS$6,NA(),B13)</f>
        <v/>
      </c>
      <c r="AU13" s="152">
        <f>IF(B13&gt;AS$6,NA(),AS13)</f>
        <v/>
      </c>
      <c r="AV13" s="152" t="n"/>
      <c r="AW13" s="152" t="n">
        <v>2</v>
      </c>
      <c r="AX13" s="152">
        <f>IF(BA12&lt;=0.005,0,BA12*(1+AX$6))</f>
        <v/>
      </c>
      <c r="AY13" s="152">
        <f>MIN(AX13,AX$7)</f>
        <v/>
      </c>
      <c r="AZ13" s="152">
        <f>MAX(0,MIN(AX13-AY13,CL13))</f>
        <v/>
      </c>
      <c r="BA13" s="152">
        <f>AX13-AY13-AZ13</f>
        <v/>
      </c>
      <c r="BB13" s="152">
        <f>IF(BE12&lt;=0.005,0,BE12*(1+BB$6))</f>
        <v/>
      </c>
      <c r="BC13" s="152">
        <f>MIN(BB13,BB$7)</f>
        <v/>
      </c>
      <c r="BD13" s="152">
        <f>MAX(0,MIN(BB13-BC13,CL13-(AZ13)))</f>
        <v/>
      </c>
      <c r="BE13" s="152">
        <f>BB13-BC13-BD13</f>
        <v/>
      </c>
      <c r="BF13" s="152">
        <f>IF(BI12&lt;=0.005,0,BI12*(1+BF$6))</f>
        <v/>
      </c>
      <c r="BG13" s="152">
        <f>MIN(BF13,BF$7)</f>
        <v/>
      </c>
      <c r="BH13" s="152">
        <f>MAX(0,MIN(BF13-BG13,CL13-(AZ13+BD13)))</f>
        <v/>
      </c>
      <c r="BI13" s="152">
        <f>BF13-BG13-BH13</f>
        <v/>
      </c>
      <c r="BJ13" s="152">
        <f>IF(BM12&lt;=0.005,0,BM12*(1+BJ$6))</f>
        <v/>
      </c>
      <c r="BK13" s="152">
        <f>MIN(BJ13,BJ$7)</f>
        <v/>
      </c>
      <c r="BL13" s="152">
        <f>MAX(0,MIN(BJ13-BK13,CL13-(AZ13+BD13+BH13)))</f>
        <v/>
      </c>
      <c r="BM13" s="152">
        <f>BJ13-BK13-BL13</f>
        <v/>
      </c>
      <c r="BN13" s="152">
        <f>IF(BQ12&lt;=0.005,0,BQ12*(1+BN$6))</f>
        <v/>
      </c>
      <c r="BO13" s="152">
        <f>MIN(BN13,BN$7)</f>
        <v/>
      </c>
      <c r="BP13" s="152">
        <f>MAX(0,MIN(BN13-BO13,CL13-(AZ13+BD13+BH13+BL13)))</f>
        <v/>
      </c>
      <c r="BQ13" s="152">
        <f>BN13-BO13-BP13</f>
        <v/>
      </c>
      <c r="BR13" s="152">
        <f>IF(BU12&lt;=0.005,0,BU12*(1+BR$6))</f>
        <v/>
      </c>
      <c r="BS13" s="152">
        <f>MIN(BR13,BR$7)</f>
        <v/>
      </c>
      <c r="BT13" s="152">
        <f>MAX(0,MIN(BR13-BS13,CL13-(AZ13+BD13+BH13+BL13+BP13)))</f>
        <v/>
      </c>
      <c r="BU13" s="152">
        <f>BR13-BS13-BT13</f>
        <v/>
      </c>
      <c r="BV13" s="152">
        <f>IF(BY12&lt;=0.005,0,BY12*(1+BV$6))</f>
        <v/>
      </c>
      <c r="BW13" s="152">
        <f>MIN(BV13,BV$7)</f>
        <v/>
      </c>
      <c r="BX13" s="152">
        <f>MAX(0,MIN(BV13-BW13,CL13-(AZ13+BD13+BH13+BL13+BP13+BT13)))</f>
        <v/>
      </c>
      <c r="BY13" s="152">
        <f>BV13-BW13-BX13</f>
        <v/>
      </c>
      <c r="BZ13" s="152">
        <f>IF(CC12&lt;=0.005,0,CC12*(1+BZ$6))</f>
        <v/>
      </c>
      <c r="CA13" s="152">
        <f>MIN(BZ13,BZ$7)</f>
        <v/>
      </c>
      <c r="CB13" s="152">
        <f>MAX(0,MIN(BZ13-CA13,CL13-(AZ13+BD13+BH13+BL13+BP13+BT13+BX13)))</f>
        <v/>
      </c>
      <c r="CC13" s="152">
        <f>BZ13-CA13-CB13</f>
        <v/>
      </c>
      <c r="CD13" s="152">
        <f>IF(CG12&lt;=0.005,0,CG12*(1+CD$6))</f>
        <v/>
      </c>
      <c r="CE13" s="152">
        <f>MIN(CD13,CD$7)</f>
        <v/>
      </c>
      <c r="CF13" s="152">
        <f>MAX(0,MIN(CD13-CE13,CL13-(AZ13+BD13+BH13+BL13+BP13+BT13+BX13+CB13)))</f>
        <v/>
      </c>
      <c r="CG13" s="152">
        <f>CD13-CE13-CF13</f>
        <v/>
      </c>
      <c r="CH13" s="152">
        <f>IF(CK12&lt;=0.005,0,CK12*(1+CH$6))</f>
        <v/>
      </c>
      <c r="CI13" s="152">
        <f>MIN(CH13,CH$7)</f>
        <v/>
      </c>
      <c r="CJ13" s="152">
        <f>MAX(0,MIN(CH13-CI13,CL13-(AZ13+BD13+BH13+BL13+BP13+BT13+BX13+CB13+CF13)))</f>
        <v/>
      </c>
      <c r="CK13" s="152">
        <f>CH13-CI13-CJ13</f>
        <v/>
      </c>
      <c r="CL13" s="152">
        <f>'Debt Payoff'!$C$8-SUM(AY13,BC13,BG13,BK13,BO13,BS13,BW13,CA13,CE13,CI13)</f>
        <v/>
      </c>
      <c r="CM13" s="152">
        <f>SUM(AY13,BC13,BG13,BK13,BO13,BS13,BW13,CA13,CE13,CI13)+SUM(AZ13,BD13,BH13,BL13,BP13,BT13,BX13,CB13,CF13,CJ13)</f>
        <v/>
      </c>
      <c r="CN13" s="152">
        <f>SUM(BA13,BE13,BI13,BM13,BQ13,BU13,BY13,CC13,CG13,CK13)</f>
        <v/>
      </c>
      <c r="CO13" s="152">
        <f>IF(AW13&gt;CN$6,NA(),AW13)</f>
        <v/>
      </c>
      <c r="CP13" s="152">
        <f>IF(AW13&gt;CN$6,NA(),CN13)</f>
        <v/>
      </c>
    </row>
    <row r="14">
      <c r="B14" s="152" t="n">
        <v>3</v>
      </c>
      <c r="C14" s="152">
        <f>IF(F13&lt;=0.005,0,F13*(1+C$6))</f>
        <v/>
      </c>
      <c r="D14" s="152">
        <f>MIN(C14,C$7)</f>
        <v/>
      </c>
      <c r="E14" s="152">
        <f>MAX(0,MIN(C14-D14,AQ14))</f>
        <v/>
      </c>
      <c r="F14" s="152">
        <f>C14-D14-E14</f>
        <v/>
      </c>
      <c r="G14" s="152">
        <f>IF(J13&lt;=0.005,0,J13*(1+G$6))</f>
        <v/>
      </c>
      <c r="H14" s="152">
        <f>MIN(G14,G$7)</f>
        <v/>
      </c>
      <c r="I14" s="152">
        <f>MAX(0,MIN(G14-H14,AQ14-(E14)))</f>
        <v/>
      </c>
      <c r="J14" s="152">
        <f>G14-H14-I14</f>
        <v/>
      </c>
      <c r="K14" s="152">
        <f>IF(N13&lt;=0.005,0,N13*(1+K$6))</f>
        <v/>
      </c>
      <c r="L14" s="152">
        <f>MIN(K14,K$7)</f>
        <v/>
      </c>
      <c r="M14" s="152">
        <f>MAX(0,MIN(K14-L14,AQ14-(E14+I14)))</f>
        <v/>
      </c>
      <c r="N14" s="152">
        <f>K14-L14-M14</f>
        <v/>
      </c>
      <c r="O14" s="152">
        <f>IF(R13&lt;=0.005,0,R13*(1+O$6))</f>
        <v/>
      </c>
      <c r="P14" s="152">
        <f>MIN(O14,O$7)</f>
        <v/>
      </c>
      <c r="Q14" s="152">
        <f>MAX(0,MIN(O14-P14,AQ14-(E14+I14+M14)))</f>
        <v/>
      </c>
      <c r="R14" s="152">
        <f>O14-P14-Q14</f>
        <v/>
      </c>
      <c r="S14" s="152">
        <f>IF(V13&lt;=0.005,0,V13*(1+S$6))</f>
        <v/>
      </c>
      <c r="T14" s="152">
        <f>MIN(S14,S$7)</f>
        <v/>
      </c>
      <c r="U14" s="152">
        <f>MAX(0,MIN(S14-T14,AQ14-(E14+I14+M14+Q14)))</f>
        <v/>
      </c>
      <c r="V14" s="152">
        <f>S14-T14-U14</f>
        <v/>
      </c>
      <c r="W14" s="152">
        <f>IF(Z13&lt;=0.005,0,Z13*(1+W$6))</f>
        <v/>
      </c>
      <c r="X14" s="152">
        <f>MIN(W14,W$7)</f>
        <v/>
      </c>
      <c r="Y14" s="152">
        <f>MAX(0,MIN(W14-X14,AQ14-(E14+I14+M14+Q14+U14)))</f>
        <v/>
      </c>
      <c r="Z14" s="152">
        <f>W14-X14-Y14</f>
        <v/>
      </c>
      <c r="AA14" s="152">
        <f>IF(AD13&lt;=0.005,0,AD13*(1+AA$6))</f>
        <v/>
      </c>
      <c r="AB14" s="152">
        <f>MIN(AA14,AA$7)</f>
        <v/>
      </c>
      <c r="AC14" s="152">
        <f>MAX(0,MIN(AA14-AB14,AQ14-(E14+I14+M14+Q14+U14+Y14)))</f>
        <v/>
      </c>
      <c r="AD14" s="152">
        <f>AA14-AB14-AC14</f>
        <v/>
      </c>
      <c r="AE14" s="152">
        <f>IF(AH13&lt;=0.005,0,AH13*(1+AE$6))</f>
        <v/>
      </c>
      <c r="AF14" s="152">
        <f>MIN(AE14,AE$7)</f>
        <v/>
      </c>
      <c r="AG14" s="152">
        <f>MAX(0,MIN(AE14-AF14,AQ14-(E14+I14+M14+Q14+U14+Y14+AC14)))</f>
        <v/>
      </c>
      <c r="AH14" s="152">
        <f>AE14-AF14-AG14</f>
        <v/>
      </c>
      <c r="AI14" s="152">
        <f>IF(AL13&lt;=0.005,0,AL13*(1+AI$6))</f>
        <v/>
      </c>
      <c r="AJ14" s="152">
        <f>MIN(AI14,AI$7)</f>
        <v/>
      </c>
      <c r="AK14" s="152">
        <f>MAX(0,MIN(AI14-AJ14,AQ14-(E14+I14+M14+Q14+U14+Y14+AC14+AG14)))</f>
        <v/>
      </c>
      <c r="AL14" s="152">
        <f>AI14-AJ14-AK14</f>
        <v/>
      </c>
      <c r="AM14" s="152">
        <f>IF(AP13&lt;=0.005,0,AP13*(1+AM$6))</f>
        <v/>
      </c>
      <c r="AN14" s="152">
        <f>MIN(AM14,AM$7)</f>
        <v/>
      </c>
      <c r="AO14" s="152">
        <f>MAX(0,MIN(AM14-AN14,AQ14-(E14+I14+M14+Q14+U14+Y14+AC14+AG14+AK14)))</f>
        <v/>
      </c>
      <c r="AP14" s="152">
        <f>AM14-AN14-AO14</f>
        <v/>
      </c>
      <c r="AQ14" s="152">
        <f>'Debt Payoff'!$C$8-SUM(D14,H14,L14,P14,T14,X14,AB14,AF14,AJ14,AN14)</f>
        <v/>
      </c>
      <c r="AR14" s="152">
        <f>SUM(D14,H14,L14,P14,T14,X14,AB14,AF14,AJ14,AN14)+SUM(E14,I14,M14,Q14,U14,Y14,AC14,AG14,AK14,AO14)</f>
        <v/>
      </c>
      <c r="AS14" s="152">
        <f>SUM(F14,J14,N14,R14,V14,Z14,AD14,AH14,AL14,AP14)</f>
        <v/>
      </c>
      <c r="AT14" s="152">
        <f>IF(B14&gt;AS$6,NA(),B14)</f>
        <v/>
      </c>
      <c r="AU14" s="152">
        <f>IF(B14&gt;AS$6,NA(),AS14)</f>
        <v/>
      </c>
      <c r="AV14" s="152" t="n"/>
      <c r="AW14" s="152" t="n">
        <v>3</v>
      </c>
      <c r="AX14" s="152">
        <f>IF(BA13&lt;=0.005,0,BA13*(1+AX$6))</f>
        <v/>
      </c>
      <c r="AY14" s="152">
        <f>MIN(AX14,AX$7)</f>
        <v/>
      </c>
      <c r="AZ14" s="152">
        <f>MAX(0,MIN(AX14-AY14,CL14))</f>
        <v/>
      </c>
      <c r="BA14" s="152">
        <f>AX14-AY14-AZ14</f>
        <v/>
      </c>
      <c r="BB14" s="152">
        <f>IF(BE13&lt;=0.005,0,BE13*(1+BB$6))</f>
        <v/>
      </c>
      <c r="BC14" s="152">
        <f>MIN(BB14,BB$7)</f>
        <v/>
      </c>
      <c r="BD14" s="152">
        <f>MAX(0,MIN(BB14-BC14,CL14-(AZ14)))</f>
        <v/>
      </c>
      <c r="BE14" s="152">
        <f>BB14-BC14-BD14</f>
        <v/>
      </c>
      <c r="BF14" s="152">
        <f>IF(BI13&lt;=0.005,0,BI13*(1+BF$6))</f>
        <v/>
      </c>
      <c r="BG14" s="152">
        <f>MIN(BF14,BF$7)</f>
        <v/>
      </c>
      <c r="BH14" s="152">
        <f>MAX(0,MIN(BF14-BG14,CL14-(AZ14+BD14)))</f>
        <v/>
      </c>
      <c r="BI14" s="152">
        <f>BF14-BG14-BH14</f>
        <v/>
      </c>
      <c r="BJ14" s="152">
        <f>IF(BM13&lt;=0.005,0,BM13*(1+BJ$6))</f>
        <v/>
      </c>
      <c r="BK14" s="152">
        <f>MIN(BJ14,BJ$7)</f>
        <v/>
      </c>
      <c r="BL14" s="152">
        <f>MAX(0,MIN(BJ14-BK14,CL14-(AZ14+BD14+BH14)))</f>
        <v/>
      </c>
      <c r="BM14" s="152">
        <f>BJ14-BK14-BL14</f>
        <v/>
      </c>
      <c r="BN14" s="152">
        <f>IF(BQ13&lt;=0.005,0,BQ13*(1+BN$6))</f>
        <v/>
      </c>
      <c r="BO14" s="152">
        <f>MIN(BN14,BN$7)</f>
        <v/>
      </c>
      <c r="BP14" s="152">
        <f>MAX(0,MIN(BN14-BO14,CL14-(AZ14+BD14+BH14+BL14)))</f>
        <v/>
      </c>
      <c r="BQ14" s="152">
        <f>BN14-BO14-BP14</f>
        <v/>
      </c>
      <c r="BR14" s="152">
        <f>IF(BU13&lt;=0.005,0,BU13*(1+BR$6))</f>
        <v/>
      </c>
      <c r="BS14" s="152">
        <f>MIN(BR14,BR$7)</f>
        <v/>
      </c>
      <c r="BT14" s="152">
        <f>MAX(0,MIN(BR14-BS14,CL14-(AZ14+BD14+BH14+BL14+BP14)))</f>
        <v/>
      </c>
      <c r="BU14" s="152">
        <f>BR14-BS14-BT14</f>
        <v/>
      </c>
      <c r="BV14" s="152">
        <f>IF(BY13&lt;=0.005,0,BY13*(1+BV$6))</f>
        <v/>
      </c>
      <c r="BW14" s="152">
        <f>MIN(BV14,BV$7)</f>
        <v/>
      </c>
      <c r="BX14" s="152">
        <f>MAX(0,MIN(BV14-BW14,CL14-(AZ14+BD14+BH14+BL14+BP14+BT14)))</f>
        <v/>
      </c>
      <c r="BY14" s="152">
        <f>BV14-BW14-BX14</f>
        <v/>
      </c>
      <c r="BZ14" s="152">
        <f>IF(CC13&lt;=0.005,0,CC13*(1+BZ$6))</f>
        <v/>
      </c>
      <c r="CA14" s="152">
        <f>MIN(BZ14,BZ$7)</f>
        <v/>
      </c>
      <c r="CB14" s="152">
        <f>MAX(0,MIN(BZ14-CA14,CL14-(AZ14+BD14+BH14+BL14+BP14+BT14+BX14)))</f>
        <v/>
      </c>
      <c r="CC14" s="152">
        <f>BZ14-CA14-CB14</f>
        <v/>
      </c>
      <c r="CD14" s="152">
        <f>IF(CG13&lt;=0.005,0,CG13*(1+CD$6))</f>
        <v/>
      </c>
      <c r="CE14" s="152">
        <f>MIN(CD14,CD$7)</f>
        <v/>
      </c>
      <c r="CF14" s="152">
        <f>MAX(0,MIN(CD14-CE14,CL14-(AZ14+BD14+BH14+BL14+BP14+BT14+BX14+CB14)))</f>
        <v/>
      </c>
      <c r="CG14" s="152">
        <f>CD14-CE14-CF14</f>
        <v/>
      </c>
      <c r="CH14" s="152">
        <f>IF(CK13&lt;=0.005,0,CK13*(1+CH$6))</f>
        <v/>
      </c>
      <c r="CI14" s="152">
        <f>MIN(CH14,CH$7)</f>
        <v/>
      </c>
      <c r="CJ14" s="152">
        <f>MAX(0,MIN(CH14-CI14,CL14-(AZ14+BD14+BH14+BL14+BP14+BT14+BX14+CB14+CF14)))</f>
        <v/>
      </c>
      <c r="CK14" s="152">
        <f>CH14-CI14-CJ14</f>
        <v/>
      </c>
      <c r="CL14" s="152">
        <f>'Debt Payoff'!$C$8-SUM(AY14,BC14,BG14,BK14,BO14,BS14,BW14,CA14,CE14,CI14)</f>
        <v/>
      </c>
      <c r="CM14" s="152">
        <f>SUM(AY14,BC14,BG14,BK14,BO14,BS14,BW14,CA14,CE14,CI14)+SUM(AZ14,BD14,BH14,BL14,BP14,BT14,BX14,CB14,CF14,CJ14)</f>
        <v/>
      </c>
      <c r="CN14" s="152">
        <f>SUM(BA14,BE14,BI14,BM14,BQ14,BU14,BY14,CC14,CG14,CK14)</f>
        <v/>
      </c>
      <c r="CO14" s="152">
        <f>IF(AW14&gt;CN$6,NA(),AW14)</f>
        <v/>
      </c>
      <c r="CP14" s="152">
        <f>IF(AW14&gt;CN$6,NA(),CN14)</f>
        <v/>
      </c>
    </row>
    <row r="15">
      <c r="B15" s="152" t="n">
        <v>4</v>
      </c>
      <c r="C15" s="152">
        <f>IF(F14&lt;=0.005,0,F14*(1+C$6))</f>
        <v/>
      </c>
      <c r="D15" s="152">
        <f>MIN(C15,C$7)</f>
        <v/>
      </c>
      <c r="E15" s="152">
        <f>MAX(0,MIN(C15-D15,AQ15))</f>
        <v/>
      </c>
      <c r="F15" s="152">
        <f>C15-D15-E15</f>
        <v/>
      </c>
      <c r="G15" s="152">
        <f>IF(J14&lt;=0.005,0,J14*(1+G$6))</f>
        <v/>
      </c>
      <c r="H15" s="152">
        <f>MIN(G15,G$7)</f>
        <v/>
      </c>
      <c r="I15" s="152">
        <f>MAX(0,MIN(G15-H15,AQ15-(E15)))</f>
        <v/>
      </c>
      <c r="J15" s="152">
        <f>G15-H15-I15</f>
        <v/>
      </c>
      <c r="K15" s="152">
        <f>IF(N14&lt;=0.005,0,N14*(1+K$6))</f>
        <v/>
      </c>
      <c r="L15" s="152">
        <f>MIN(K15,K$7)</f>
        <v/>
      </c>
      <c r="M15" s="152">
        <f>MAX(0,MIN(K15-L15,AQ15-(E15+I15)))</f>
        <v/>
      </c>
      <c r="N15" s="152">
        <f>K15-L15-M15</f>
        <v/>
      </c>
      <c r="O15" s="152">
        <f>IF(R14&lt;=0.005,0,R14*(1+O$6))</f>
        <v/>
      </c>
      <c r="P15" s="152">
        <f>MIN(O15,O$7)</f>
        <v/>
      </c>
      <c r="Q15" s="152">
        <f>MAX(0,MIN(O15-P15,AQ15-(E15+I15+M15)))</f>
        <v/>
      </c>
      <c r="R15" s="152">
        <f>O15-P15-Q15</f>
        <v/>
      </c>
      <c r="S15" s="152">
        <f>IF(V14&lt;=0.005,0,V14*(1+S$6))</f>
        <v/>
      </c>
      <c r="T15" s="152">
        <f>MIN(S15,S$7)</f>
        <v/>
      </c>
      <c r="U15" s="152">
        <f>MAX(0,MIN(S15-T15,AQ15-(E15+I15+M15+Q15)))</f>
        <v/>
      </c>
      <c r="V15" s="152">
        <f>S15-T15-U15</f>
        <v/>
      </c>
      <c r="W15" s="152">
        <f>IF(Z14&lt;=0.005,0,Z14*(1+W$6))</f>
        <v/>
      </c>
      <c r="X15" s="152">
        <f>MIN(W15,W$7)</f>
        <v/>
      </c>
      <c r="Y15" s="152">
        <f>MAX(0,MIN(W15-X15,AQ15-(E15+I15+M15+Q15+U15)))</f>
        <v/>
      </c>
      <c r="Z15" s="152">
        <f>W15-X15-Y15</f>
        <v/>
      </c>
      <c r="AA15" s="152">
        <f>IF(AD14&lt;=0.005,0,AD14*(1+AA$6))</f>
        <v/>
      </c>
      <c r="AB15" s="152">
        <f>MIN(AA15,AA$7)</f>
        <v/>
      </c>
      <c r="AC15" s="152">
        <f>MAX(0,MIN(AA15-AB15,AQ15-(E15+I15+M15+Q15+U15+Y15)))</f>
        <v/>
      </c>
      <c r="AD15" s="152">
        <f>AA15-AB15-AC15</f>
        <v/>
      </c>
      <c r="AE15" s="152">
        <f>IF(AH14&lt;=0.005,0,AH14*(1+AE$6))</f>
        <v/>
      </c>
      <c r="AF15" s="152">
        <f>MIN(AE15,AE$7)</f>
        <v/>
      </c>
      <c r="AG15" s="152">
        <f>MAX(0,MIN(AE15-AF15,AQ15-(E15+I15+M15+Q15+U15+Y15+AC15)))</f>
        <v/>
      </c>
      <c r="AH15" s="152">
        <f>AE15-AF15-AG15</f>
        <v/>
      </c>
      <c r="AI15" s="152">
        <f>IF(AL14&lt;=0.005,0,AL14*(1+AI$6))</f>
        <v/>
      </c>
      <c r="AJ15" s="152">
        <f>MIN(AI15,AI$7)</f>
        <v/>
      </c>
      <c r="AK15" s="152">
        <f>MAX(0,MIN(AI15-AJ15,AQ15-(E15+I15+M15+Q15+U15+Y15+AC15+AG15)))</f>
        <v/>
      </c>
      <c r="AL15" s="152">
        <f>AI15-AJ15-AK15</f>
        <v/>
      </c>
      <c r="AM15" s="152">
        <f>IF(AP14&lt;=0.005,0,AP14*(1+AM$6))</f>
        <v/>
      </c>
      <c r="AN15" s="152">
        <f>MIN(AM15,AM$7)</f>
        <v/>
      </c>
      <c r="AO15" s="152">
        <f>MAX(0,MIN(AM15-AN15,AQ15-(E15+I15+M15+Q15+U15+Y15+AC15+AG15+AK15)))</f>
        <v/>
      </c>
      <c r="AP15" s="152">
        <f>AM15-AN15-AO15</f>
        <v/>
      </c>
      <c r="AQ15" s="152">
        <f>'Debt Payoff'!$C$8-SUM(D15,H15,L15,P15,T15,X15,AB15,AF15,AJ15,AN15)</f>
        <v/>
      </c>
      <c r="AR15" s="152">
        <f>SUM(D15,H15,L15,P15,T15,X15,AB15,AF15,AJ15,AN15)+SUM(E15,I15,M15,Q15,U15,Y15,AC15,AG15,AK15,AO15)</f>
        <v/>
      </c>
      <c r="AS15" s="152">
        <f>SUM(F15,J15,N15,R15,V15,Z15,AD15,AH15,AL15,AP15)</f>
        <v/>
      </c>
      <c r="AT15" s="152">
        <f>IF(B15&gt;AS$6,NA(),B15)</f>
        <v/>
      </c>
      <c r="AU15" s="152">
        <f>IF(B15&gt;AS$6,NA(),AS15)</f>
        <v/>
      </c>
      <c r="AV15" s="152" t="n"/>
      <c r="AW15" s="152" t="n">
        <v>4</v>
      </c>
      <c r="AX15" s="152">
        <f>IF(BA14&lt;=0.005,0,BA14*(1+AX$6))</f>
        <v/>
      </c>
      <c r="AY15" s="152">
        <f>MIN(AX15,AX$7)</f>
        <v/>
      </c>
      <c r="AZ15" s="152">
        <f>MAX(0,MIN(AX15-AY15,CL15))</f>
        <v/>
      </c>
      <c r="BA15" s="152">
        <f>AX15-AY15-AZ15</f>
        <v/>
      </c>
      <c r="BB15" s="152">
        <f>IF(BE14&lt;=0.005,0,BE14*(1+BB$6))</f>
        <v/>
      </c>
      <c r="BC15" s="152">
        <f>MIN(BB15,BB$7)</f>
        <v/>
      </c>
      <c r="BD15" s="152">
        <f>MAX(0,MIN(BB15-BC15,CL15-(AZ15)))</f>
        <v/>
      </c>
      <c r="BE15" s="152">
        <f>BB15-BC15-BD15</f>
        <v/>
      </c>
      <c r="BF15" s="152">
        <f>IF(BI14&lt;=0.005,0,BI14*(1+BF$6))</f>
        <v/>
      </c>
      <c r="BG15" s="152">
        <f>MIN(BF15,BF$7)</f>
        <v/>
      </c>
      <c r="BH15" s="152">
        <f>MAX(0,MIN(BF15-BG15,CL15-(AZ15+BD15)))</f>
        <v/>
      </c>
      <c r="BI15" s="152">
        <f>BF15-BG15-BH15</f>
        <v/>
      </c>
      <c r="BJ15" s="152">
        <f>IF(BM14&lt;=0.005,0,BM14*(1+BJ$6))</f>
        <v/>
      </c>
      <c r="BK15" s="152">
        <f>MIN(BJ15,BJ$7)</f>
        <v/>
      </c>
      <c r="BL15" s="152">
        <f>MAX(0,MIN(BJ15-BK15,CL15-(AZ15+BD15+BH15)))</f>
        <v/>
      </c>
      <c r="BM15" s="152">
        <f>BJ15-BK15-BL15</f>
        <v/>
      </c>
      <c r="BN15" s="152">
        <f>IF(BQ14&lt;=0.005,0,BQ14*(1+BN$6))</f>
        <v/>
      </c>
      <c r="BO15" s="152">
        <f>MIN(BN15,BN$7)</f>
        <v/>
      </c>
      <c r="BP15" s="152">
        <f>MAX(0,MIN(BN15-BO15,CL15-(AZ15+BD15+BH15+BL15)))</f>
        <v/>
      </c>
      <c r="BQ15" s="152">
        <f>BN15-BO15-BP15</f>
        <v/>
      </c>
      <c r="BR15" s="152">
        <f>IF(BU14&lt;=0.005,0,BU14*(1+BR$6))</f>
        <v/>
      </c>
      <c r="BS15" s="152">
        <f>MIN(BR15,BR$7)</f>
        <v/>
      </c>
      <c r="BT15" s="152">
        <f>MAX(0,MIN(BR15-BS15,CL15-(AZ15+BD15+BH15+BL15+BP15)))</f>
        <v/>
      </c>
      <c r="BU15" s="152">
        <f>BR15-BS15-BT15</f>
        <v/>
      </c>
      <c r="BV15" s="152">
        <f>IF(BY14&lt;=0.005,0,BY14*(1+BV$6))</f>
        <v/>
      </c>
      <c r="BW15" s="152">
        <f>MIN(BV15,BV$7)</f>
        <v/>
      </c>
      <c r="BX15" s="152">
        <f>MAX(0,MIN(BV15-BW15,CL15-(AZ15+BD15+BH15+BL15+BP15+BT15)))</f>
        <v/>
      </c>
      <c r="BY15" s="152">
        <f>BV15-BW15-BX15</f>
        <v/>
      </c>
      <c r="BZ15" s="152">
        <f>IF(CC14&lt;=0.005,0,CC14*(1+BZ$6))</f>
        <v/>
      </c>
      <c r="CA15" s="152">
        <f>MIN(BZ15,BZ$7)</f>
        <v/>
      </c>
      <c r="CB15" s="152">
        <f>MAX(0,MIN(BZ15-CA15,CL15-(AZ15+BD15+BH15+BL15+BP15+BT15+BX15)))</f>
        <v/>
      </c>
      <c r="CC15" s="152">
        <f>BZ15-CA15-CB15</f>
        <v/>
      </c>
      <c r="CD15" s="152">
        <f>IF(CG14&lt;=0.005,0,CG14*(1+CD$6))</f>
        <v/>
      </c>
      <c r="CE15" s="152">
        <f>MIN(CD15,CD$7)</f>
        <v/>
      </c>
      <c r="CF15" s="152">
        <f>MAX(0,MIN(CD15-CE15,CL15-(AZ15+BD15+BH15+BL15+BP15+BT15+BX15+CB15)))</f>
        <v/>
      </c>
      <c r="CG15" s="152">
        <f>CD15-CE15-CF15</f>
        <v/>
      </c>
      <c r="CH15" s="152">
        <f>IF(CK14&lt;=0.005,0,CK14*(1+CH$6))</f>
        <v/>
      </c>
      <c r="CI15" s="152">
        <f>MIN(CH15,CH$7)</f>
        <v/>
      </c>
      <c r="CJ15" s="152">
        <f>MAX(0,MIN(CH15-CI15,CL15-(AZ15+BD15+BH15+BL15+BP15+BT15+BX15+CB15+CF15)))</f>
        <v/>
      </c>
      <c r="CK15" s="152">
        <f>CH15-CI15-CJ15</f>
        <v/>
      </c>
      <c r="CL15" s="152">
        <f>'Debt Payoff'!$C$8-SUM(AY15,BC15,BG15,BK15,BO15,BS15,BW15,CA15,CE15,CI15)</f>
        <v/>
      </c>
      <c r="CM15" s="152">
        <f>SUM(AY15,BC15,BG15,BK15,BO15,BS15,BW15,CA15,CE15,CI15)+SUM(AZ15,BD15,BH15,BL15,BP15,BT15,BX15,CB15,CF15,CJ15)</f>
        <v/>
      </c>
      <c r="CN15" s="152">
        <f>SUM(BA15,BE15,BI15,BM15,BQ15,BU15,BY15,CC15,CG15,CK15)</f>
        <v/>
      </c>
      <c r="CO15" s="152">
        <f>IF(AW15&gt;CN$6,NA(),AW15)</f>
        <v/>
      </c>
      <c r="CP15" s="152">
        <f>IF(AW15&gt;CN$6,NA(),CN15)</f>
        <v/>
      </c>
    </row>
    <row r="16">
      <c r="B16" s="152" t="n">
        <v>5</v>
      </c>
      <c r="C16" s="152">
        <f>IF(F15&lt;=0.005,0,F15*(1+C$6))</f>
        <v/>
      </c>
      <c r="D16" s="152">
        <f>MIN(C16,C$7)</f>
        <v/>
      </c>
      <c r="E16" s="152">
        <f>MAX(0,MIN(C16-D16,AQ16))</f>
        <v/>
      </c>
      <c r="F16" s="152">
        <f>C16-D16-E16</f>
        <v/>
      </c>
      <c r="G16" s="152">
        <f>IF(J15&lt;=0.005,0,J15*(1+G$6))</f>
        <v/>
      </c>
      <c r="H16" s="152">
        <f>MIN(G16,G$7)</f>
        <v/>
      </c>
      <c r="I16" s="152">
        <f>MAX(0,MIN(G16-H16,AQ16-(E16)))</f>
        <v/>
      </c>
      <c r="J16" s="152">
        <f>G16-H16-I16</f>
        <v/>
      </c>
      <c r="K16" s="152">
        <f>IF(N15&lt;=0.005,0,N15*(1+K$6))</f>
        <v/>
      </c>
      <c r="L16" s="152">
        <f>MIN(K16,K$7)</f>
        <v/>
      </c>
      <c r="M16" s="152">
        <f>MAX(0,MIN(K16-L16,AQ16-(E16+I16)))</f>
        <v/>
      </c>
      <c r="N16" s="152">
        <f>K16-L16-M16</f>
        <v/>
      </c>
      <c r="O16" s="152">
        <f>IF(R15&lt;=0.005,0,R15*(1+O$6))</f>
        <v/>
      </c>
      <c r="P16" s="152">
        <f>MIN(O16,O$7)</f>
        <v/>
      </c>
      <c r="Q16" s="152">
        <f>MAX(0,MIN(O16-P16,AQ16-(E16+I16+M16)))</f>
        <v/>
      </c>
      <c r="R16" s="152">
        <f>O16-P16-Q16</f>
        <v/>
      </c>
      <c r="S16" s="152">
        <f>IF(V15&lt;=0.005,0,V15*(1+S$6))</f>
        <v/>
      </c>
      <c r="T16" s="152">
        <f>MIN(S16,S$7)</f>
        <v/>
      </c>
      <c r="U16" s="152">
        <f>MAX(0,MIN(S16-T16,AQ16-(E16+I16+M16+Q16)))</f>
        <v/>
      </c>
      <c r="V16" s="152">
        <f>S16-T16-U16</f>
        <v/>
      </c>
      <c r="W16" s="152">
        <f>IF(Z15&lt;=0.005,0,Z15*(1+W$6))</f>
        <v/>
      </c>
      <c r="X16" s="152">
        <f>MIN(W16,W$7)</f>
        <v/>
      </c>
      <c r="Y16" s="152">
        <f>MAX(0,MIN(W16-X16,AQ16-(E16+I16+M16+Q16+U16)))</f>
        <v/>
      </c>
      <c r="Z16" s="152">
        <f>W16-X16-Y16</f>
        <v/>
      </c>
      <c r="AA16" s="152">
        <f>IF(AD15&lt;=0.005,0,AD15*(1+AA$6))</f>
        <v/>
      </c>
      <c r="AB16" s="152">
        <f>MIN(AA16,AA$7)</f>
        <v/>
      </c>
      <c r="AC16" s="152">
        <f>MAX(0,MIN(AA16-AB16,AQ16-(E16+I16+M16+Q16+U16+Y16)))</f>
        <v/>
      </c>
      <c r="AD16" s="152">
        <f>AA16-AB16-AC16</f>
        <v/>
      </c>
      <c r="AE16" s="152">
        <f>IF(AH15&lt;=0.005,0,AH15*(1+AE$6))</f>
        <v/>
      </c>
      <c r="AF16" s="152">
        <f>MIN(AE16,AE$7)</f>
        <v/>
      </c>
      <c r="AG16" s="152">
        <f>MAX(0,MIN(AE16-AF16,AQ16-(E16+I16+M16+Q16+U16+Y16+AC16)))</f>
        <v/>
      </c>
      <c r="AH16" s="152">
        <f>AE16-AF16-AG16</f>
        <v/>
      </c>
      <c r="AI16" s="152">
        <f>IF(AL15&lt;=0.005,0,AL15*(1+AI$6))</f>
        <v/>
      </c>
      <c r="AJ16" s="152">
        <f>MIN(AI16,AI$7)</f>
        <v/>
      </c>
      <c r="AK16" s="152">
        <f>MAX(0,MIN(AI16-AJ16,AQ16-(E16+I16+M16+Q16+U16+Y16+AC16+AG16)))</f>
        <v/>
      </c>
      <c r="AL16" s="152">
        <f>AI16-AJ16-AK16</f>
        <v/>
      </c>
      <c r="AM16" s="152">
        <f>IF(AP15&lt;=0.005,0,AP15*(1+AM$6))</f>
        <v/>
      </c>
      <c r="AN16" s="152">
        <f>MIN(AM16,AM$7)</f>
        <v/>
      </c>
      <c r="AO16" s="152">
        <f>MAX(0,MIN(AM16-AN16,AQ16-(E16+I16+M16+Q16+U16+Y16+AC16+AG16+AK16)))</f>
        <v/>
      </c>
      <c r="AP16" s="152">
        <f>AM16-AN16-AO16</f>
        <v/>
      </c>
      <c r="AQ16" s="152">
        <f>'Debt Payoff'!$C$8-SUM(D16,H16,L16,P16,T16,X16,AB16,AF16,AJ16,AN16)</f>
        <v/>
      </c>
      <c r="AR16" s="152">
        <f>SUM(D16,H16,L16,P16,T16,X16,AB16,AF16,AJ16,AN16)+SUM(E16,I16,M16,Q16,U16,Y16,AC16,AG16,AK16,AO16)</f>
        <v/>
      </c>
      <c r="AS16" s="152">
        <f>SUM(F16,J16,N16,R16,V16,Z16,AD16,AH16,AL16,AP16)</f>
        <v/>
      </c>
      <c r="AT16" s="152">
        <f>IF(B16&gt;AS$6,NA(),B16)</f>
        <v/>
      </c>
      <c r="AU16" s="152">
        <f>IF(B16&gt;AS$6,NA(),AS16)</f>
        <v/>
      </c>
      <c r="AV16" s="152" t="n"/>
      <c r="AW16" s="152" t="n">
        <v>5</v>
      </c>
      <c r="AX16" s="152">
        <f>IF(BA15&lt;=0.005,0,BA15*(1+AX$6))</f>
        <v/>
      </c>
      <c r="AY16" s="152">
        <f>MIN(AX16,AX$7)</f>
        <v/>
      </c>
      <c r="AZ16" s="152">
        <f>MAX(0,MIN(AX16-AY16,CL16))</f>
        <v/>
      </c>
      <c r="BA16" s="152">
        <f>AX16-AY16-AZ16</f>
        <v/>
      </c>
      <c r="BB16" s="152">
        <f>IF(BE15&lt;=0.005,0,BE15*(1+BB$6))</f>
        <v/>
      </c>
      <c r="BC16" s="152">
        <f>MIN(BB16,BB$7)</f>
        <v/>
      </c>
      <c r="BD16" s="152">
        <f>MAX(0,MIN(BB16-BC16,CL16-(AZ16)))</f>
        <v/>
      </c>
      <c r="BE16" s="152">
        <f>BB16-BC16-BD16</f>
        <v/>
      </c>
      <c r="BF16" s="152">
        <f>IF(BI15&lt;=0.005,0,BI15*(1+BF$6))</f>
        <v/>
      </c>
      <c r="BG16" s="152">
        <f>MIN(BF16,BF$7)</f>
        <v/>
      </c>
      <c r="BH16" s="152">
        <f>MAX(0,MIN(BF16-BG16,CL16-(AZ16+BD16)))</f>
        <v/>
      </c>
      <c r="BI16" s="152">
        <f>BF16-BG16-BH16</f>
        <v/>
      </c>
      <c r="BJ16" s="152">
        <f>IF(BM15&lt;=0.005,0,BM15*(1+BJ$6))</f>
        <v/>
      </c>
      <c r="BK16" s="152">
        <f>MIN(BJ16,BJ$7)</f>
        <v/>
      </c>
      <c r="BL16" s="152">
        <f>MAX(0,MIN(BJ16-BK16,CL16-(AZ16+BD16+BH16)))</f>
        <v/>
      </c>
      <c r="BM16" s="152">
        <f>BJ16-BK16-BL16</f>
        <v/>
      </c>
      <c r="BN16" s="152">
        <f>IF(BQ15&lt;=0.005,0,BQ15*(1+BN$6))</f>
        <v/>
      </c>
      <c r="BO16" s="152">
        <f>MIN(BN16,BN$7)</f>
        <v/>
      </c>
      <c r="BP16" s="152">
        <f>MAX(0,MIN(BN16-BO16,CL16-(AZ16+BD16+BH16+BL16)))</f>
        <v/>
      </c>
      <c r="BQ16" s="152">
        <f>BN16-BO16-BP16</f>
        <v/>
      </c>
      <c r="BR16" s="152">
        <f>IF(BU15&lt;=0.005,0,BU15*(1+BR$6))</f>
        <v/>
      </c>
      <c r="BS16" s="152">
        <f>MIN(BR16,BR$7)</f>
        <v/>
      </c>
      <c r="BT16" s="152">
        <f>MAX(0,MIN(BR16-BS16,CL16-(AZ16+BD16+BH16+BL16+BP16)))</f>
        <v/>
      </c>
      <c r="BU16" s="152">
        <f>BR16-BS16-BT16</f>
        <v/>
      </c>
      <c r="BV16" s="152">
        <f>IF(BY15&lt;=0.005,0,BY15*(1+BV$6))</f>
        <v/>
      </c>
      <c r="BW16" s="152">
        <f>MIN(BV16,BV$7)</f>
        <v/>
      </c>
      <c r="BX16" s="152">
        <f>MAX(0,MIN(BV16-BW16,CL16-(AZ16+BD16+BH16+BL16+BP16+BT16)))</f>
        <v/>
      </c>
      <c r="BY16" s="152">
        <f>BV16-BW16-BX16</f>
        <v/>
      </c>
      <c r="BZ16" s="152">
        <f>IF(CC15&lt;=0.005,0,CC15*(1+BZ$6))</f>
        <v/>
      </c>
      <c r="CA16" s="152">
        <f>MIN(BZ16,BZ$7)</f>
        <v/>
      </c>
      <c r="CB16" s="152">
        <f>MAX(0,MIN(BZ16-CA16,CL16-(AZ16+BD16+BH16+BL16+BP16+BT16+BX16)))</f>
        <v/>
      </c>
      <c r="CC16" s="152">
        <f>BZ16-CA16-CB16</f>
        <v/>
      </c>
      <c r="CD16" s="152">
        <f>IF(CG15&lt;=0.005,0,CG15*(1+CD$6))</f>
        <v/>
      </c>
      <c r="CE16" s="152">
        <f>MIN(CD16,CD$7)</f>
        <v/>
      </c>
      <c r="CF16" s="152">
        <f>MAX(0,MIN(CD16-CE16,CL16-(AZ16+BD16+BH16+BL16+BP16+BT16+BX16+CB16)))</f>
        <v/>
      </c>
      <c r="CG16" s="152">
        <f>CD16-CE16-CF16</f>
        <v/>
      </c>
      <c r="CH16" s="152">
        <f>IF(CK15&lt;=0.005,0,CK15*(1+CH$6))</f>
        <v/>
      </c>
      <c r="CI16" s="152">
        <f>MIN(CH16,CH$7)</f>
        <v/>
      </c>
      <c r="CJ16" s="152">
        <f>MAX(0,MIN(CH16-CI16,CL16-(AZ16+BD16+BH16+BL16+BP16+BT16+BX16+CB16+CF16)))</f>
        <v/>
      </c>
      <c r="CK16" s="152">
        <f>CH16-CI16-CJ16</f>
        <v/>
      </c>
      <c r="CL16" s="152">
        <f>'Debt Payoff'!$C$8-SUM(AY16,BC16,BG16,BK16,BO16,BS16,BW16,CA16,CE16,CI16)</f>
        <v/>
      </c>
      <c r="CM16" s="152">
        <f>SUM(AY16,BC16,BG16,BK16,BO16,BS16,BW16,CA16,CE16,CI16)+SUM(AZ16,BD16,BH16,BL16,BP16,BT16,BX16,CB16,CF16,CJ16)</f>
        <v/>
      </c>
      <c r="CN16" s="152">
        <f>SUM(BA16,BE16,BI16,BM16,BQ16,BU16,BY16,CC16,CG16,CK16)</f>
        <v/>
      </c>
      <c r="CO16" s="152">
        <f>IF(AW16&gt;CN$6,NA(),AW16)</f>
        <v/>
      </c>
      <c r="CP16" s="152">
        <f>IF(AW16&gt;CN$6,NA(),CN16)</f>
        <v/>
      </c>
    </row>
    <row r="17">
      <c r="B17" s="152" t="n">
        <v>6</v>
      </c>
      <c r="C17" s="152">
        <f>IF(F16&lt;=0.005,0,F16*(1+C$6))</f>
        <v/>
      </c>
      <c r="D17" s="152">
        <f>MIN(C17,C$7)</f>
        <v/>
      </c>
      <c r="E17" s="152">
        <f>MAX(0,MIN(C17-D17,AQ17))</f>
        <v/>
      </c>
      <c r="F17" s="152">
        <f>C17-D17-E17</f>
        <v/>
      </c>
      <c r="G17" s="152">
        <f>IF(J16&lt;=0.005,0,J16*(1+G$6))</f>
        <v/>
      </c>
      <c r="H17" s="152">
        <f>MIN(G17,G$7)</f>
        <v/>
      </c>
      <c r="I17" s="152">
        <f>MAX(0,MIN(G17-H17,AQ17-(E17)))</f>
        <v/>
      </c>
      <c r="J17" s="152">
        <f>G17-H17-I17</f>
        <v/>
      </c>
      <c r="K17" s="152">
        <f>IF(N16&lt;=0.005,0,N16*(1+K$6))</f>
        <v/>
      </c>
      <c r="L17" s="152">
        <f>MIN(K17,K$7)</f>
        <v/>
      </c>
      <c r="M17" s="152">
        <f>MAX(0,MIN(K17-L17,AQ17-(E17+I17)))</f>
        <v/>
      </c>
      <c r="N17" s="152">
        <f>K17-L17-M17</f>
        <v/>
      </c>
      <c r="O17" s="152">
        <f>IF(R16&lt;=0.005,0,R16*(1+O$6))</f>
        <v/>
      </c>
      <c r="P17" s="152">
        <f>MIN(O17,O$7)</f>
        <v/>
      </c>
      <c r="Q17" s="152">
        <f>MAX(0,MIN(O17-P17,AQ17-(E17+I17+M17)))</f>
        <v/>
      </c>
      <c r="R17" s="152">
        <f>O17-P17-Q17</f>
        <v/>
      </c>
      <c r="S17" s="152">
        <f>IF(V16&lt;=0.005,0,V16*(1+S$6))</f>
        <v/>
      </c>
      <c r="T17" s="152">
        <f>MIN(S17,S$7)</f>
        <v/>
      </c>
      <c r="U17" s="152">
        <f>MAX(0,MIN(S17-T17,AQ17-(E17+I17+M17+Q17)))</f>
        <v/>
      </c>
      <c r="V17" s="152">
        <f>S17-T17-U17</f>
        <v/>
      </c>
      <c r="W17" s="152">
        <f>IF(Z16&lt;=0.005,0,Z16*(1+W$6))</f>
        <v/>
      </c>
      <c r="X17" s="152">
        <f>MIN(W17,W$7)</f>
        <v/>
      </c>
      <c r="Y17" s="152">
        <f>MAX(0,MIN(W17-X17,AQ17-(E17+I17+M17+Q17+U17)))</f>
        <v/>
      </c>
      <c r="Z17" s="152">
        <f>W17-X17-Y17</f>
        <v/>
      </c>
      <c r="AA17" s="152">
        <f>IF(AD16&lt;=0.005,0,AD16*(1+AA$6))</f>
        <v/>
      </c>
      <c r="AB17" s="152">
        <f>MIN(AA17,AA$7)</f>
        <v/>
      </c>
      <c r="AC17" s="152">
        <f>MAX(0,MIN(AA17-AB17,AQ17-(E17+I17+M17+Q17+U17+Y17)))</f>
        <v/>
      </c>
      <c r="AD17" s="152">
        <f>AA17-AB17-AC17</f>
        <v/>
      </c>
      <c r="AE17" s="152">
        <f>IF(AH16&lt;=0.005,0,AH16*(1+AE$6))</f>
        <v/>
      </c>
      <c r="AF17" s="152">
        <f>MIN(AE17,AE$7)</f>
        <v/>
      </c>
      <c r="AG17" s="152">
        <f>MAX(0,MIN(AE17-AF17,AQ17-(E17+I17+M17+Q17+U17+Y17+AC17)))</f>
        <v/>
      </c>
      <c r="AH17" s="152">
        <f>AE17-AF17-AG17</f>
        <v/>
      </c>
      <c r="AI17" s="152">
        <f>IF(AL16&lt;=0.005,0,AL16*(1+AI$6))</f>
        <v/>
      </c>
      <c r="AJ17" s="152">
        <f>MIN(AI17,AI$7)</f>
        <v/>
      </c>
      <c r="AK17" s="152">
        <f>MAX(0,MIN(AI17-AJ17,AQ17-(E17+I17+M17+Q17+U17+Y17+AC17+AG17)))</f>
        <v/>
      </c>
      <c r="AL17" s="152">
        <f>AI17-AJ17-AK17</f>
        <v/>
      </c>
      <c r="AM17" s="152">
        <f>IF(AP16&lt;=0.005,0,AP16*(1+AM$6))</f>
        <v/>
      </c>
      <c r="AN17" s="152">
        <f>MIN(AM17,AM$7)</f>
        <v/>
      </c>
      <c r="AO17" s="152">
        <f>MAX(0,MIN(AM17-AN17,AQ17-(E17+I17+M17+Q17+U17+Y17+AC17+AG17+AK17)))</f>
        <v/>
      </c>
      <c r="AP17" s="152">
        <f>AM17-AN17-AO17</f>
        <v/>
      </c>
      <c r="AQ17" s="152">
        <f>'Debt Payoff'!$C$8-SUM(D17,H17,L17,P17,T17,X17,AB17,AF17,AJ17,AN17)</f>
        <v/>
      </c>
      <c r="AR17" s="152">
        <f>SUM(D17,H17,L17,P17,T17,X17,AB17,AF17,AJ17,AN17)+SUM(E17,I17,M17,Q17,U17,Y17,AC17,AG17,AK17,AO17)</f>
        <v/>
      </c>
      <c r="AS17" s="152">
        <f>SUM(F17,J17,N17,R17,V17,Z17,AD17,AH17,AL17,AP17)</f>
        <v/>
      </c>
      <c r="AT17" s="152">
        <f>IF(B17&gt;AS$6,NA(),B17)</f>
        <v/>
      </c>
      <c r="AU17" s="152">
        <f>IF(B17&gt;AS$6,NA(),AS17)</f>
        <v/>
      </c>
      <c r="AV17" s="152" t="n"/>
      <c r="AW17" s="152" t="n">
        <v>6</v>
      </c>
      <c r="AX17" s="152">
        <f>IF(BA16&lt;=0.005,0,BA16*(1+AX$6))</f>
        <v/>
      </c>
      <c r="AY17" s="152">
        <f>MIN(AX17,AX$7)</f>
        <v/>
      </c>
      <c r="AZ17" s="152">
        <f>MAX(0,MIN(AX17-AY17,CL17))</f>
        <v/>
      </c>
      <c r="BA17" s="152">
        <f>AX17-AY17-AZ17</f>
        <v/>
      </c>
      <c r="BB17" s="152">
        <f>IF(BE16&lt;=0.005,0,BE16*(1+BB$6))</f>
        <v/>
      </c>
      <c r="BC17" s="152">
        <f>MIN(BB17,BB$7)</f>
        <v/>
      </c>
      <c r="BD17" s="152">
        <f>MAX(0,MIN(BB17-BC17,CL17-(AZ17)))</f>
        <v/>
      </c>
      <c r="BE17" s="152">
        <f>BB17-BC17-BD17</f>
        <v/>
      </c>
      <c r="BF17" s="152">
        <f>IF(BI16&lt;=0.005,0,BI16*(1+BF$6))</f>
        <v/>
      </c>
      <c r="BG17" s="152">
        <f>MIN(BF17,BF$7)</f>
        <v/>
      </c>
      <c r="BH17" s="152">
        <f>MAX(0,MIN(BF17-BG17,CL17-(AZ17+BD17)))</f>
        <v/>
      </c>
      <c r="BI17" s="152">
        <f>BF17-BG17-BH17</f>
        <v/>
      </c>
      <c r="BJ17" s="152">
        <f>IF(BM16&lt;=0.005,0,BM16*(1+BJ$6))</f>
        <v/>
      </c>
      <c r="BK17" s="152">
        <f>MIN(BJ17,BJ$7)</f>
        <v/>
      </c>
      <c r="BL17" s="152">
        <f>MAX(0,MIN(BJ17-BK17,CL17-(AZ17+BD17+BH17)))</f>
        <v/>
      </c>
      <c r="BM17" s="152">
        <f>BJ17-BK17-BL17</f>
        <v/>
      </c>
      <c r="BN17" s="152">
        <f>IF(BQ16&lt;=0.005,0,BQ16*(1+BN$6))</f>
        <v/>
      </c>
      <c r="BO17" s="152">
        <f>MIN(BN17,BN$7)</f>
        <v/>
      </c>
      <c r="BP17" s="152">
        <f>MAX(0,MIN(BN17-BO17,CL17-(AZ17+BD17+BH17+BL17)))</f>
        <v/>
      </c>
      <c r="BQ17" s="152">
        <f>BN17-BO17-BP17</f>
        <v/>
      </c>
      <c r="BR17" s="152">
        <f>IF(BU16&lt;=0.005,0,BU16*(1+BR$6))</f>
        <v/>
      </c>
      <c r="BS17" s="152">
        <f>MIN(BR17,BR$7)</f>
        <v/>
      </c>
      <c r="BT17" s="152">
        <f>MAX(0,MIN(BR17-BS17,CL17-(AZ17+BD17+BH17+BL17+BP17)))</f>
        <v/>
      </c>
      <c r="BU17" s="152">
        <f>BR17-BS17-BT17</f>
        <v/>
      </c>
      <c r="BV17" s="152">
        <f>IF(BY16&lt;=0.005,0,BY16*(1+BV$6))</f>
        <v/>
      </c>
      <c r="BW17" s="152">
        <f>MIN(BV17,BV$7)</f>
        <v/>
      </c>
      <c r="BX17" s="152">
        <f>MAX(0,MIN(BV17-BW17,CL17-(AZ17+BD17+BH17+BL17+BP17+BT17)))</f>
        <v/>
      </c>
      <c r="BY17" s="152">
        <f>BV17-BW17-BX17</f>
        <v/>
      </c>
      <c r="BZ17" s="152">
        <f>IF(CC16&lt;=0.005,0,CC16*(1+BZ$6))</f>
        <v/>
      </c>
      <c r="CA17" s="152">
        <f>MIN(BZ17,BZ$7)</f>
        <v/>
      </c>
      <c r="CB17" s="152">
        <f>MAX(0,MIN(BZ17-CA17,CL17-(AZ17+BD17+BH17+BL17+BP17+BT17+BX17)))</f>
        <v/>
      </c>
      <c r="CC17" s="152">
        <f>BZ17-CA17-CB17</f>
        <v/>
      </c>
      <c r="CD17" s="152">
        <f>IF(CG16&lt;=0.005,0,CG16*(1+CD$6))</f>
        <v/>
      </c>
      <c r="CE17" s="152">
        <f>MIN(CD17,CD$7)</f>
        <v/>
      </c>
      <c r="CF17" s="152">
        <f>MAX(0,MIN(CD17-CE17,CL17-(AZ17+BD17+BH17+BL17+BP17+BT17+BX17+CB17)))</f>
        <v/>
      </c>
      <c r="CG17" s="152">
        <f>CD17-CE17-CF17</f>
        <v/>
      </c>
      <c r="CH17" s="152">
        <f>IF(CK16&lt;=0.005,0,CK16*(1+CH$6))</f>
        <v/>
      </c>
      <c r="CI17" s="152">
        <f>MIN(CH17,CH$7)</f>
        <v/>
      </c>
      <c r="CJ17" s="152">
        <f>MAX(0,MIN(CH17-CI17,CL17-(AZ17+BD17+BH17+BL17+BP17+BT17+BX17+CB17+CF17)))</f>
        <v/>
      </c>
      <c r="CK17" s="152">
        <f>CH17-CI17-CJ17</f>
        <v/>
      </c>
      <c r="CL17" s="152">
        <f>'Debt Payoff'!$C$8-SUM(AY17,BC17,BG17,BK17,BO17,BS17,BW17,CA17,CE17,CI17)</f>
        <v/>
      </c>
      <c r="CM17" s="152">
        <f>SUM(AY17,BC17,BG17,BK17,BO17,BS17,BW17,CA17,CE17,CI17)+SUM(AZ17,BD17,BH17,BL17,BP17,BT17,BX17,CB17,CF17,CJ17)</f>
        <v/>
      </c>
      <c r="CN17" s="152">
        <f>SUM(BA17,BE17,BI17,BM17,BQ17,BU17,BY17,CC17,CG17,CK17)</f>
        <v/>
      </c>
      <c r="CO17" s="152">
        <f>IF(AW17&gt;CN$6,NA(),AW17)</f>
        <v/>
      </c>
      <c r="CP17" s="152">
        <f>IF(AW17&gt;CN$6,NA(),CN17)</f>
        <v/>
      </c>
    </row>
    <row r="18">
      <c r="B18" s="152" t="n">
        <v>7</v>
      </c>
      <c r="C18" s="152">
        <f>IF(F17&lt;=0.005,0,F17*(1+C$6))</f>
        <v/>
      </c>
      <c r="D18" s="152">
        <f>MIN(C18,C$7)</f>
        <v/>
      </c>
      <c r="E18" s="152">
        <f>MAX(0,MIN(C18-D18,AQ18))</f>
        <v/>
      </c>
      <c r="F18" s="152">
        <f>C18-D18-E18</f>
        <v/>
      </c>
      <c r="G18" s="152">
        <f>IF(J17&lt;=0.005,0,J17*(1+G$6))</f>
        <v/>
      </c>
      <c r="H18" s="152">
        <f>MIN(G18,G$7)</f>
        <v/>
      </c>
      <c r="I18" s="152">
        <f>MAX(0,MIN(G18-H18,AQ18-(E18)))</f>
        <v/>
      </c>
      <c r="J18" s="152">
        <f>G18-H18-I18</f>
        <v/>
      </c>
      <c r="K18" s="152">
        <f>IF(N17&lt;=0.005,0,N17*(1+K$6))</f>
        <v/>
      </c>
      <c r="L18" s="152">
        <f>MIN(K18,K$7)</f>
        <v/>
      </c>
      <c r="M18" s="152">
        <f>MAX(0,MIN(K18-L18,AQ18-(E18+I18)))</f>
        <v/>
      </c>
      <c r="N18" s="152">
        <f>K18-L18-M18</f>
        <v/>
      </c>
      <c r="O18" s="152">
        <f>IF(R17&lt;=0.005,0,R17*(1+O$6))</f>
        <v/>
      </c>
      <c r="P18" s="152">
        <f>MIN(O18,O$7)</f>
        <v/>
      </c>
      <c r="Q18" s="152">
        <f>MAX(0,MIN(O18-P18,AQ18-(E18+I18+M18)))</f>
        <v/>
      </c>
      <c r="R18" s="152">
        <f>O18-P18-Q18</f>
        <v/>
      </c>
      <c r="S18" s="152">
        <f>IF(V17&lt;=0.005,0,V17*(1+S$6))</f>
        <v/>
      </c>
      <c r="T18" s="152">
        <f>MIN(S18,S$7)</f>
        <v/>
      </c>
      <c r="U18" s="152">
        <f>MAX(0,MIN(S18-T18,AQ18-(E18+I18+M18+Q18)))</f>
        <v/>
      </c>
      <c r="V18" s="152">
        <f>S18-T18-U18</f>
        <v/>
      </c>
      <c r="W18" s="152">
        <f>IF(Z17&lt;=0.005,0,Z17*(1+W$6))</f>
        <v/>
      </c>
      <c r="X18" s="152">
        <f>MIN(W18,W$7)</f>
        <v/>
      </c>
      <c r="Y18" s="152">
        <f>MAX(0,MIN(W18-X18,AQ18-(E18+I18+M18+Q18+U18)))</f>
        <v/>
      </c>
      <c r="Z18" s="152">
        <f>W18-X18-Y18</f>
        <v/>
      </c>
      <c r="AA18" s="152">
        <f>IF(AD17&lt;=0.005,0,AD17*(1+AA$6))</f>
        <v/>
      </c>
      <c r="AB18" s="152">
        <f>MIN(AA18,AA$7)</f>
        <v/>
      </c>
      <c r="AC18" s="152">
        <f>MAX(0,MIN(AA18-AB18,AQ18-(E18+I18+M18+Q18+U18+Y18)))</f>
        <v/>
      </c>
      <c r="AD18" s="152">
        <f>AA18-AB18-AC18</f>
        <v/>
      </c>
      <c r="AE18" s="152">
        <f>IF(AH17&lt;=0.005,0,AH17*(1+AE$6))</f>
        <v/>
      </c>
      <c r="AF18" s="152">
        <f>MIN(AE18,AE$7)</f>
        <v/>
      </c>
      <c r="AG18" s="152">
        <f>MAX(0,MIN(AE18-AF18,AQ18-(E18+I18+M18+Q18+U18+Y18+AC18)))</f>
        <v/>
      </c>
      <c r="AH18" s="152">
        <f>AE18-AF18-AG18</f>
        <v/>
      </c>
      <c r="AI18" s="152">
        <f>IF(AL17&lt;=0.005,0,AL17*(1+AI$6))</f>
        <v/>
      </c>
      <c r="AJ18" s="152">
        <f>MIN(AI18,AI$7)</f>
        <v/>
      </c>
      <c r="AK18" s="152">
        <f>MAX(0,MIN(AI18-AJ18,AQ18-(E18+I18+M18+Q18+U18+Y18+AC18+AG18)))</f>
        <v/>
      </c>
      <c r="AL18" s="152">
        <f>AI18-AJ18-AK18</f>
        <v/>
      </c>
      <c r="AM18" s="152">
        <f>IF(AP17&lt;=0.005,0,AP17*(1+AM$6))</f>
        <v/>
      </c>
      <c r="AN18" s="152">
        <f>MIN(AM18,AM$7)</f>
        <v/>
      </c>
      <c r="AO18" s="152">
        <f>MAX(0,MIN(AM18-AN18,AQ18-(E18+I18+M18+Q18+U18+Y18+AC18+AG18+AK18)))</f>
        <v/>
      </c>
      <c r="AP18" s="152">
        <f>AM18-AN18-AO18</f>
        <v/>
      </c>
      <c r="AQ18" s="152">
        <f>'Debt Payoff'!$C$8-SUM(D18,H18,L18,P18,T18,X18,AB18,AF18,AJ18,AN18)</f>
        <v/>
      </c>
      <c r="AR18" s="152">
        <f>SUM(D18,H18,L18,P18,T18,X18,AB18,AF18,AJ18,AN18)+SUM(E18,I18,M18,Q18,U18,Y18,AC18,AG18,AK18,AO18)</f>
        <v/>
      </c>
      <c r="AS18" s="152">
        <f>SUM(F18,J18,N18,R18,V18,Z18,AD18,AH18,AL18,AP18)</f>
        <v/>
      </c>
      <c r="AT18" s="152">
        <f>IF(B18&gt;AS$6,NA(),B18)</f>
        <v/>
      </c>
      <c r="AU18" s="152">
        <f>IF(B18&gt;AS$6,NA(),AS18)</f>
        <v/>
      </c>
      <c r="AV18" s="152" t="n"/>
      <c r="AW18" s="152" t="n">
        <v>7</v>
      </c>
      <c r="AX18" s="152">
        <f>IF(BA17&lt;=0.005,0,BA17*(1+AX$6))</f>
        <v/>
      </c>
      <c r="AY18" s="152">
        <f>MIN(AX18,AX$7)</f>
        <v/>
      </c>
      <c r="AZ18" s="152">
        <f>MAX(0,MIN(AX18-AY18,CL18))</f>
        <v/>
      </c>
      <c r="BA18" s="152">
        <f>AX18-AY18-AZ18</f>
        <v/>
      </c>
      <c r="BB18" s="152">
        <f>IF(BE17&lt;=0.005,0,BE17*(1+BB$6))</f>
        <v/>
      </c>
      <c r="BC18" s="152">
        <f>MIN(BB18,BB$7)</f>
        <v/>
      </c>
      <c r="BD18" s="152">
        <f>MAX(0,MIN(BB18-BC18,CL18-(AZ18)))</f>
        <v/>
      </c>
      <c r="BE18" s="152">
        <f>BB18-BC18-BD18</f>
        <v/>
      </c>
      <c r="BF18" s="152">
        <f>IF(BI17&lt;=0.005,0,BI17*(1+BF$6))</f>
        <v/>
      </c>
      <c r="BG18" s="152">
        <f>MIN(BF18,BF$7)</f>
        <v/>
      </c>
      <c r="BH18" s="152">
        <f>MAX(0,MIN(BF18-BG18,CL18-(AZ18+BD18)))</f>
        <v/>
      </c>
      <c r="BI18" s="152">
        <f>BF18-BG18-BH18</f>
        <v/>
      </c>
      <c r="BJ18" s="152">
        <f>IF(BM17&lt;=0.005,0,BM17*(1+BJ$6))</f>
        <v/>
      </c>
      <c r="BK18" s="152">
        <f>MIN(BJ18,BJ$7)</f>
        <v/>
      </c>
      <c r="BL18" s="152">
        <f>MAX(0,MIN(BJ18-BK18,CL18-(AZ18+BD18+BH18)))</f>
        <v/>
      </c>
      <c r="BM18" s="152">
        <f>BJ18-BK18-BL18</f>
        <v/>
      </c>
      <c r="BN18" s="152">
        <f>IF(BQ17&lt;=0.005,0,BQ17*(1+BN$6))</f>
        <v/>
      </c>
      <c r="BO18" s="152">
        <f>MIN(BN18,BN$7)</f>
        <v/>
      </c>
      <c r="BP18" s="152">
        <f>MAX(0,MIN(BN18-BO18,CL18-(AZ18+BD18+BH18+BL18)))</f>
        <v/>
      </c>
      <c r="BQ18" s="152">
        <f>BN18-BO18-BP18</f>
        <v/>
      </c>
      <c r="BR18" s="152">
        <f>IF(BU17&lt;=0.005,0,BU17*(1+BR$6))</f>
        <v/>
      </c>
      <c r="BS18" s="152">
        <f>MIN(BR18,BR$7)</f>
        <v/>
      </c>
      <c r="BT18" s="152">
        <f>MAX(0,MIN(BR18-BS18,CL18-(AZ18+BD18+BH18+BL18+BP18)))</f>
        <v/>
      </c>
      <c r="BU18" s="152">
        <f>BR18-BS18-BT18</f>
        <v/>
      </c>
      <c r="BV18" s="152">
        <f>IF(BY17&lt;=0.005,0,BY17*(1+BV$6))</f>
        <v/>
      </c>
      <c r="BW18" s="152">
        <f>MIN(BV18,BV$7)</f>
        <v/>
      </c>
      <c r="BX18" s="152">
        <f>MAX(0,MIN(BV18-BW18,CL18-(AZ18+BD18+BH18+BL18+BP18+BT18)))</f>
        <v/>
      </c>
      <c r="BY18" s="152">
        <f>BV18-BW18-BX18</f>
        <v/>
      </c>
      <c r="BZ18" s="152">
        <f>IF(CC17&lt;=0.005,0,CC17*(1+BZ$6))</f>
        <v/>
      </c>
      <c r="CA18" s="152">
        <f>MIN(BZ18,BZ$7)</f>
        <v/>
      </c>
      <c r="CB18" s="152">
        <f>MAX(0,MIN(BZ18-CA18,CL18-(AZ18+BD18+BH18+BL18+BP18+BT18+BX18)))</f>
        <v/>
      </c>
      <c r="CC18" s="152">
        <f>BZ18-CA18-CB18</f>
        <v/>
      </c>
      <c r="CD18" s="152">
        <f>IF(CG17&lt;=0.005,0,CG17*(1+CD$6))</f>
        <v/>
      </c>
      <c r="CE18" s="152">
        <f>MIN(CD18,CD$7)</f>
        <v/>
      </c>
      <c r="CF18" s="152">
        <f>MAX(0,MIN(CD18-CE18,CL18-(AZ18+BD18+BH18+BL18+BP18+BT18+BX18+CB18)))</f>
        <v/>
      </c>
      <c r="CG18" s="152">
        <f>CD18-CE18-CF18</f>
        <v/>
      </c>
      <c r="CH18" s="152">
        <f>IF(CK17&lt;=0.005,0,CK17*(1+CH$6))</f>
        <v/>
      </c>
      <c r="CI18" s="152">
        <f>MIN(CH18,CH$7)</f>
        <v/>
      </c>
      <c r="CJ18" s="152">
        <f>MAX(0,MIN(CH18-CI18,CL18-(AZ18+BD18+BH18+BL18+BP18+BT18+BX18+CB18+CF18)))</f>
        <v/>
      </c>
      <c r="CK18" s="152">
        <f>CH18-CI18-CJ18</f>
        <v/>
      </c>
      <c r="CL18" s="152">
        <f>'Debt Payoff'!$C$8-SUM(AY18,BC18,BG18,BK18,BO18,BS18,BW18,CA18,CE18,CI18)</f>
        <v/>
      </c>
      <c r="CM18" s="152">
        <f>SUM(AY18,BC18,BG18,BK18,BO18,BS18,BW18,CA18,CE18,CI18)+SUM(AZ18,BD18,BH18,BL18,BP18,BT18,BX18,CB18,CF18,CJ18)</f>
        <v/>
      </c>
      <c r="CN18" s="152">
        <f>SUM(BA18,BE18,BI18,BM18,BQ18,BU18,BY18,CC18,CG18,CK18)</f>
        <v/>
      </c>
      <c r="CO18" s="152">
        <f>IF(AW18&gt;CN$6,NA(),AW18)</f>
        <v/>
      </c>
      <c r="CP18" s="152">
        <f>IF(AW18&gt;CN$6,NA(),CN18)</f>
        <v/>
      </c>
    </row>
    <row r="19">
      <c r="B19" s="152" t="n">
        <v>8</v>
      </c>
      <c r="C19" s="152">
        <f>IF(F18&lt;=0.005,0,F18*(1+C$6))</f>
        <v/>
      </c>
      <c r="D19" s="152">
        <f>MIN(C19,C$7)</f>
        <v/>
      </c>
      <c r="E19" s="152">
        <f>MAX(0,MIN(C19-D19,AQ19))</f>
        <v/>
      </c>
      <c r="F19" s="152">
        <f>C19-D19-E19</f>
        <v/>
      </c>
      <c r="G19" s="152">
        <f>IF(J18&lt;=0.005,0,J18*(1+G$6))</f>
        <v/>
      </c>
      <c r="H19" s="152">
        <f>MIN(G19,G$7)</f>
        <v/>
      </c>
      <c r="I19" s="152">
        <f>MAX(0,MIN(G19-H19,AQ19-(E19)))</f>
        <v/>
      </c>
      <c r="J19" s="152">
        <f>G19-H19-I19</f>
        <v/>
      </c>
      <c r="K19" s="152">
        <f>IF(N18&lt;=0.005,0,N18*(1+K$6))</f>
        <v/>
      </c>
      <c r="L19" s="152">
        <f>MIN(K19,K$7)</f>
        <v/>
      </c>
      <c r="M19" s="152">
        <f>MAX(0,MIN(K19-L19,AQ19-(E19+I19)))</f>
        <v/>
      </c>
      <c r="N19" s="152">
        <f>K19-L19-M19</f>
        <v/>
      </c>
      <c r="O19" s="152">
        <f>IF(R18&lt;=0.005,0,R18*(1+O$6))</f>
        <v/>
      </c>
      <c r="P19" s="152">
        <f>MIN(O19,O$7)</f>
        <v/>
      </c>
      <c r="Q19" s="152">
        <f>MAX(0,MIN(O19-P19,AQ19-(E19+I19+M19)))</f>
        <v/>
      </c>
      <c r="R19" s="152">
        <f>O19-P19-Q19</f>
        <v/>
      </c>
      <c r="S19" s="152">
        <f>IF(V18&lt;=0.005,0,V18*(1+S$6))</f>
        <v/>
      </c>
      <c r="T19" s="152">
        <f>MIN(S19,S$7)</f>
        <v/>
      </c>
      <c r="U19" s="152">
        <f>MAX(0,MIN(S19-T19,AQ19-(E19+I19+M19+Q19)))</f>
        <v/>
      </c>
      <c r="V19" s="152">
        <f>S19-T19-U19</f>
        <v/>
      </c>
      <c r="W19" s="152">
        <f>IF(Z18&lt;=0.005,0,Z18*(1+W$6))</f>
        <v/>
      </c>
      <c r="X19" s="152">
        <f>MIN(W19,W$7)</f>
        <v/>
      </c>
      <c r="Y19" s="152">
        <f>MAX(0,MIN(W19-X19,AQ19-(E19+I19+M19+Q19+U19)))</f>
        <v/>
      </c>
      <c r="Z19" s="152">
        <f>W19-X19-Y19</f>
        <v/>
      </c>
      <c r="AA19" s="152">
        <f>IF(AD18&lt;=0.005,0,AD18*(1+AA$6))</f>
        <v/>
      </c>
      <c r="AB19" s="152">
        <f>MIN(AA19,AA$7)</f>
        <v/>
      </c>
      <c r="AC19" s="152">
        <f>MAX(0,MIN(AA19-AB19,AQ19-(E19+I19+M19+Q19+U19+Y19)))</f>
        <v/>
      </c>
      <c r="AD19" s="152">
        <f>AA19-AB19-AC19</f>
        <v/>
      </c>
      <c r="AE19" s="152">
        <f>IF(AH18&lt;=0.005,0,AH18*(1+AE$6))</f>
        <v/>
      </c>
      <c r="AF19" s="152">
        <f>MIN(AE19,AE$7)</f>
        <v/>
      </c>
      <c r="AG19" s="152">
        <f>MAX(0,MIN(AE19-AF19,AQ19-(E19+I19+M19+Q19+U19+Y19+AC19)))</f>
        <v/>
      </c>
      <c r="AH19" s="152">
        <f>AE19-AF19-AG19</f>
        <v/>
      </c>
      <c r="AI19" s="152">
        <f>IF(AL18&lt;=0.005,0,AL18*(1+AI$6))</f>
        <v/>
      </c>
      <c r="AJ19" s="152">
        <f>MIN(AI19,AI$7)</f>
        <v/>
      </c>
      <c r="AK19" s="152">
        <f>MAX(0,MIN(AI19-AJ19,AQ19-(E19+I19+M19+Q19+U19+Y19+AC19+AG19)))</f>
        <v/>
      </c>
      <c r="AL19" s="152">
        <f>AI19-AJ19-AK19</f>
        <v/>
      </c>
      <c r="AM19" s="152">
        <f>IF(AP18&lt;=0.005,0,AP18*(1+AM$6))</f>
        <v/>
      </c>
      <c r="AN19" s="152">
        <f>MIN(AM19,AM$7)</f>
        <v/>
      </c>
      <c r="AO19" s="152">
        <f>MAX(0,MIN(AM19-AN19,AQ19-(E19+I19+M19+Q19+U19+Y19+AC19+AG19+AK19)))</f>
        <v/>
      </c>
      <c r="AP19" s="152">
        <f>AM19-AN19-AO19</f>
        <v/>
      </c>
      <c r="AQ19" s="152">
        <f>'Debt Payoff'!$C$8-SUM(D19,H19,L19,P19,T19,X19,AB19,AF19,AJ19,AN19)</f>
        <v/>
      </c>
      <c r="AR19" s="152">
        <f>SUM(D19,H19,L19,P19,T19,X19,AB19,AF19,AJ19,AN19)+SUM(E19,I19,M19,Q19,U19,Y19,AC19,AG19,AK19,AO19)</f>
        <v/>
      </c>
      <c r="AS19" s="152">
        <f>SUM(F19,J19,N19,R19,V19,Z19,AD19,AH19,AL19,AP19)</f>
        <v/>
      </c>
      <c r="AT19" s="152">
        <f>IF(B19&gt;AS$6,NA(),B19)</f>
        <v/>
      </c>
      <c r="AU19" s="152">
        <f>IF(B19&gt;AS$6,NA(),AS19)</f>
        <v/>
      </c>
      <c r="AV19" s="152" t="n"/>
      <c r="AW19" s="152" t="n">
        <v>8</v>
      </c>
      <c r="AX19" s="152">
        <f>IF(BA18&lt;=0.005,0,BA18*(1+AX$6))</f>
        <v/>
      </c>
      <c r="AY19" s="152">
        <f>MIN(AX19,AX$7)</f>
        <v/>
      </c>
      <c r="AZ19" s="152">
        <f>MAX(0,MIN(AX19-AY19,CL19))</f>
        <v/>
      </c>
      <c r="BA19" s="152">
        <f>AX19-AY19-AZ19</f>
        <v/>
      </c>
      <c r="BB19" s="152">
        <f>IF(BE18&lt;=0.005,0,BE18*(1+BB$6))</f>
        <v/>
      </c>
      <c r="BC19" s="152">
        <f>MIN(BB19,BB$7)</f>
        <v/>
      </c>
      <c r="BD19" s="152">
        <f>MAX(0,MIN(BB19-BC19,CL19-(AZ19)))</f>
        <v/>
      </c>
      <c r="BE19" s="152">
        <f>BB19-BC19-BD19</f>
        <v/>
      </c>
      <c r="BF19" s="152">
        <f>IF(BI18&lt;=0.005,0,BI18*(1+BF$6))</f>
        <v/>
      </c>
      <c r="BG19" s="152">
        <f>MIN(BF19,BF$7)</f>
        <v/>
      </c>
      <c r="BH19" s="152">
        <f>MAX(0,MIN(BF19-BG19,CL19-(AZ19+BD19)))</f>
        <v/>
      </c>
      <c r="BI19" s="152">
        <f>BF19-BG19-BH19</f>
        <v/>
      </c>
      <c r="BJ19" s="152">
        <f>IF(BM18&lt;=0.005,0,BM18*(1+BJ$6))</f>
        <v/>
      </c>
      <c r="BK19" s="152">
        <f>MIN(BJ19,BJ$7)</f>
        <v/>
      </c>
      <c r="BL19" s="152">
        <f>MAX(0,MIN(BJ19-BK19,CL19-(AZ19+BD19+BH19)))</f>
        <v/>
      </c>
      <c r="BM19" s="152">
        <f>BJ19-BK19-BL19</f>
        <v/>
      </c>
      <c r="BN19" s="152">
        <f>IF(BQ18&lt;=0.005,0,BQ18*(1+BN$6))</f>
        <v/>
      </c>
      <c r="BO19" s="152">
        <f>MIN(BN19,BN$7)</f>
        <v/>
      </c>
      <c r="BP19" s="152">
        <f>MAX(0,MIN(BN19-BO19,CL19-(AZ19+BD19+BH19+BL19)))</f>
        <v/>
      </c>
      <c r="BQ19" s="152">
        <f>BN19-BO19-BP19</f>
        <v/>
      </c>
      <c r="BR19" s="152">
        <f>IF(BU18&lt;=0.005,0,BU18*(1+BR$6))</f>
        <v/>
      </c>
      <c r="BS19" s="152">
        <f>MIN(BR19,BR$7)</f>
        <v/>
      </c>
      <c r="BT19" s="152">
        <f>MAX(0,MIN(BR19-BS19,CL19-(AZ19+BD19+BH19+BL19+BP19)))</f>
        <v/>
      </c>
      <c r="BU19" s="152">
        <f>BR19-BS19-BT19</f>
        <v/>
      </c>
      <c r="BV19" s="152">
        <f>IF(BY18&lt;=0.005,0,BY18*(1+BV$6))</f>
        <v/>
      </c>
      <c r="BW19" s="152">
        <f>MIN(BV19,BV$7)</f>
        <v/>
      </c>
      <c r="BX19" s="152">
        <f>MAX(0,MIN(BV19-BW19,CL19-(AZ19+BD19+BH19+BL19+BP19+BT19)))</f>
        <v/>
      </c>
      <c r="BY19" s="152">
        <f>BV19-BW19-BX19</f>
        <v/>
      </c>
      <c r="BZ19" s="152">
        <f>IF(CC18&lt;=0.005,0,CC18*(1+BZ$6))</f>
        <v/>
      </c>
      <c r="CA19" s="152">
        <f>MIN(BZ19,BZ$7)</f>
        <v/>
      </c>
      <c r="CB19" s="152">
        <f>MAX(0,MIN(BZ19-CA19,CL19-(AZ19+BD19+BH19+BL19+BP19+BT19+BX19)))</f>
        <v/>
      </c>
      <c r="CC19" s="152">
        <f>BZ19-CA19-CB19</f>
        <v/>
      </c>
      <c r="CD19" s="152">
        <f>IF(CG18&lt;=0.005,0,CG18*(1+CD$6))</f>
        <v/>
      </c>
      <c r="CE19" s="152">
        <f>MIN(CD19,CD$7)</f>
        <v/>
      </c>
      <c r="CF19" s="152">
        <f>MAX(0,MIN(CD19-CE19,CL19-(AZ19+BD19+BH19+BL19+BP19+BT19+BX19+CB19)))</f>
        <v/>
      </c>
      <c r="CG19" s="152">
        <f>CD19-CE19-CF19</f>
        <v/>
      </c>
      <c r="CH19" s="152">
        <f>IF(CK18&lt;=0.005,0,CK18*(1+CH$6))</f>
        <v/>
      </c>
      <c r="CI19" s="152">
        <f>MIN(CH19,CH$7)</f>
        <v/>
      </c>
      <c r="CJ19" s="152">
        <f>MAX(0,MIN(CH19-CI19,CL19-(AZ19+BD19+BH19+BL19+BP19+BT19+BX19+CB19+CF19)))</f>
        <v/>
      </c>
      <c r="CK19" s="152">
        <f>CH19-CI19-CJ19</f>
        <v/>
      </c>
      <c r="CL19" s="152">
        <f>'Debt Payoff'!$C$8-SUM(AY19,BC19,BG19,BK19,BO19,BS19,BW19,CA19,CE19,CI19)</f>
        <v/>
      </c>
      <c r="CM19" s="152">
        <f>SUM(AY19,BC19,BG19,BK19,BO19,BS19,BW19,CA19,CE19,CI19)+SUM(AZ19,BD19,BH19,BL19,BP19,BT19,BX19,CB19,CF19,CJ19)</f>
        <v/>
      </c>
      <c r="CN19" s="152">
        <f>SUM(BA19,BE19,BI19,BM19,BQ19,BU19,BY19,CC19,CG19,CK19)</f>
        <v/>
      </c>
      <c r="CO19" s="152">
        <f>IF(AW19&gt;CN$6,NA(),AW19)</f>
        <v/>
      </c>
      <c r="CP19" s="152">
        <f>IF(AW19&gt;CN$6,NA(),CN19)</f>
        <v/>
      </c>
    </row>
    <row r="20">
      <c r="B20" s="152" t="n">
        <v>9</v>
      </c>
      <c r="C20" s="152">
        <f>IF(F19&lt;=0.005,0,F19*(1+C$6))</f>
        <v/>
      </c>
      <c r="D20" s="152">
        <f>MIN(C20,C$7)</f>
        <v/>
      </c>
      <c r="E20" s="152">
        <f>MAX(0,MIN(C20-D20,AQ20))</f>
        <v/>
      </c>
      <c r="F20" s="152">
        <f>C20-D20-E20</f>
        <v/>
      </c>
      <c r="G20" s="152">
        <f>IF(J19&lt;=0.005,0,J19*(1+G$6))</f>
        <v/>
      </c>
      <c r="H20" s="152">
        <f>MIN(G20,G$7)</f>
        <v/>
      </c>
      <c r="I20" s="152">
        <f>MAX(0,MIN(G20-H20,AQ20-(E20)))</f>
        <v/>
      </c>
      <c r="J20" s="152">
        <f>G20-H20-I20</f>
        <v/>
      </c>
      <c r="K20" s="152">
        <f>IF(N19&lt;=0.005,0,N19*(1+K$6))</f>
        <v/>
      </c>
      <c r="L20" s="152">
        <f>MIN(K20,K$7)</f>
        <v/>
      </c>
      <c r="M20" s="152">
        <f>MAX(0,MIN(K20-L20,AQ20-(E20+I20)))</f>
        <v/>
      </c>
      <c r="N20" s="152">
        <f>K20-L20-M20</f>
        <v/>
      </c>
      <c r="O20" s="152">
        <f>IF(R19&lt;=0.005,0,R19*(1+O$6))</f>
        <v/>
      </c>
      <c r="P20" s="152">
        <f>MIN(O20,O$7)</f>
        <v/>
      </c>
      <c r="Q20" s="152">
        <f>MAX(0,MIN(O20-P20,AQ20-(E20+I20+M20)))</f>
        <v/>
      </c>
      <c r="R20" s="152">
        <f>O20-P20-Q20</f>
        <v/>
      </c>
      <c r="S20" s="152">
        <f>IF(V19&lt;=0.005,0,V19*(1+S$6))</f>
        <v/>
      </c>
      <c r="T20" s="152">
        <f>MIN(S20,S$7)</f>
        <v/>
      </c>
      <c r="U20" s="152">
        <f>MAX(0,MIN(S20-T20,AQ20-(E20+I20+M20+Q20)))</f>
        <v/>
      </c>
      <c r="V20" s="152">
        <f>S20-T20-U20</f>
        <v/>
      </c>
      <c r="W20" s="152">
        <f>IF(Z19&lt;=0.005,0,Z19*(1+W$6))</f>
        <v/>
      </c>
      <c r="X20" s="152">
        <f>MIN(W20,W$7)</f>
        <v/>
      </c>
      <c r="Y20" s="152">
        <f>MAX(0,MIN(W20-X20,AQ20-(E20+I20+M20+Q20+U20)))</f>
        <v/>
      </c>
      <c r="Z20" s="152">
        <f>W20-X20-Y20</f>
        <v/>
      </c>
      <c r="AA20" s="152">
        <f>IF(AD19&lt;=0.005,0,AD19*(1+AA$6))</f>
        <v/>
      </c>
      <c r="AB20" s="152">
        <f>MIN(AA20,AA$7)</f>
        <v/>
      </c>
      <c r="AC20" s="152">
        <f>MAX(0,MIN(AA20-AB20,AQ20-(E20+I20+M20+Q20+U20+Y20)))</f>
        <v/>
      </c>
      <c r="AD20" s="152">
        <f>AA20-AB20-AC20</f>
        <v/>
      </c>
      <c r="AE20" s="152">
        <f>IF(AH19&lt;=0.005,0,AH19*(1+AE$6))</f>
        <v/>
      </c>
      <c r="AF20" s="152">
        <f>MIN(AE20,AE$7)</f>
        <v/>
      </c>
      <c r="AG20" s="152">
        <f>MAX(0,MIN(AE20-AF20,AQ20-(E20+I20+M20+Q20+U20+Y20+AC20)))</f>
        <v/>
      </c>
      <c r="AH20" s="152">
        <f>AE20-AF20-AG20</f>
        <v/>
      </c>
      <c r="AI20" s="152">
        <f>IF(AL19&lt;=0.005,0,AL19*(1+AI$6))</f>
        <v/>
      </c>
      <c r="AJ20" s="152">
        <f>MIN(AI20,AI$7)</f>
        <v/>
      </c>
      <c r="AK20" s="152">
        <f>MAX(0,MIN(AI20-AJ20,AQ20-(E20+I20+M20+Q20+U20+Y20+AC20+AG20)))</f>
        <v/>
      </c>
      <c r="AL20" s="152">
        <f>AI20-AJ20-AK20</f>
        <v/>
      </c>
      <c r="AM20" s="152">
        <f>IF(AP19&lt;=0.005,0,AP19*(1+AM$6))</f>
        <v/>
      </c>
      <c r="AN20" s="152">
        <f>MIN(AM20,AM$7)</f>
        <v/>
      </c>
      <c r="AO20" s="152">
        <f>MAX(0,MIN(AM20-AN20,AQ20-(E20+I20+M20+Q20+U20+Y20+AC20+AG20+AK20)))</f>
        <v/>
      </c>
      <c r="AP20" s="152">
        <f>AM20-AN20-AO20</f>
        <v/>
      </c>
      <c r="AQ20" s="152">
        <f>'Debt Payoff'!$C$8-SUM(D20,H20,L20,P20,T20,X20,AB20,AF20,AJ20,AN20)</f>
        <v/>
      </c>
      <c r="AR20" s="152">
        <f>SUM(D20,H20,L20,P20,T20,X20,AB20,AF20,AJ20,AN20)+SUM(E20,I20,M20,Q20,U20,Y20,AC20,AG20,AK20,AO20)</f>
        <v/>
      </c>
      <c r="AS20" s="152">
        <f>SUM(F20,J20,N20,R20,V20,Z20,AD20,AH20,AL20,AP20)</f>
        <v/>
      </c>
      <c r="AT20" s="152">
        <f>IF(B20&gt;AS$6,NA(),B20)</f>
        <v/>
      </c>
      <c r="AU20" s="152">
        <f>IF(B20&gt;AS$6,NA(),AS20)</f>
        <v/>
      </c>
      <c r="AV20" s="152" t="n"/>
      <c r="AW20" s="152" t="n">
        <v>9</v>
      </c>
      <c r="AX20" s="152">
        <f>IF(BA19&lt;=0.005,0,BA19*(1+AX$6))</f>
        <v/>
      </c>
      <c r="AY20" s="152">
        <f>MIN(AX20,AX$7)</f>
        <v/>
      </c>
      <c r="AZ20" s="152">
        <f>MAX(0,MIN(AX20-AY20,CL20))</f>
        <v/>
      </c>
      <c r="BA20" s="152">
        <f>AX20-AY20-AZ20</f>
        <v/>
      </c>
      <c r="BB20" s="152">
        <f>IF(BE19&lt;=0.005,0,BE19*(1+BB$6))</f>
        <v/>
      </c>
      <c r="BC20" s="152">
        <f>MIN(BB20,BB$7)</f>
        <v/>
      </c>
      <c r="BD20" s="152">
        <f>MAX(0,MIN(BB20-BC20,CL20-(AZ20)))</f>
        <v/>
      </c>
      <c r="BE20" s="152">
        <f>BB20-BC20-BD20</f>
        <v/>
      </c>
      <c r="BF20" s="152">
        <f>IF(BI19&lt;=0.005,0,BI19*(1+BF$6))</f>
        <v/>
      </c>
      <c r="BG20" s="152">
        <f>MIN(BF20,BF$7)</f>
        <v/>
      </c>
      <c r="BH20" s="152">
        <f>MAX(0,MIN(BF20-BG20,CL20-(AZ20+BD20)))</f>
        <v/>
      </c>
      <c r="BI20" s="152">
        <f>BF20-BG20-BH20</f>
        <v/>
      </c>
      <c r="BJ20" s="152">
        <f>IF(BM19&lt;=0.005,0,BM19*(1+BJ$6))</f>
        <v/>
      </c>
      <c r="BK20" s="152">
        <f>MIN(BJ20,BJ$7)</f>
        <v/>
      </c>
      <c r="BL20" s="152">
        <f>MAX(0,MIN(BJ20-BK20,CL20-(AZ20+BD20+BH20)))</f>
        <v/>
      </c>
      <c r="BM20" s="152">
        <f>BJ20-BK20-BL20</f>
        <v/>
      </c>
      <c r="BN20" s="152">
        <f>IF(BQ19&lt;=0.005,0,BQ19*(1+BN$6))</f>
        <v/>
      </c>
      <c r="BO20" s="152">
        <f>MIN(BN20,BN$7)</f>
        <v/>
      </c>
      <c r="BP20" s="152">
        <f>MAX(0,MIN(BN20-BO20,CL20-(AZ20+BD20+BH20+BL20)))</f>
        <v/>
      </c>
      <c r="BQ20" s="152">
        <f>BN20-BO20-BP20</f>
        <v/>
      </c>
      <c r="BR20" s="152">
        <f>IF(BU19&lt;=0.005,0,BU19*(1+BR$6))</f>
        <v/>
      </c>
      <c r="BS20" s="152">
        <f>MIN(BR20,BR$7)</f>
        <v/>
      </c>
      <c r="BT20" s="152">
        <f>MAX(0,MIN(BR20-BS20,CL20-(AZ20+BD20+BH20+BL20+BP20)))</f>
        <v/>
      </c>
      <c r="BU20" s="152">
        <f>BR20-BS20-BT20</f>
        <v/>
      </c>
      <c r="BV20" s="152">
        <f>IF(BY19&lt;=0.005,0,BY19*(1+BV$6))</f>
        <v/>
      </c>
      <c r="BW20" s="152">
        <f>MIN(BV20,BV$7)</f>
        <v/>
      </c>
      <c r="BX20" s="152">
        <f>MAX(0,MIN(BV20-BW20,CL20-(AZ20+BD20+BH20+BL20+BP20+BT20)))</f>
        <v/>
      </c>
      <c r="BY20" s="152">
        <f>BV20-BW20-BX20</f>
        <v/>
      </c>
      <c r="BZ20" s="152">
        <f>IF(CC19&lt;=0.005,0,CC19*(1+BZ$6))</f>
        <v/>
      </c>
      <c r="CA20" s="152">
        <f>MIN(BZ20,BZ$7)</f>
        <v/>
      </c>
      <c r="CB20" s="152">
        <f>MAX(0,MIN(BZ20-CA20,CL20-(AZ20+BD20+BH20+BL20+BP20+BT20+BX20)))</f>
        <v/>
      </c>
      <c r="CC20" s="152">
        <f>BZ20-CA20-CB20</f>
        <v/>
      </c>
      <c r="CD20" s="152">
        <f>IF(CG19&lt;=0.005,0,CG19*(1+CD$6))</f>
        <v/>
      </c>
      <c r="CE20" s="152">
        <f>MIN(CD20,CD$7)</f>
        <v/>
      </c>
      <c r="CF20" s="152">
        <f>MAX(0,MIN(CD20-CE20,CL20-(AZ20+BD20+BH20+BL20+BP20+BT20+BX20+CB20)))</f>
        <v/>
      </c>
      <c r="CG20" s="152">
        <f>CD20-CE20-CF20</f>
        <v/>
      </c>
      <c r="CH20" s="152">
        <f>IF(CK19&lt;=0.005,0,CK19*(1+CH$6))</f>
        <v/>
      </c>
      <c r="CI20" s="152">
        <f>MIN(CH20,CH$7)</f>
        <v/>
      </c>
      <c r="CJ20" s="152">
        <f>MAX(0,MIN(CH20-CI20,CL20-(AZ20+BD20+BH20+BL20+BP20+BT20+BX20+CB20+CF20)))</f>
        <v/>
      </c>
      <c r="CK20" s="152">
        <f>CH20-CI20-CJ20</f>
        <v/>
      </c>
      <c r="CL20" s="152">
        <f>'Debt Payoff'!$C$8-SUM(AY20,BC20,BG20,BK20,BO20,BS20,BW20,CA20,CE20,CI20)</f>
        <v/>
      </c>
      <c r="CM20" s="152">
        <f>SUM(AY20,BC20,BG20,BK20,BO20,BS20,BW20,CA20,CE20,CI20)+SUM(AZ20,BD20,BH20,BL20,BP20,BT20,BX20,CB20,CF20,CJ20)</f>
        <v/>
      </c>
      <c r="CN20" s="152">
        <f>SUM(BA20,BE20,BI20,BM20,BQ20,BU20,BY20,CC20,CG20,CK20)</f>
        <v/>
      </c>
      <c r="CO20" s="152">
        <f>IF(AW20&gt;CN$6,NA(),AW20)</f>
        <v/>
      </c>
      <c r="CP20" s="152">
        <f>IF(AW20&gt;CN$6,NA(),CN20)</f>
        <v/>
      </c>
    </row>
    <row r="21">
      <c r="B21" s="152" t="n">
        <v>10</v>
      </c>
      <c r="C21" s="152">
        <f>IF(F20&lt;=0.005,0,F20*(1+C$6))</f>
        <v/>
      </c>
      <c r="D21" s="152">
        <f>MIN(C21,C$7)</f>
        <v/>
      </c>
      <c r="E21" s="152">
        <f>MAX(0,MIN(C21-D21,AQ21))</f>
        <v/>
      </c>
      <c r="F21" s="152">
        <f>C21-D21-E21</f>
        <v/>
      </c>
      <c r="G21" s="152">
        <f>IF(J20&lt;=0.005,0,J20*(1+G$6))</f>
        <v/>
      </c>
      <c r="H21" s="152">
        <f>MIN(G21,G$7)</f>
        <v/>
      </c>
      <c r="I21" s="152">
        <f>MAX(0,MIN(G21-H21,AQ21-(E21)))</f>
        <v/>
      </c>
      <c r="J21" s="152">
        <f>G21-H21-I21</f>
        <v/>
      </c>
      <c r="K21" s="152">
        <f>IF(N20&lt;=0.005,0,N20*(1+K$6))</f>
        <v/>
      </c>
      <c r="L21" s="152">
        <f>MIN(K21,K$7)</f>
        <v/>
      </c>
      <c r="M21" s="152">
        <f>MAX(0,MIN(K21-L21,AQ21-(E21+I21)))</f>
        <v/>
      </c>
      <c r="N21" s="152">
        <f>K21-L21-M21</f>
        <v/>
      </c>
      <c r="O21" s="152">
        <f>IF(R20&lt;=0.005,0,R20*(1+O$6))</f>
        <v/>
      </c>
      <c r="P21" s="152">
        <f>MIN(O21,O$7)</f>
        <v/>
      </c>
      <c r="Q21" s="152">
        <f>MAX(0,MIN(O21-P21,AQ21-(E21+I21+M21)))</f>
        <v/>
      </c>
      <c r="R21" s="152">
        <f>O21-P21-Q21</f>
        <v/>
      </c>
      <c r="S21" s="152">
        <f>IF(V20&lt;=0.005,0,V20*(1+S$6))</f>
        <v/>
      </c>
      <c r="T21" s="152">
        <f>MIN(S21,S$7)</f>
        <v/>
      </c>
      <c r="U21" s="152">
        <f>MAX(0,MIN(S21-T21,AQ21-(E21+I21+M21+Q21)))</f>
        <v/>
      </c>
      <c r="V21" s="152">
        <f>S21-T21-U21</f>
        <v/>
      </c>
      <c r="W21" s="152">
        <f>IF(Z20&lt;=0.005,0,Z20*(1+W$6))</f>
        <v/>
      </c>
      <c r="X21" s="152">
        <f>MIN(W21,W$7)</f>
        <v/>
      </c>
      <c r="Y21" s="152">
        <f>MAX(0,MIN(W21-X21,AQ21-(E21+I21+M21+Q21+U21)))</f>
        <v/>
      </c>
      <c r="Z21" s="152">
        <f>W21-X21-Y21</f>
        <v/>
      </c>
      <c r="AA21" s="152">
        <f>IF(AD20&lt;=0.005,0,AD20*(1+AA$6))</f>
        <v/>
      </c>
      <c r="AB21" s="152">
        <f>MIN(AA21,AA$7)</f>
        <v/>
      </c>
      <c r="AC21" s="152">
        <f>MAX(0,MIN(AA21-AB21,AQ21-(E21+I21+M21+Q21+U21+Y21)))</f>
        <v/>
      </c>
      <c r="AD21" s="152">
        <f>AA21-AB21-AC21</f>
        <v/>
      </c>
      <c r="AE21" s="152">
        <f>IF(AH20&lt;=0.005,0,AH20*(1+AE$6))</f>
        <v/>
      </c>
      <c r="AF21" s="152">
        <f>MIN(AE21,AE$7)</f>
        <v/>
      </c>
      <c r="AG21" s="152">
        <f>MAX(0,MIN(AE21-AF21,AQ21-(E21+I21+M21+Q21+U21+Y21+AC21)))</f>
        <v/>
      </c>
      <c r="AH21" s="152">
        <f>AE21-AF21-AG21</f>
        <v/>
      </c>
      <c r="AI21" s="152">
        <f>IF(AL20&lt;=0.005,0,AL20*(1+AI$6))</f>
        <v/>
      </c>
      <c r="AJ21" s="152">
        <f>MIN(AI21,AI$7)</f>
        <v/>
      </c>
      <c r="AK21" s="152">
        <f>MAX(0,MIN(AI21-AJ21,AQ21-(E21+I21+M21+Q21+U21+Y21+AC21+AG21)))</f>
        <v/>
      </c>
      <c r="AL21" s="152">
        <f>AI21-AJ21-AK21</f>
        <v/>
      </c>
      <c r="AM21" s="152">
        <f>IF(AP20&lt;=0.005,0,AP20*(1+AM$6))</f>
        <v/>
      </c>
      <c r="AN21" s="152">
        <f>MIN(AM21,AM$7)</f>
        <v/>
      </c>
      <c r="AO21" s="152">
        <f>MAX(0,MIN(AM21-AN21,AQ21-(E21+I21+M21+Q21+U21+Y21+AC21+AG21+AK21)))</f>
        <v/>
      </c>
      <c r="AP21" s="152">
        <f>AM21-AN21-AO21</f>
        <v/>
      </c>
      <c r="AQ21" s="152">
        <f>'Debt Payoff'!$C$8-SUM(D21,H21,L21,P21,T21,X21,AB21,AF21,AJ21,AN21)</f>
        <v/>
      </c>
      <c r="AR21" s="152">
        <f>SUM(D21,H21,L21,P21,T21,X21,AB21,AF21,AJ21,AN21)+SUM(E21,I21,M21,Q21,U21,Y21,AC21,AG21,AK21,AO21)</f>
        <v/>
      </c>
      <c r="AS21" s="152">
        <f>SUM(F21,J21,N21,R21,V21,Z21,AD21,AH21,AL21,AP21)</f>
        <v/>
      </c>
      <c r="AT21" s="152">
        <f>IF(B21&gt;AS$6,NA(),B21)</f>
        <v/>
      </c>
      <c r="AU21" s="152">
        <f>IF(B21&gt;AS$6,NA(),AS21)</f>
        <v/>
      </c>
      <c r="AV21" s="152" t="n"/>
      <c r="AW21" s="152" t="n">
        <v>10</v>
      </c>
      <c r="AX21" s="152">
        <f>IF(BA20&lt;=0.005,0,BA20*(1+AX$6))</f>
        <v/>
      </c>
      <c r="AY21" s="152">
        <f>MIN(AX21,AX$7)</f>
        <v/>
      </c>
      <c r="AZ21" s="152">
        <f>MAX(0,MIN(AX21-AY21,CL21))</f>
        <v/>
      </c>
      <c r="BA21" s="152">
        <f>AX21-AY21-AZ21</f>
        <v/>
      </c>
      <c r="BB21" s="152">
        <f>IF(BE20&lt;=0.005,0,BE20*(1+BB$6))</f>
        <v/>
      </c>
      <c r="BC21" s="152">
        <f>MIN(BB21,BB$7)</f>
        <v/>
      </c>
      <c r="BD21" s="152">
        <f>MAX(0,MIN(BB21-BC21,CL21-(AZ21)))</f>
        <v/>
      </c>
      <c r="BE21" s="152">
        <f>BB21-BC21-BD21</f>
        <v/>
      </c>
      <c r="BF21" s="152">
        <f>IF(BI20&lt;=0.005,0,BI20*(1+BF$6))</f>
        <v/>
      </c>
      <c r="BG21" s="152">
        <f>MIN(BF21,BF$7)</f>
        <v/>
      </c>
      <c r="BH21" s="152">
        <f>MAX(0,MIN(BF21-BG21,CL21-(AZ21+BD21)))</f>
        <v/>
      </c>
      <c r="BI21" s="152">
        <f>BF21-BG21-BH21</f>
        <v/>
      </c>
      <c r="BJ21" s="152">
        <f>IF(BM20&lt;=0.005,0,BM20*(1+BJ$6))</f>
        <v/>
      </c>
      <c r="BK21" s="152">
        <f>MIN(BJ21,BJ$7)</f>
        <v/>
      </c>
      <c r="BL21" s="152">
        <f>MAX(0,MIN(BJ21-BK21,CL21-(AZ21+BD21+BH21)))</f>
        <v/>
      </c>
      <c r="BM21" s="152">
        <f>BJ21-BK21-BL21</f>
        <v/>
      </c>
      <c r="BN21" s="152">
        <f>IF(BQ20&lt;=0.005,0,BQ20*(1+BN$6))</f>
        <v/>
      </c>
      <c r="BO21" s="152">
        <f>MIN(BN21,BN$7)</f>
        <v/>
      </c>
      <c r="BP21" s="152">
        <f>MAX(0,MIN(BN21-BO21,CL21-(AZ21+BD21+BH21+BL21)))</f>
        <v/>
      </c>
      <c r="BQ21" s="152">
        <f>BN21-BO21-BP21</f>
        <v/>
      </c>
      <c r="BR21" s="152">
        <f>IF(BU20&lt;=0.005,0,BU20*(1+BR$6))</f>
        <v/>
      </c>
      <c r="BS21" s="152">
        <f>MIN(BR21,BR$7)</f>
        <v/>
      </c>
      <c r="BT21" s="152">
        <f>MAX(0,MIN(BR21-BS21,CL21-(AZ21+BD21+BH21+BL21+BP21)))</f>
        <v/>
      </c>
      <c r="BU21" s="152">
        <f>BR21-BS21-BT21</f>
        <v/>
      </c>
      <c r="BV21" s="152">
        <f>IF(BY20&lt;=0.005,0,BY20*(1+BV$6))</f>
        <v/>
      </c>
      <c r="BW21" s="152">
        <f>MIN(BV21,BV$7)</f>
        <v/>
      </c>
      <c r="BX21" s="152">
        <f>MAX(0,MIN(BV21-BW21,CL21-(AZ21+BD21+BH21+BL21+BP21+BT21)))</f>
        <v/>
      </c>
      <c r="BY21" s="152">
        <f>BV21-BW21-BX21</f>
        <v/>
      </c>
      <c r="BZ21" s="152">
        <f>IF(CC20&lt;=0.005,0,CC20*(1+BZ$6))</f>
        <v/>
      </c>
      <c r="CA21" s="152">
        <f>MIN(BZ21,BZ$7)</f>
        <v/>
      </c>
      <c r="CB21" s="152">
        <f>MAX(0,MIN(BZ21-CA21,CL21-(AZ21+BD21+BH21+BL21+BP21+BT21+BX21)))</f>
        <v/>
      </c>
      <c r="CC21" s="152">
        <f>BZ21-CA21-CB21</f>
        <v/>
      </c>
      <c r="CD21" s="152">
        <f>IF(CG20&lt;=0.005,0,CG20*(1+CD$6))</f>
        <v/>
      </c>
      <c r="CE21" s="152">
        <f>MIN(CD21,CD$7)</f>
        <v/>
      </c>
      <c r="CF21" s="152">
        <f>MAX(0,MIN(CD21-CE21,CL21-(AZ21+BD21+BH21+BL21+BP21+BT21+BX21+CB21)))</f>
        <v/>
      </c>
      <c r="CG21" s="152">
        <f>CD21-CE21-CF21</f>
        <v/>
      </c>
      <c r="CH21" s="152">
        <f>IF(CK20&lt;=0.005,0,CK20*(1+CH$6))</f>
        <v/>
      </c>
      <c r="CI21" s="152">
        <f>MIN(CH21,CH$7)</f>
        <v/>
      </c>
      <c r="CJ21" s="152">
        <f>MAX(0,MIN(CH21-CI21,CL21-(AZ21+BD21+BH21+BL21+BP21+BT21+BX21+CB21+CF21)))</f>
        <v/>
      </c>
      <c r="CK21" s="152">
        <f>CH21-CI21-CJ21</f>
        <v/>
      </c>
      <c r="CL21" s="152">
        <f>'Debt Payoff'!$C$8-SUM(AY21,BC21,BG21,BK21,BO21,BS21,BW21,CA21,CE21,CI21)</f>
        <v/>
      </c>
      <c r="CM21" s="152">
        <f>SUM(AY21,BC21,BG21,BK21,BO21,BS21,BW21,CA21,CE21,CI21)+SUM(AZ21,BD21,BH21,BL21,BP21,BT21,BX21,CB21,CF21,CJ21)</f>
        <v/>
      </c>
      <c r="CN21" s="152">
        <f>SUM(BA21,BE21,BI21,BM21,BQ21,BU21,BY21,CC21,CG21,CK21)</f>
        <v/>
      </c>
      <c r="CO21" s="152">
        <f>IF(AW21&gt;CN$6,NA(),AW21)</f>
        <v/>
      </c>
      <c r="CP21" s="152">
        <f>IF(AW21&gt;CN$6,NA(),CN21)</f>
        <v/>
      </c>
    </row>
    <row r="22">
      <c r="B22" s="152" t="n">
        <v>11</v>
      </c>
      <c r="C22" s="152">
        <f>IF(F21&lt;=0.005,0,F21*(1+C$6))</f>
        <v/>
      </c>
      <c r="D22" s="152">
        <f>MIN(C22,C$7)</f>
        <v/>
      </c>
      <c r="E22" s="152">
        <f>MAX(0,MIN(C22-D22,AQ22))</f>
        <v/>
      </c>
      <c r="F22" s="152">
        <f>C22-D22-E22</f>
        <v/>
      </c>
      <c r="G22" s="152">
        <f>IF(J21&lt;=0.005,0,J21*(1+G$6))</f>
        <v/>
      </c>
      <c r="H22" s="152">
        <f>MIN(G22,G$7)</f>
        <v/>
      </c>
      <c r="I22" s="152">
        <f>MAX(0,MIN(G22-H22,AQ22-(E22)))</f>
        <v/>
      </c>
      <c r="J22" s="152">
        <f>G22-H22-I22</f>
        <v/>
      </c>
      <c r="K22" s="152">
        <f>IF(N21&lt;=0.005,0,N21*(1+K$6))</f>
        <v/>
      </c>
      <c r="L22" s="152">
        <f>MIN(K22,K$7)</f>
        <v/>
      </c>
      <c r="M22" s="152">
        <f>MAX(0,MIN(K22-L22,AQ22-(E22+I22)))</f>
        <v/>
      </c>
      <c r="N22" s="152">
        <f>K22-L22-M22</f>
        <v/>
      </c>
      <c r="O22" s="152">
        <f>IF(R21&lt;=0.005,0,R21*(1+O$6))</f>
        <v/>
      </c>
      <c r="P22" s="152">
        <f>MIN(O22,O$7)</f>
        <v/>
      </c>
      <c r="Q22" s="152">
        <f>MAX(0,MIN(O22-P22,AQ22-(E22+I22+M22)))</f>
        <v/>
      </c>
      <c r="R22" s="152">
        <f>O22-P22-Q22</f>
        <v/>
      </c>
      <c r="S22" s="152">
        <f>IF(V21&lt;=0.005,0,V21*(1+S$6))</f>
        <v/>
      </c>
      <c r="T22" s="152">
        <f>MIN(S22,S$7)</f>
        <v/>
      </c>
      <c r="U22" s="152">
        <f>MAX(0,MIN(S22-T22,AQ22-(E22+I22+M22+Q22)))</f>
        <v/>
      </c>
      <c r="V22" s="152">
        <f>S22-T22-U22</f>
        <v/>
      </c>
      <c r="W22" s="152">
        <f>IF(Z21&lt;=0.005,0,Z21*(1+W$6))</f>
        <v/>
      </c>
      <c r="X22" s="152">
        <f>MIN(W22,W$7)</f>
        <v/>
      </c>
      <c r="Y22" s="152">
        <f>MAX(0,MIN(W22-X22,AQ22-(E22+I22+M22+Q22+U22)))</f>
        <v/>
      </c>
      <c r="Z22" s="152">
        <f>W22-X22-Y22</f>
        <v/>
      </c>
      <c r="AA22" s="152">
        <f>IF(AD21&lt;=0.005,0,AD21*(1+AA$6))</f>
        <v/>
      </c>
      <c r="AB22" s="152">
        <f>MIN(AA22,AA$7)</f>
        <v/>
      </c>
      <c r="AC22" s="152">
        <f>MAX(0,MIN(AA22-AB22,AQ22-(E22+I22+M22+Q22+U22+Y22)))</f>
        <v/>
      </c>
      <c r="AD22" s="152">
        <f>AA22-AB22-AC22</f>
        <v/>
      </c>
      <c r="AE22" s="152">
        <f>IF(AH21&lt;=0.005,0,AH21*(1+AE$6))</f>
        <v/>
      </c>
      <c r="AF22" s="152">
        <f>MIN(AE22,AE$7)</f>
        <v/>
      </c>
      <c r="AG22" s="152">
        <f>MAX(0,MIN(AE22-AF22,AQ22-(E22+I22+M22+Q22+U22+Y22+AC22)))</f>
        <v/>
      </c>
      <c r="AH22" s="152">
        <f>AE22-AF22-AG22</f>
        <v/>
      </c>
      <c r="AI22" s="152">
        <f>IF(AL21&lt;=0.005,0,AL21*(1+AI$6))</f>
        <v/>
      </c>
      <c r="AJ22" s="152">
        <f>MIN(AI22,AI$7)</f>
        <v/>
      </c>
      <c r="AK22" s="152">
        <f>MAX(0,MIN(AI22-AJ22,AQ22-(E22+I22+M22+Q22+U22+Y22+AC22+AG22)))</f>
        <v/>
      </c>
      <c r="AL22" s="152">
        <f>AI22-AJ22-AK22</f>
        <v/>
      </c>
      <c r="AM22" s="152">
        <f>IF(AP21&lt;=0.005,0,AP21*(1+AM$6))</f>
        <v/>
      </c>
      <c r="AN22" s="152">
        <f>MIN(AM22,AM$7)</f>
        <v/>
      </c>
      <c r="AO22" s="152">
        <f>MAX(0,MIN(AM22-AN22,AQ22-(E22+I22+M22+Q22+U22+Y22+AC22+AG22+AK22)))</f>
        <v/>
      </c>
      <c r="AP22" s="152">
        <f>AM22-AN22-AO22</f>
        <v/>
      </c>
      <c r="AQ22" s="152">
        <f>'Debt Payoff'!$C$8-SUM(D22,H22,L22,P22,T22,X22,AB22,AF22,AJ22,AN22)</f>
        <v/>
      </c>
      <c r="AR22" s="152">
        <f>SUM(D22,H22,L22,P22,T22,X22,AB22,AF22,AJ22,AN22)+SUM(E22,I22,M22,Q22,U22,Y22,AC22,AG22,AK22,AO22)</f>
        <v/>
      </c>
      <c r="AS22" s="152">
        <f>SUM(F22,J22,N22,R22,V22,Z22,AD22,AH22,AL22,AP22)</f>
        <v/>
      </c>
      <c r="AT22" s="152">
        <f>IF(B22&gt;AS$6,NA(),B22)</f>
        <v/>
      </c>
      <c r="AU22" s="152">
        <f>IF(B22&gt;AS$6,NA(),AS22)</f>
        <v/>
      </c>
      <c r="AV22" s="152" t="n"/>
      <c r="AW22" s="152" t="n">
        <v>11</v>
      </c>
      <c r="AX22" s="152">
        <f>IF(BA21&lt;=0.005,0,BA21*(1+AX$6))</f>
        <v/>
      </c>
      <c r="AY22" s="152">
        <f>MIN(AX22,AX$7)</f>
        <v/>
      </c>
      <c r="AZ22" s="152">
        <f>MAX(0,MIN(AX22-AY22,CL22))</f>
        <v/>
      </c>
      <c r="BA22" s="152">
        <f>AX22-AY22-AZ22</f>
        <v/>
      </c>
      <c r="BB22" s="152">
        <f>IF(BE21&lt;=0.005,0,BE21*(1+BB$6))</f>
        <v/>
      </c>
      <c r="BC22" s="152">
        <f>MIN(BB22,BB$7)</f>
        <v/>
      </c>
      <c r="BD22" s="152">
        <f>MAX(0,MIN(BB22-BC22,CL22-(AZ22)))</f>
        <v/>
      </c>
      <c r="BE22" s="152">
        <f>BB22-BC22-BD22</f>
        <v/>
      </c>
      <c r="BF22" s="152">
        <f>IF(BI21&lt;=0.005,0,BI21*(1+BF$6))</f>
        <v/>
      </c>
      <c r="BG22" s="152">
        <f>MIN(BF22,BF$7)</f>
        <v/>
      </c>
      <c r="BH22" s="152">
        <f>MAX(0,MIN(BF22-BG22,CL22-(AZ22+BD22)))</f>
        <v/>
      </c>
      <c r="BI22" s="152">
        <f>BF22-BG22-BH22</f>
        <v/>
      </c>
      <c r="BJ22" s="152">
        <f>IF(BM21&lt;=0.005,0,BM21*(1+BJ$6))</f>
        <v/>
      </c>
      <c r="BK22" s="152">
        <f>MIN(BJ22,BJ$7)</f>
        <v/>
      </c>
      <c r="BL22" s="152">
        <f>MAX(0,MIN(BJ22-BK22,CL22-(AZ22+BD22+BH22)))</f>
        <v/>
      </c>
      <c r="BM22" s="152">
        <f>BJ22-BK22-BL22</f>
        <v/>
      </c>
      <c r="BN22" s="152">
        <f>IF(BQ21&lt;=0.005,0,BQ21*(1+BN$6))</f>
        <v/>
      </c>
      <c r="BO22" s="152">
        <f>MIN(BN22,BN$7)</f>
        <v/>
      </c>
      <c r="BP22" s="152">
        <f>MAX(0,MIN(BN22-BO22,CL22-(AZ22+BD22+BH22+BL22)))</f>
        <v/>
      </c>
      <c r="BQ22" s="152">
        <f>BN22-BO22-BP22</f>
        <v/>
      </c>
      <c r="BR22" s="152">
        <f>IF(BU21&lt;=0.005,0,BU21*(1+BR$6))</f>
        <v/>
      </c>
      <c r="BS22" s="152">
        <f>MIN(BR22,BR$7)</f>
        <v/>
      </c>
      <c r="BT22" s="152">
        <f>MAX(0,MIN(BR22-BS22,CL22-(AZ22+BD22+BH22+BL22+BP22)))</f>
        <v/>
      </c>
      <c r="BU22" s="152">
        <f>BR22-BS22-BT22</f>
        <v/>
      </c>
      <c r="BV22" s="152">
        <f>IF(BY21&lt;=0.005,0,BY21*(1+BV$6))</f>
        <v/>
      </c>
      <c r="BW22" s="152">
        <f>MIN(BV22,BV$7)</f>
        <v/>
      </c>
      <c r="BX22" s="152">
        <f>MAX(0,MIN(BV22-BW22,CL22-(AZ22+BD22+BH22+BL22+BP22+BT22)))</f>
        <v/>
      </c>
      <c r="BY22" s="152">
        <f>BV22-BW22-BX22</f>
        <v/>
      </c>
      <c r="BZ22" s="152">
        <f>IF(CC21&lt;=0.005,0,CC21*(1+BZ$6))</f>
        <v/>
      </c>
      <c r="CA22" s="152">
        <f>MIN(BZ22,BZ$7)</f>
        <v/>
      </c>
      <c r="CB22" s="152">
        <f>MAX(0,MIN(BZ22-CA22,CL22-(AZ22+BD22+BH22+BL22+BP22+BT22+BX22)))</f>
        <v/>
      </c>
      <c r="CC22" s="152">
        <f>BZ22-CA22-CB22</f>
        <v/>
      </c>
      <c r="CD22" s="152">
        <f>IF(CG21&lt;=0.005,0,CG21*(1+CD$6))</f>
        <v/>
      </c>
      <c r="CE22" s="152">
        <f>MIN(CD22,CD$7)</f>
        <v/>
      </c>
      <c r="CF22" s="152">
        <f>MAX(0,MIN(CD22-CE22,CL22-(AZ22+BD22+BH22+BL22+BP22+BT22+BX22+CB22)))</f>
        <v/>
      </c>
      <c r="CG22" s="152">
        <f>CD22-CE22-CF22</f>
        <v/>
      </c>
      <c r="CH22" s="152">
        <f>IF(CK21&lt;=0.005,0,CK21*(1+CH$6))</f>
        <v/>
      </c>
      <c r="CI22" s="152">
        <f>MIN(CH22,CH$7)</f>
        <v/>
      </c>
      <c r="CJ22" s="152">
        <f>MAX(0,MIN(CH22-CI22,CL22-(AZ22+BD22+BH22+BL22+BP22+BT22+BX22+CB22+CF22)))</f>
        <v/>
      </c>
      <c r="CK22" s="152">
        <f>CH22-CI22-CJ22</f>
        <v/>
      </c>
      <c r="CL22" s="152">
        <f>'Debt Payoff'!$C$8-SUM(AY22,BC22,BG22,BK22,BO22,BS22,BW22,CA22,CE22,CI22)</f>
        <v/>
      </c>
      <c r="CM22" s="152">
        <f>SUM(AY22,BC22,BG22,BK22,BO22,BS22,BW22,CA22,CE22,CI22)+SUM(AZ22,BD22,BH22,BL22,BP22,BT22,BX22,CB22,CF22,CJ22)</f>
        <v/>
      </c>
      <c r="CN22" s="152">
        <f>SUM(BA22,BE22,BI22,BM22,BQ22,BU22,BY22,CC22,CG22,CK22)</f>
        <v/>
      </c>
      <c r="CO22" s="152">
        <f>IF(AW22&gt;CN$6,NA(),AW22)</f>
        <v/>
      </c>
      <c r="CP22" s="152">
        <f>IF(AW22&gt;CN$6,NA(),CN22)</f>
        <v/>
      </c>
    </row>
    <row r="23">
      <c r="B23" s="152" t="n">
        <v>12</v>
      </c>
      <c r="C23" s="152">
        <f>IF(F22&lt;=0.005,0,F22*(1+C$6))</f>
        <v/>
      </c>
      <c r="D23" s="152">
        <f>MIN(C23,C$7)</f>
        <v/>
      </c>
      <c r="E23" s="152">
        <f>MAX(0,MIN(C23-D23,AQ23))</f>
        <v/>
      </c>
      <c r="F23" s="152">
        <f>C23-D23-E23</f>
        <v/>
      </c>
      <c r="G23" s="152">
        <f>IF(J22&lt;=0.005,0,J22*(1+G$6))</f>
        <v/>
      </c>
      <c r="H23" s="152">
        <f>MIN(G23,G$7)</f>
        <v/>
      </c>
      <c r="I23" s="152">
        <f>MAX(0,MIN(G23-H23,AQ23-(E23)))</f>
        <v/>
      </c>
      <c r="J23" s="152">
        <f>G23-H23-I23</f>
        <v/>
      </c>
      <c r="K23" s="152">
        <f>IF(N22&lt;=0.005,0,N22*(1+K$6))</f>
        <v/>
      </c>
      <c r="L23" s="152">
        <f>MIN(K23,K$7)</f>
        <v/>
      </c>
      <c r="M23" s="152">
        <f>MAX(0,MIN(K23-L23,AQ23-(E23+I23)))</f>
        <v/>
      </c>
      <c r="N23" s="152">
        <f>K23-L23-M23</f>
        <v/>
      </c>
      <c r="O23" s="152">
        <f>IF(R22&lt;=0.005,0,R22*(1+O$6))</f>
        <v/>
      </c>
      <c r="P23" s="152">
        <f>MIN(O23,O$7)</f>
        <v/>
      </c>
      <c r="Q23" s="152">
        <f>MAX(0,MIN(O23-P23,AQ23-(E23+I23+M23)))</f>
        <v/>
      </c>
      <c r="R23" s="152">
        <f>O23-P23-Q23</f>
        <v/>
      </c>
      <c r="S23" s="152">
        <f>IF(V22&lt;=0.005,0,V22*(1+S$6))</f>
        <v/>
      </c>
      <c r="T23" s="152">
        <f>MIN(S23,S$7)</f>
        <v/>
      </c>
      <c r="U23" s="152">
        <f>MAX(0,MIN(S23-T23,AQ23-(E23+I23+M23+Q23)))</f>
        <v/>
      </c>
      <c r="V23" s="152">
        <f>S23-T23-U23</f>
        <v/>
      </c>
      <c r="W23" s="152">
        <f>IF(Z22&lt;=0.005,0,Z22*(1+W$6))</f>
        <v/>
      </c>
      <c r="X23" s="152">
        <f>MIN(W23,W$7)</f>
        <v/>
      </c>
      <c r="Y23" s="152">
        <f>MAX(0,MIN(W23-X23,AQ23-(E23+I23+M23+Q23+U23)))</f>
        <v/>
      </c>
      <c r="Z23" s="152">
        <f>W23-X23-Y23</f>
        <v/>
      </c>
      <c r="AA23" s="152">
        <f>IF(AD22&lt;=0.005,0,AD22*(1+AA$6))</f>
        <v/>
      </c>
      <c r="AB23" s="152">
        <f>MIN(AA23,AA$7)</f>
        <v/>
      </c>
      <c r="AC23" s="152">
        <f>MAX(0,MIN(AA23-AB23,AQ23-(E23+I23+M23+Q23+U23+Y23)))</f>
        <v/>
      </c>
      <c r="AD23" s="152">
        <f>AA23-AB23-AC23</f>
        <v/>
      </c>
      <c r="AE23" s="152">
        <f>IF(AH22&lt;=0.005,0,AH22*(1+AE$6))</f>
        <v/>
      </c>
      <c r="AF23" s="152">
        <f>MIN(AE23,AE$7)</f>
        <v/>
      </c>
      <c r="AG23" s="152">
        <f>MAX(0,MIN(AE23-AF23,AQ23-(E23+I23+M23+Q23+U23+Y23+AC23)))</f>
        <v/>
      </c>
      <c r="AH23" s="152">
        <f>AE23-AF23-AG23</f>
        <v/>
      </c>
      <c r="AI23" s="152">
        <f>IF(AL22&lt;=0.005,0,AL22*(1+AI$6))</f>
        <v/>
      </c>
      <c r="AJ23" s="152">
        <f>MIN(AI23,AI$7)</f>
        <v/>
      </c>
      <c r="AK23" s="152">
        <f>MAX(0,MIN(AI23-AJ23,AQ23-(E23+I23+M23+Q23+U23+Y23+AC23+AG23)))</f>
        <v/>
      </c>
      <c r="AL23" s="152">
        <f>AI23-AJ23-AK23</f>
        <v/>
      </c>
      <c r="AM23" s="152">
        <f>IF(AP22&lt;=0.005,0,AP22*(1+AM$6))</f>
        <v/>
      </c>
      <c r="AN23" s="152">
        <f>MIN(AM23,AM$7)</f>
        <v/>
      </c>
      <c r="AO23" s="152">
        <f>MAX(0,MIN(AM23-AN23,AQ23-(E23+I23+M23+Q23+U23+Y23+AC23+AG23+AK23)))</f>
        <v/>
      </c>
      <c r="AP23" s="152">
        <f>AM23-AN23-AO23</f>
        <v/>
      </c>
      <c r="AQ23" s="152">
        <f>'Debt Payoff'!$C$8-SUM(D23,H23,L23,P23,T23,X23,AB23,AF23,AJ23,AN23)</f>
        <v/>
      </c>
      <c r="AR23" s="152">
        <f>SUM(D23,H23,L23,P23,T23,X23,AB23,AF23,AJ23,AN23)+SUM(E23,I23,M23,Q23,U23,Y23,AC23,AG23,AK23,AO23)</f>
        <v/>
      </c>
      <c r="AS23" s="152">
        <f>SUM(F23,J23,N23,R23,V23,Z23,AD23,AH23,AL23,AP23)</f>
        <v/>
      </c>
      <c r="AT23" s="152">
        <f>IF(B23&gt;AS$6,NA(),B23)</f>
        <v/>
      </c>
      <c r="AU23" s="152">
        <f>IF(B23&gt;AS$6,NA(),AS23)</f>
        <v/>
      </c>
      <c r="AV23" s="152" t="n"/>
      <c r="AW23" s="152" t="n">
        <v>12</v>
      </c>
      <c r="AX23" s="152">
        <f>IF(BA22&lt;=0.005,0,BA22*(1+AX$6))</f>
        <v/>
      </c>
      <c r="AY23" s="152">
        <f>MIN(AX23,AX$7)</f>
        <v/>
      </c>
      <c r="AZ23" s="152">
        <f>MAX(0,MIN(AX23-AY23,CL23))</f>
        <v/>
      </c>
      <c r="BA23" s="152">
        <f>AX23-AY23-AZ23</f>
        <v/>
      </c>
      <c r="BB23" s="152">
        <f>IF(BE22&lt;=0.005,0,BE22*(1+BB$6))</f>
        <v/>
      </c>
      <c r="BC23" s="152">
        <f>MIN(BB23,BB$7)</f>
        <v/>
      </c>
      <c r="BD23" s="152">
        <f>MAX(0,MIN(BB23-BC23,CL23-(AZ23)))</f>
        <v/>
      </c>
      <c r="BE23" s="152">
        <f>BB23-BC23-BD23</f>
        <v/>
      </c>
      <c r="BF23" s="152">
        <f>IF(BI22&lt;=0.005,0,BI22*(1+BF$6))</f>
        <v/>
      </c>
      <c r="BG23" s="152">
        <f>MIN(BF23,BF$7)</f>
        <v/>
      </c>
      <c r="BH23" s="152">
        <f>MAX(0,MIN(BF23-BG23,CL23-(AZ23+BD23)))</f>
        <v/>
      </c>
      <c r="BI23" s="152">
        <f>BF23-BG23-BH23</f>
        <v/>
      </c>
      <c r="BJ23" s="152">
        <f>IF(BM22&lt;=0.005,0,BM22*(1+BJ$6))</f>
        <v/>
      </c>
      <c r="BK23" s="152">
        <f>MIN(BJ23,BJ$7)</f>
        <v/>
      </c>
      <c r="BL23" s="152">
        <f>MAX(0,MIN(BJ23-BK23,CL23-(AZ23+BD23+BH23)))</f>
        <v/>
      </c>
      <c r="BM23" s="152">
        <f>BJ23-BK23-BL23</f>
        <v/>
      </c>
      <c r="BN23" s="152">
        <f>IF(BQ22&lt;=0.005,0,BQ22*(1+BN$6))</f>
        <v/>
      </c>
      <c r="BO23" s="152">
        <f>MIN(BN23,BN$7)</f>
        <v/>
      </c>
      <c r="BP23" s="152">
        <f>MAX(0,MIN(BN23-BO23,CL23-(AZ23+BD23+BH23+BL23)))</f>
        <v/>
      </c>
      <c r="BQ23" s="152">
        <f>BN23-BO23-BP23</f>
        <v/>
      </c>
      <c r="BR23" s="152">
        <f>IF(BU22&lt;=0.005,0,BU22*(1+BR$6))</f>
        <v/>
      </c>
      <c r="BS23" s="152">
        <f>MIN(BR23,BR$7)</f>
        <v/>
      </c>
      <c r="BT23" s="152">
        <f>MAX(0,MIN(BR23-BS23,CL23-(AZ23+BD23+BH23+BL23+BP23)))</f>
        <v/>
      </c>
      <c r="BU23" s="152">
        <f>BR23-BS23-BT23</f>
        <v/>
      </c>
      <c r="BV23" s="152">
        <f>IF(BY22&lt;=0.005,0,BY22*(1+BV$6))</f>
        <v/>
      </c>
      <c r="BW23" s="152">
        <f>MIN(BV23,BV$7)</f>
        <v/>
      </c>
      <c r="BX23" s="152">
        <f>MAX(0,MIN(BV23-BW23,CL23-(AZ23+BD23+BH23+BL23+BP23+BT23)))</f>
        <v/>
      </c>
      <c r="BY23" s="152">
        <f>BV23-BW23-BX23</f>
        <v/>
      </c>
      <c r="BZ23" s="152">
        <f>IF(CC22&lt;=0.005,0,CC22*(1+BZ$6))</f>
        <v/>
      </c>
      <c r="CA23" s="152">
        <f>MIN(BZ23,BZ$7)</f>
        <v/>
      </c>
      <c r="CB23" s="152">
        <f>MAX(0,MIN(BZ23-CA23,CL23-(AZ23+BD23+BH23+BL23+BP23+BT23+BX23)))</f>
        <v/>
      </c>
      <c r="CC23" s="152">
        <f>BZ23-CA23-CB23</f>
        <v/>
      </c>
      <c r="CD23" s="152">
        <f>IF(CG22&lt;=0.005,0,CG22*(1+CD$6))</f>
        <v/>
      </c>
      <c r="CE23" s="152">
        <f>MIN(CD23,CD$7)</f>
        <v/>
      </c>
      <c r="CF23" s="152">
        <f>MAX(0,MIN(CD23-CE23,CL23-(AZ23+BD23+BH23+BL23+BP23+BT23+BX23+CB23)))</f>
        <v/>
      </c>
      <c r="CG23" s="152">
        <f>CD23-CE23-CF23</f>
        <v/>
      </c>
      <c r="CH23" s="152">
        <f>IF(CK22&lt;=0.005,0,CK22*(1+CH$6))</f>
        <v/>
      </c>
      <c r="CI23" s="152">
        <f>MIN(CH23,CH$7)</f>
        <v/>
      </c>
      <c r="CJ23" s="152">
        <f>MAX(0,MIN(CH23-CI23,CL23-(AZ23+BD23+BH23+BL23+BP23+BT23+BX23+CB23+CF23)))</f>
        <v/>
      </c>
      <c r="CK23" s="152">
        <f>CH23-CI23-CJ23</f>
        <v/>
      </c>
      <c r="CL23" s="152">
        <f>'Debt Payoff'!$C$8-SUM(AY23,BC23,BG23,BK23,BO23,BS23,BW23,CA23,CE23,CI23)</f>
        <v/>
      </c>
      <c r="CM23" s="152">
        <f>SUM(AY23,BC23,BG23,BK23,BO23,BS23,BW23,CA23,CE23,CI23)+SUM(AZ23,BD23,BH23,BL23,BP23,BT23,BX23,CB23,CF23,CJ23)</f>
        <v/>
      </c>
      <c r="CN23" s="152">
        <f>SUM(BA23,BE23,BI23,BM23,BQ23,BU23,BY23,CC23,CG23,CK23)</f>
        <v/>
      </c>
      <c r="CO23" s="152">
        <f>IF(AW23&gt;CN$6,NA(),AW23)</f>
        <v/>
      </c>
      <c r="CP23" s="152">
        <f>IF(AW23&gt;CN$6,NA(),CN23)</f>
        <v/>
      </c>
    </row>
    <row r="24">
      <c r="B24" s="152" t="n">
        <v>13</v>
      </c>
      <c r="C24" s="152">
        <f>IF(F23&lt;=0.005,0,F23*(1+C$6))</f>
        <v/>
      </c>
      <c r="D24" s="152">
        <f>MIN(C24,C$7)</f>
        <v/>
      </c>
      <c r="E24" s="152">
        <f>MAX(0,MIN(C24-D24,AQ24))</f>
        <v/>
      </c>
      <c r="F24" s="152">
        <f>C24-D24-E24</f>
        <v/>
      </c>
      <c r="G24" s="152">
        <f>IF(J23&lt;=0.005,0,J23*(1+G$6))</f>
        <v/>
      </c>
      <c r="H24" s="152">
        <f>MIN(G24,G$7)</f>
        <v/>
      </c>
      <c r="I24" s="152">
        <f>MAX(0,MIN(G24-H24,AQ24-(E24)))</f>
        <v/>
      </c>
      <c r="J24" s="152">
        <f>G24-H24-I24</f>
        <v/>
      </c>
      <c r="K24" s="152">
        <f>IF(N23&lt;=0.005,0,N23*(1+K$6))</f>
        <v/>
      </c>
      <c r="L24" s="152">
        <f>MIN(K24,K$7)</f>
        <v/>
      </c>
      <c r="M24" s="152">
        <f>MAX(0,MIN(K24-L24,AQ24-(E24+I24)))</f>
        <v/>
      </c>
      <c r="N24" s="152">
        <f>K24-L24-M24</f>
        <v/>
      </c>
      <c r="O24" s="152">
        <f>IF(R23&lt;=0.005,0,R23*(1+O$6))</f>
        <v/>
      </c>
      <c r="P24" s="152">
        <f>MIN(O24,O$7)</f>
        <v/>
      </c>
      <c r="Q24" s="152">
        <f>MAX(0,MIN(O24-P24,AQ24-(E24+I24+M24)))</f>
        <v/>
      </c>
      <c r="R24" s="152">
        <f>O24-P24-Q24</f>
        <v/>
      </c>
      <c r="S24" s="152">
        <f>IF(V23&lt;=0.005,0,V23*(1+S$6))</f>
        <v/>
      </c>
      <c r="T24" s="152">
        <f>MIN(S24,S$7)</f>
        <v/>
      </c>
      <c r="U24" s="152">
        <f>MAX(0,MIN(S24-T24,AQ24-(E24+I24+M24+Q24)))</f>
        <v/>
      </c>
      <c r="V24" s="152">
        <f>S24-T24-U24</f>
        <v/>
      </c>
      <c r="W24" s="152">
        <f>IF(Z23&lt;=0.005,0,Z23*(1+W$6))</f>
        <v/>
      </c>
      <c r="X24" s="152">
        <f>MIN(W24,W$7)</f>
        <v/>
      </c>
      <c r="Y24" s="152">
        <f>MAX(0,MIN(W24-X24,AQ24-(E24+I24+M24+Q24+U24)))</f>
        <v/>
      </c>
      <c r="Z24" s="152">
        <f>W24-X24-Y24</f>
        <v/>
      </c>
      <c r="AA24" s="152">
        <f>IF(AD23&lt;=0.005,0,AD23*(1+AA$6))</f>
        <v/>
      </c>
      <c r="AB24" s="152">
        <f>MIN(AA24,AA$7)</f>
        <v/>
      </c>
      <c r="AC24" s="152">
        <f>MAX(0,MIN(AA24-AB24,AQ24-(E24+I24+M24+Q24+U24+Y24)))</f>
        <v/>
      </c>
      <c r="AD24" s="152">
        <f>AA24-AB24-AC24</f>
        <v/>
      </c>
      <c r="AE24" s="152">
        <f>IF(AH23&lt;=0.005,0,AH23*(1+AE$6))</f>
        <v/>
      </c>
      <c r="AF24" s="152">
        <f>MIN(AE24,AE$7)</f>
        <v/>
      </c>
      <c r="AG24" s="152">
        <f>MAX(0,MIN(AE24-AF24,AQ24-(E24+I24+M24+Q24+U24+Y24+AC24)))</f>
        <v/>
      </c>
      <c r="AH24" s="152">
        <f>AE24-AF24-AG24</f>
        <v/>
      </c>
      <c r="AI24" s="152">
        <f>IF(AL23&lt;=0.005,0,AL23*(1+AI$6))</f>
        <v/>
      </c>
      <c r="AJ24" s="152">
        <f>MIN(AI24,AI$7)</f>
        <v/>
      </c>
      <c r="AK24" s="152">
        <f>MAX(0,MIN(AI24-AJ24,AQ24-(E24+I24+M24+Q24+U24+Y24+AC24+AG24)))</f>
        <v/>
      </c>
      <c r="AL24" s="152">
        <f>AI24-AJ24-AK24</f>
        <v/>
      </c>
      <c r="AM24" s="152">
        <f>IF(AP23&lt;=0.005,0,AP23*(1+AM$6))</f>
        <v/>
      </c>
      <c r="AN24" s="152">
        <f>MIN(AM24,AM$7)</f>
        <v/>
      </c>
      <c r="AO24" s="152">
        <f>MAX(0,MIN(AM24-AN24,AQ24-(E24+I24+M24+Q24+U24+Y24+AC24+AG24+AK24)))</f>
        <v/>
      </c>
      <c r="AP24" s="152">
        <f>AM24-AN24-AO24</f>
        <v/>
      </c>
      <c r="AQ24" s="152">
        <f>'Debt Payoff'!$C$8-SUM(D24,H24,L24,P24,T24,X24,AB24,AF24,AJ24,AN24)</f>
        <v/>
      </c>
      <c r="AR24" s="152">
        <f>SUM(D24,H24,L24,P24,T24,X24,AB24,AF24,AJ24,AN24)+SUM(E24,I24,M24,Q24,U24,Y24,AC24,AG24,AK24,AO24)</f>
        <v/>
      </c>
      <c r="AS24" s="152">
        <f>SUM(F24,J24,N24,R24,V24,Z24,AD24,AH24,AL24,AP24)</f>
        <v/>
      </c>
      <c r="AT24" s="152">
        <f>IF(B24&gt;AS$6,NA(),B24)</f>
        <v/>
      </c>
      <c r="AU24" s="152">
        <f>IF(B24&gt;AS$6,NA(),AS24)</f>
        <v/>
      </c>
      <c r="AV24" s="152" t="n"/>
      <c r="AW24" s="152" t="n">
        <v>13</v>
      </c>
      <c r="AX24" s="152">
        <f>IF(BA23&lt;=0.005,0,BA23*(1+AX$6))</f>
        <v/>
      </c>
      <c r="AY24" s="152">
        <f>MIN(AX24,AX$7)</f>
        <v/>
      </c>
      <c r="AZ24" s="152">
        <f>MAX(0,MIN(AX24-AY24,CL24))</f>
        <v/>
      </c>
      <c r="BA24" s="152">
        <f>AX24-AY24-AZ24</f>
        <v/>
      </c>
      <c r="BB24" s="152">
        <f>IF(BE23&lt;=0.005,0,BE23*(1+BB$6))</f>
        <v/>
      </c>
      <c r="BC24" s="152">
        <f>MIN(BB24,BB$7)</f>
        <v/>
      </c>
      <c r="BD24" s="152">
        <f>MAX(0,MIN(BB24-BC24,CL24-(AZ24)))</f>
        <v/>
      </c>
      <c r="BE24" s="152">
        <f>BB24-BC24-BD24</f>
        <v/>
      </c>
      <c r="BF24" s="152">
        <f>IF(BI23&lt;=0.005,0,BI23*(1+BF$6))</f>
        <v/>
      </c>
      <c r="BG24" s="152">
        <f>MIN(BF24,BF$7)</f>
        <v/>
      </c>
      <c r="BH24" s="152">
        <f>MAX(0,MIN(BF24-BG24,CL24-(AZ24+BD24)))</f>
        <v/>
      </c>
      <c r="BI24" s="152">
        <f>BF24-BG24-BH24</f>
        <v/>
      </c>
      <c r="BJ24" s="152">
        <f>IF(BM23&lt;=0.005,0,BM23*(1+BJ$6))</f>
        <v/>
      </c>
      <c r="BK24" s="152">
        <f>MIN(BJ24,BJ$7)</f>
        <v/>
      </c>
      <c r="BL24" s="152">
        <f>MAX(0,MIN(BJ24-BK24,CL24-(AZ24+BD24+BH24)))</f>
        <v/>
      </c>
      <c r="BM24" s="152">
        <f>BJ24-BK24-BL24</f>
        <v/>
      </c>
      <c r="BN24" s="152">
        <f>IF(BQ23&lt;=0.005,0,BQ23*(1+BN$6))</f>
        <v/>
      </c>
      <c r="BO24" s="152">
        <f>MIN(BN24,BN$7)</f>
        <v/>
      </c>
      <c r="BP24" s="152">
        <f>MAX(0,MIN(BN24-BO24,CL24-(AZ24+BD24+BH24+BL24)))</f>
        <v/>
      </c>
      <c r="BQ24" s="152">
        <f>BN24-BO24-BP24</f>
        <v/>
      </c>
      <c r="BR24" s="152">
        <f>IF(BU23&lt;=0.005,0,BU23*(1+BR$6))</f>
        <v/>
      </c>
      <c r="BS24" s="152">
        <f>MIN(BR24,BR$7)</f>
        <v/>
      </c>
      <c r="BT24" s="152">
        <f>MAX(0,MIN(BR24-BS24,CL24-(AZ24+BD24+BH24+BL24+BP24)))</f>
        <v/>
      </c>
      <c r="BU24" s="152">
        <f>BR24-BS24-BT24</f>
        <v/>
      </c>
      <c r="BV24" s="152">
        <f>IF(BY23&lt;=0.005,0,BY23*(1+BV$6))</f>
        <v/>
      </c>
      <c r="BW24" s="152">
        <f>MIN(BV24,BV$7)</f>
        <v/>
      </c>
      <c r="BX24" s="152">
        <f>MAX(0,MIN(BV24-BW24,CL24-(AZ24+BD24+BH24+BL24+BP24+BT24)))</f>
        <v/>
      </c>
      <c r="BY24" s="152">
        <f>BV24-BW24-BX24</f>
        <v/>
      </c>
      <c r="BZ24" s="152">
        <f>IF(CC23&lt;=0.005,0,CC23*(1+BZ$6))</f>
        <v/>
      </c>
      <c r="CA24" s="152">
        <f>MIN(BZ24,BZ$7)</f>
        <v/>
      </c>
      <c r="CB24" s="152">
        <f>MAX(0,MIN(BZ24-CA24,CL24-(AZ24+BD24+BH24+BL24+BP24+BT24+BX24)))</f>
        <v/>
      </c>
      <c r="CC24" s="152">
        <f>BZ24-CA24-CB24</f>
        <v/>
      </c>
      <c r="CD24" s="152">
        <f>IF(CG23&lt;=0.005,0,CG23*(1+CD$6))</f>
        <v/>
      </c>
      <c r="CE24" s="152">
        <f>MIN(CD24,CD$7)</f>
        <v/>
      </c>
      <c r="CF24" s="152">
        <f>MAX(0,MIN(CD24-CE24,CL24-(AZ24+BD24+BH24+BL24+BP24+BT24+BX24+CB24)))</f>
        <v/>
      </c>
      <c r="CG24" s="152">
        <f>CD24-CE24-CF24</f>
        <v/>
      </c>
      <c r="CH24" s="152">
        <f>IF(CK23&lt;=0.005,0,CK23*(1+CH$6))</f>
        <v/>
      </c>
      <c r="CI24" s="152">
        <f>MIN(CH24,CH$7)</f>
        <v/>
      </c>
      <c r="CJ24" s="152">
        <f>MAX(0,MIN(CH24-CI24,CL24-(AZ24+BD24+BH24+BL24+BP24+BT24+BX24+CB24+CF24)))</f>
        <v/>
      </c>
      <c r="CK24" s="152">
        <f>CH24-CI24-CJ24</f>
        <v/>
      </c>
      <c r="CL24" s="152">
        <f>'Debt Payoff'!$C$8-SUM(AY24,BC24,BG24,BK24,BO24,BS24,BW24,CA24,CE24,CI24)</f>
        <v/>
      </c>
      <c r="CM24" s="152">
        <f>SUM(AY24,BC24,BG24,BK24,BO24,BS24,BW24,CA24,CE24,CI24)+SUM(AZ24,BD24,BH24,BL24,BP24,BT24,BX24,CB24,CF24,CJ24)</f>
        <v/>
      </c>
      <c r="CN24" s="152">
        <f>SUM(BA24,BE24,BI24,BM24,BQ24,BU24,BY24,CC24,CG24,CK24)</f>
        <v/>
      </c>
      <c r="CO24" s="152">
        <f>IF(AW24&gt;CN$6,NA(),AW24)</f>
        <v/>
      </c>
      <c r="CP24" s="152">
        <f>IF(AW24&gt;CN$6,NA(),CN24)</f>
        <v/>
      </c>
    </row>
    <row r="25">
      <c r="B25" s="152" t="n">
        <v>14</v>
      </c>
      <c r="C25" s="152">
        <f>IF(F24&lt;=0.005,0,F24*(1+C$6))</f>
        <v/>
      </c>
      <c r="D25" s="152">
        <f>MIN(C25,C$7)</f>
        <v/>
      </c>
      <c r="E25" s="152">
        <f>MAX(0,MIN(C25-D25,AQ25))</f>
        <v/>
      </c>
      <c r="F25" s="152">
        <f>C25-D25-E25</f>
        <v/>
      </c>
      <c r="G25" s="152">
        <f>IF(J24&lt;=0.005,0,J24*(1+G$6))</f>
        <v/>
      </c>
      <c r="H25" s="152">
        <f>MIN(G25,G$7)</f>
        <v/>
      </c>
      <c r="I25" s="152">
        <f>MAX(0,MIN(G25-H25,AQ25-(E25)))</f>
        <v/>
      </c>
      <c r="J25" s="152">
        <f>G25-H25-I25</f>
        <v/>
      </c>
      <c r="K25" s="152">
        <f>IF(N24&lt;=0.005,0,N24*(1+K$6))</f>
        <v/>
      </c>
      <c r="L25" s="152">
        <f>MIN(K25,K$7)</f>
        <v/>
      </c>
      <c r="M25" s="152">
        <f>MAX(0,MIN(K25-L25,AQ25-(E25+I25)))</f>
        <v/>
      </c>
      <c r="N25" s="152">
        <f>K25-L25-M25</f>
        <v/>
      </c>
      <c r="O25" s="152">
        <f>IF(R24&lt;=0.005,0,R24*(1+O$6))</f>
        <v/>
      </c>
      <c r="P25" s="152">
        <f>MIN(O25,O$7)</f>
        <v/>
      </c>
      <c r="Q25" s="152">
        <f>MAX(0,MIN(O25-P25,AQ25-(E25+I25+M25)))</f>
        <v/>
      </c>
      <c r="R25" s="152">
        <f>O25-P25-Q25</f>
        <v/>
      </c>
      <c r="S25" s="152">
        <f>IF(V24&lt;=0.005,0,V24*(1+S$6))</f>
        <v/>
      </c>
      <c r="T25" s="152">
        <f>MIN(S25,S$7)</f>
        <v/>
      </c>
      <c r="U25" s="152">
        <f>MAX(0,MIN(S25-T25,AQ25-(E25+I25+M25+Q25)))</f>
        <v/>
      </c>
      <c r="V25" s="152">
        <f>S25-T25-U25</f>
        <v/>
      </c>
      <c r="W25" s="152">
        <f>IF(Z24&lt;=0.005,0,Z24*(1+W$6))</f>
        <v/>
      </c>
      <c r="X25" s="152">
        <f>MIN(W25,W$7)</f>
        <v/>
      </c>
      <c r="Y25" s="152">
        <f>MAX(0,MIN(W25-X25,AQ25-(E25+I25+M25+Q25+U25)))</f>
        <v/>
      </c>
      <c r="Z25" s="152">
        <f>W25-X25-Y25</f>
        <v/>
      </c>
      <c r="AA25" s="152">
        <f>IF(AD24&lt;=0.005,0,AD24*(1+AA$6))</f>
        <v/>
      </c>
      <c r="AB25" s="152">
        <f>MIN(AA25,AA$7)</f>
        <v/>
      </c>
      <c r="AC25" s="152">
        <f>MAX(0,MIN(AA25-AB25,AQ25-(E25+I25+M25+Q25+U25+Y25)))</f>
        <v/>
      </c>
      <c r="AD25" s="152">
        <f>AA25-AB25-AC25</f>
        <v/>
      </c>
      <c r="AE25" s="152">
        <f>IF(AH24&lt;=0.005,0,AH24*(1+AE$6))</f>
        <v/>
      </c>
      <c r="AF25" s="152">
        <f>MIN(AE25,AE$7)</f>
        <v/>
      </c>
      <c r="AG25" s="152">
        <f>MAX(0,MIN(AE25-AF25,AQ25-(E25+I25+M25+Q25+U25+Y25+AC25)))</f>
        <v/>
      </c>
      <c r="AH25" s="152">
        <f>AE25-AF25-AG25</f>
        <v/>
      </c>
      <c r="AI25" s="152">
        <f>IF(AL24&lt;=0.005,0,AL24*(1+AI$6))</f>
        <v/>
      </c>
      <c r="AJ25" s="152">
        <f>MIN(AI25,AI$7)</f>
        <v/>
      </c>
      <c r="AK25" s="152">
        <f>MAX(0,MIN(AI25-AJ25,AQ25-(E25+I25+M25+Q25+U25+Y25+AC25+AG25)))</f>
        <v/>
      </c>
      <c r="AL25" s="152">
        <f>AI25-AJ25-AK25</f>
        <v/>
      </c>
      <c r="AM25" s="152">
        <f>IF(AP24&lt;=0.005,0,AP24*(1+AM$6))</f>
        <v/>
      </c>
      <c r="AN25" s="152">
        <f>MIN(AM25,AM$7)</f>
        <v/>
      </c>
      <c r="AO25" s="152">
        <f>MAX(0,MIN(AM25-AN25,AQ25-(E25+I25+M25+Q25+U25+Y25+AC25+AG25+AK25)))</f>
        <v/>
      </c>
      <c r="AP25" s="152">
        <f>AM25-AN25-AO25</f>
        <v/>
      </c>
      <c r="AQ25" s="152">
        <f>'Debt Payoff'!$C$8-SUM(D25,H25,L25,P25,T25,X25,AB25,AF25,AJ25,AN25)</f>
        <v/>
      </c>
      <c r="AR25" s="152">
        <f>SUM(D25,H25,L25,P25,T25,X25,AB25,AF25,AJ25,AN25)+SUM(E25,I25,M25,Q25,U25,Y25,AC25,AG25,AK25,AO25)</f>
        <v/>
      </c>
      <c r="AS25" s="152">
        <f>SUM(F25,J25,N25,R25,V25,Z25,AD25,AH25,AL25,AP25)</f>
        <v/>
      </c>
      <c r="AT25" s="152">
        <f>IF(B25&gt;AS$6,NA(),B25)</f>
        <v/>
      </c>
      <c r="AU25" s="152">
        <f>IF(B25&gt;AS$6,NA(),AS25)</f>
        <v/>
      </c>
      <c r="AV25" s="152" t="n"/>
      <c r="AW25" s="152" t="n">
        <v>14</v>
      </c>
      <c r="AX25" s="152">
        <f>IF(BA24&lt;=0.005,0,BA24*(1+AX$6))</f>
        <v/>
      </c>
      <c r="AY25" s="152">
        <f>MIN(AX25,AX$7)</f>
        <v/>
      </c>
      <c r="AZ25" s="152">
        <f>MAX(0,MIN(AX25-AY25,CL25))</f>
        <v/>
      </c>
      <c r="BA25" s="152">
        <f>AX25-AY25-AZ25</f>
        <v/>
      </c>
      <c r="BB25" s="152">
        <f>IF(BE24&lt;=0.005,0,BE24*(1+BB$6))</f>
        <v/>
      </c>
      <c r="BC25" s="152">
        <f>MIN(BB25,BB$7)</f>
        <v/>
      </c>
      <c r="BD25" s="152">
        <f>MAX(0,MIN(BB25-BC25,CL25-(AZ25)))</f>
        <v/>
      </c>
      <c r="BE25" s="152">
        <f>BB25-BC25-BD25</f>
        <v/>
      </c>
      <c r="BF25" s="152">
        <f>IF(BI24&lt;=0.005,0,BI24*(1+BF$6))</f>
        <v/>
      </c>
      <c r="BG25" s="152">
        <f>MIN(BF25,BF$7)</f>
        <v/>
      </c>
      <c r="BH25" s="152">
        <f>MAX(0,MIN(BF25-BG25,CL25-(AZ25+BD25)))</f>
        <v/>
      </c>
      <c r="BI25" s="152">
        <f>BF25-BG25-BH25</f>
        <v/>
      </c>
      <c r="BJ25" s="152">
        <f>IF(BM24&lt;=0.005,0,BM24*(1+BJ$6))</f>
        <v/>
      </c>
      <c r="BK25" s="152">
        <f>MIN(BJ25,BJ$7)</f>
        <v/>
      </c>
      <c r="BL25" s="152">
        <f>MAX(0,MIN(BJ25-BK25,CL25-(AZ25+BD25+BH25)))</f>
        <v/>
      </c>
      <c r="BM25" s="152">
        <f>BJ25-BK25-BL25</f>
        <v/>
      </c>
      <c r="BN25" s="152">
        <f>IF(BQ24&lt;=0.005,0,BQ24*(1+BN$6))</f>
        <v/>
      </c>
      <c r="BO25" s="152">
        <f>MIN(BN25,BN$7)</f>
        <v/>
      </c>
      <c r="BP25" s="152">
        <f>MAX(0,MIN(BN25-BO25,CL25-(AZ25+BD25+BH25+BL25)))</f>
        <v/>
      </c>
      <c r="BQ25" s="152">
        <f>BN25-BO25-BP25</f>
        <v/>
      </c>
      <c r="BR25" s="152">
        <f>IF(BU24&lt;=0.005,0,BU24*(1+BR$6))</f>
        <v/>
      </c>
      <c r="BS25" s="152">
        <f>MIN(BR25,BR$7)</f>
        <v/>
      </c>
      <c r="BT25" s="152">
        <f>MAX(0,MIN(BR25-BS25,CL25-(AZ25+BD25+BH25+BL25+BP25)))</f>
        <v/>
      </c>
      <c r="BU25" s="152">
        <f>BR25-BS25-BT25</f>
        <v/>
      </c>
      <c r="BV25" s="152">
        <f>IF(BY24&lt;=0.005,0,BY24*(1+BV$6))</f>
        <v/>
      </c>
      <c r="BW25" s="152">
        <f>MIN(BV25,BV$7)</f>
        <v/>
      </c>
      <c r="BX25" s="152">
        <f>MAX(0,MIN(BV25-BW25,CL25-(AZ25+BD25+BH25+BL25+BP25+BT25)))</f>
        <v/>
      </c>
      <c r="BY25" s="152">
        <f>BV25-BW25-BX25</f>
        <v/>
      </c>
      <c r="BZ25" s="152">
        <f>IF(CC24&lt;=0.005,0,CC24*(1+BZ$6))</f>
        <v/>
      </c>
      <c r="CA25" s="152">
        <f>MIN(BZ25,BZ$7)</f>
        <v/>
      </c>
      <c r="CB25" s="152">
        <f>MAX(0,MIN(BZ25-CA25,CL25-(AZ25+BD25+BH25+BL25+BP25+BT25+BX25)))</f>
        <v/>
      </c>
      <c r="CC25" s="152">
        <f>BZ25-CA25-CB25</f>
        <v/>
      </c>
      <c r="CD25" s="152">
        <f>IF(CG24&lt;=0.005,0,CG24*(1+CD$6))</f>
        <v/>
      </c>
      <c r="CE25" s="152">
        <f>MIN(CD25,CD$7)</f>
        <v/>
      </c>
      <c r="CF25" s="152">
        <f>MAX(0,MIN(CD25-CE25,CL25-(AZ25+BD25+BH25+BL25+BP25+BT25+BX25+CB25)))</f>
        <v/>
      </c>
      <c r="CG25" s="152">
        <f>CD25-CE25-CF25</f>
        <v/>
      </c>
      <c r="CH25" s="152">
        <f>IF(CK24&lt;=0.005,0,CK24*(1+CH$6))</f>
        <v/>
      </c>
      <c r="CI25" s="152">
        <f>MIN(CH25,CH$7)</f>
        <v/>
      </c>
      <c r="CJ25" s="152">
        <f>MAX(0,MIN(CH25-CI25,CL25-(AZ25+BD25+BH25+BL25+BP25+BT25+BX25+CB25+CF25)))</f>
        <v/>
      </c>
      <c r="CK25" s="152">
        <f>CH25-CI25-CJ25</f>
        <v/>
      </c>
      <c r="CL25" s="152">
        <f>'Debt Payoff'!$C$8-SUM(AY25,BC25,BG25,BK25,BO25,BS25,BW25,CA25,CE25,CI25)</f>
        <v/>
      </c>
      <c r="CM25" s="152">
        <f>SUM(AY25,BC25,BG25,BK25,BO25,BS25,BW25,CA25,CE25,CI25)+SUM(AZ25,BD25,BH25,BL25,BP25,BT25,BX25,CB25,CF25,CJ25)</f>
        <v/>
      </c>
      <c r="CN25" s="152">
        <f>SUM(BA25,BE25,BI25,BM25,BQ25,BU25,BY25,CC25,CG25,CK25)</f>
        <v/>
      </c>
      <c r="CO25" s="152">
        <f>IF(AW25&gt;CN$6,NA(),AW25)</f>
        <v/>
      </c>
      <c r="CP25" s="152">
        <f>IF(AW25&gt;CN$6,NA(),CN25)</f>
        <v/>
      </c>
    </row>
    <row r="26">
      <c r="B26" s="152" t="n">
        <v>15</v>
      </c>
      <c r="C26" s="152">
        <f>IF(F25&lt;=0.005,0,F25*(1+C$6))</f>
        <v/>
      </c>
      <c r="D26" s="152">
        <f>MIN(C26,C$7)</f>
        <v/>
      </c>
      <c r="E26" s="152">
        <f>MAX(0,MIN(C26-D26,AQ26))</f>
        <v/>
      </c>
      <c r="F26" s="152">
        <f>C26-D26-E26</f>
        <v/>
      </c>
      <c r="G26" s="152">
        <f>IF(J25&lt;=0.005,0,J25*(1+G$6))</f>
        <v/>
      </c>
      <c r="H26" s="152">
        <f>MIN(G26,G$7)</f>
        <v/>
      </c>
      <c r="I26" s="152">
        <f>MAX(0,MIN(G26-H26,AQ26-(E26)))</f>
        <v/>
      </c>
      <c r="J26" s="152">
        <f>G26-H26-I26</f>
        <v/>
      </c>
      <c r="K26" s="152">
        <f>IF(N25&lt;=0.005,0,N25*(1+K$6))</f>
        <v/>
      </c>
      <c r="L26" s="152">
        <f>MIN(K26,K$7)</f>
        <v/>
      </c>
      <c r="M26" s="152">
        <f>MAX(0,MIN(K26-L26,AQ26-(E26+I26)))</f>
        <v/>
      </c>
      <c r="N26" s="152">
        <f>K26-L26-M26</f>
        <v/>
      </c>
      <c r="O26" s="152">
        <f>IF(R25&lt;=0.005,0,R25*(1+O$6))</f>
        <v/>
      </c>
      <c r="P26" s="152">
        <f>MIN(O26,O$7)</f>
        <v/>
      </c>
      <c r="Q26" s="152">
        <f>MAX(0,MIN(O26-P26,AQ26-(E26+I26+M26)))</f>
        <v/>
      </c>
      <c r="R26" s="152">
        <f>O26-P26-Q26</f>
        <v/>
      </c>
      <c r="S26" s="152">
        <f>IF(V25&lt;=0.005,0,V25*(1+S$6))</f>
        <v/>
      </c>
      <c r="T26" s="152">
        <f>MIN(S26,S$7)</f>
        <v/>
      </c>
      <c r="U26" s="152">
        <f>MAX(0,MIN(S26-T26,AQ26-(E26+I26+M26+Q26)))</f>
        <v/>
      </c>
      <c r="V26" s="152">
        <f>S26-T26-U26</f>
        <v/>
      </c>
      <c r="W26" s="152">
        <f>IF(Z25&lt;=0.005,0,Z25*(1+W$6))</f>
        <v/>
      </c>
      <c r="X26" s="152">
        <f>MIN(W26,W$7)</f>
        <v/>
      </c>
      <c r="Y26" s="152">
        <f>MAX(0,MIN(W26-X26,AQ26-(E26+I26+M26+Q26+U26)))</f>
        <v/>
      </c>
      <c r="Z26" s="152">
        <f>W26-X26-Y26</f>
        <v/>
      </c>
      <c r="AA26" s="152">
        <f>IF(AD25&lt;=0.005,0,AD25*(1+AA$6))</f>
        <v/>
      </c>
      <c r="AB26" s="152">
        <f>MIN(AA26,AA$7)</f>
        <v/>
      </c>
      <c r="AC26" s="152">
        <f>MAX(0,MIN(AA26-AB26,AQ26-(E26+I26+M26+Q26+U26+Y26)))</f>
        <v/>
      </c>
      <c r="AD26" s="152">
        <f>AA26-AB26-AC26</f>
        <v/>
      </c>
      <c r="AE26" s="152">
        <f>IF(AH25&lt;=0.005,0,AH25*(1+AE$6))</f>
        <v/>
      </c>
      <c r="AF26" s="152">
        <f>MIN(AE26,AE$7)</f>
        <v/>
      </c>
      <c r="AG26" s="152">
        <f>MAX(0,MIN(AE26-AF26,AQ26-(E26+I26+M26+Q26+U26+Y26+AC26)))</f>
        <v/>
      </c>
      <c r="AH26" s="152">
        <f>AE26-AF26-AG26</f>
        <v/>
      </c>
      <c r="AI26" s="152">
        <f>IF(AL25&lt;=0.005,0,AL25*(1+AI$6))</f>
        <v/>
      </c>
      <c r="AJ26" s="152">
        <f>MIN(AI26,AI$7)</f>
        <v/>
      </c>
      <c r="AK26" s="152">
        <f>MAX(0,MIN(AI26-AJ26,AQ26-(E26+I26+M26+Q26+U26+Y26+AC26+AG26)))</f>
        <v/>
      </c>
      <c r="AL26" s="152">
        <f>AI26-AJ26-AK26</f>
        <v/>
      </c>
      <c r="AM26" s="152">
        <f>IF(AP25&lt;=0.005,0,AP25*(1+AM$6))</f>
        <v/>
      </c>
      <c r="AN26" s="152">
        <f>MIN(AM26,AM$7)</f>
        <v/>
      </c>
      <c r="AO26" s="152">
        <f>MAX(0,MIN(AM26-AN26,AQ26-(E26+I26+M26+Q26+U26+Y26+AC26+AG26+AK26)))</f>
        <v/>
      </c>
      <c r="AP26" s="152">
        <f>AM26-AN26-AO26</f>
        <v/>
      </c>
      <c r="AQ26" s="152">
        <f>'Debt Payoff'!$C$8-SUM(D26,H26,L26,P26,T26,X26,AB26,AF26,AJ26,AN26)</f>
        <v/>
      </c>
      <c r="AR26" s="152">
        <f>SUM(D26,H26,L26,P26,T26,X26,AB26,AF26,AJ26,AN26)+SUM(E26,I26,M26,Q26,U26,Y26,AC26,AG26,AK26,AO26)</f>
        <v/>
      </c>
      <c r="AS26" s="152">
        <f>SUM(F26,J26,N26,R26,V26,Z26,AD26,AH26,AL26,AP26)</f>
        <v/>
      </c>
      <c r="AT26" s="152">
        <f>IF(B26&gt;AS$6,NA(),B26)</f>
        <v/>
      </c>
      <c r="AU26" s="152">
        <f>IF(B26&gt;AS$6,NA(),AS26)</f>
        <v/>
      </c>
      <c r="AV26" s="152" t="n"/>
      <c r="AW26" s="152" t="n">
        <v>15</v>
      </c>
      <c r="AX26" s="152">
        <f>IF(BA25&lt;=0.005,0,BA25*(1+AX$6))</f>
        <v/>
      </c>
      <c r="AY26" s="152">
        <f>MIN(AX26,AX$7)</f>
        <v/>
      </c>
      <c r="AZ26" s="152">
        <f>MAX(0,MIN(AX26-AY26,CL26))</f>
        <v/>
      </c>
      <c r="BA26" s="152">
        <f>AX26-AY26-AZ26</f>
        <v/>
      </c>
      <c r="BB26" s="152">
        <f>IF(BE25&lt;=0.005,0,BE25*(1+BB$6))</f>
        <v/>
      </c>
      <c r="BC26" s="152">
        <f>MIN(BB26,BB$7)</f>
        <v/>
      </c>
      <c r="BD26" s="152">
        <f>MAX(0,MIN(BB26-BC26,CL26-(AZ26)))</f>
        <v/>
      </c>
      <c r="BE26" s="152">
        <f>BB26-BC26-BD26</f>
        <v/>
      </c>
      <c r="BF26" s="152">
        <f>IF(BI25&lt;=0.005,0,BI25*(1+BF$6))</f>
        <v/>
      </c>
      <c r="BG26" s="152">
        <f>MIN(BF26,BF$7)</f>
        <v/>
      </c>
      <c r="BH26" s="152">
        <f>MAX(0,MIN(BF26-BG26,CL26-(AZ26+BD26)))</f>
        <v/>
      </c>
      <c r="BI26" s="152">
        <f>BF26-BG26-BH26</f>
        <v/>
      </c>
      <c r="BJ26" s="152">
        <f>IF(BM25&lt;=0.005,0,BM25*(1+BJ$6))</f>
        <v/>
      </c>
      <c r="BK26" s="152">
        <f>MIN(BJ26,BJ$7)</f>
        <v/>
      </c>
      <c r="BL26" s="152">
        <f>MAX(0,MIN(BJ26-BK26,CL26-(AZ26+BD26+BH26)))</f>
        <v/>
      </c>
      <c r="BM26" s="152">
        <f>BJ26-BK26-BL26</f>
        <v/>
      </c>
      <c r="BN26" s="152">
        <f>IF(BQ25&lt;=0.005,0,BQ25*(1+BN$6))</f>
        <v/>
      </c>
      <c r="BO26" s="152">
        <f>MIN(BN26,BN$7)</f>
        <v/>
      </c>
      <c r="BP26" s="152">
        <f>MAX(0,MIN(BN26-BO26,CL26-(AZ26+BD26+BH26+BL26)))</f>
        <v/>
      </c>
      <c r="BQ26" s="152">
        <f>BN26-BO26-BP26</f>
        <v/>
      </c>
      <c r="BR26" s="152">
        <f>IF(BU25&lt;=0.005,0,BU25*(1+BR$6))</f>
        <v/>
      </c>
      <c r="BS26" s="152">
        <f>MIN(BR26,BR$7)</f>
        <v/>
      </c>
      <c r="BT26" s="152">
        <f>MAX(0,MIN(BR26-BS26,CL26-(AZ26+BD26+BH26+BL26+BP26)))</f>
        <v/>
      </c>
      <c r="BU26" s="152">
        <f>BR26-BS26-BT26</f>
        <v/>
      </c>
      <c r="BV26" s="152">
        <f>IF(BY25&lt;=0.005,0,BY25*(1+BV$6))</f>
        <v/>
      </c>
      <c r="BW26" s="152">
        <f>MIN(BV26,BV$7)</f>
        <v/>
      </c>
      <c r="BX26" s="152">
        <f>MAX(0,MIN(BV26-BW26,CL26-(AZ26+BD26+BH26+BL26+BP26+BT26)))</f>
        <v/>
      </c>
      <c r="BY26" s="152">
        <f>BV26-BW26-BX26</f>
        <v/>
      </c>
      <c r="BZ26" s="152">
        <f>IF(CC25&lt;=0.005,0,CC25*(1+BZ$6))</f>
        <v/>
      </c>
      <c r="CA26" s="152">
        <f>MIN(BZ26,BZ$7)</f>
        <v/>
      </c>
      <c r="CB26" s="152">
        <f>MAX(0,MIN(BZ26-CA26,CL26-(AZ26+BD26+BH26+BL26+BP26+BT26+BX26)))</f>
        <v/>
      </c>
      <c r="CC26" s="152">
        <f>BZ26-CA26-CB26</f>
        <v/>
      </c>
      <c r="CD26" s="152">
        <f>IF(CG25&lt;=0.005,0,CG25*(1+CD$6))</f>
        <v/>
      </c>
      <c r="CE26" s="152">
        <f>MIN(CD26,CD$7)</f>
        <v/>
      </c>
      <c r="CF26" s="152">
        <f>MAX(0,MIN(CD26-CE26,CL26-(AZ26+BD26+BH26+BL26+BP26+BT26+BX26+CB26)))</f>
        <v/>
      </c>
      <c r="CG26" s="152">
        <f>CD26-CE26-CF26</f>
        <v/>
      </c>
      <c r="CH26" s="152">
        <f>IF(CK25&lt;=0.005,0,CK25*(1+CH$6))</f>
        <v/>
      </c>
      <c r="CI26" s="152">
        <f>MIN(CH26,CH$7)</f>
        <v/>
      </c>
      <c r="CJ26" s="152">
        <f>MAX(0,MIN(CH26-CI26,CL26-(AZ26+BD26+BH26+BL26+BP26+BT26+BX26+CB26+CF26)))</f>
        <v/>
      </c>
      <c r="CK26" s="152">
        <f>CH26-CI26-CJ26</f>
        <v/>
      </c>
      <c r="CL26" s="152">
        <f>'Debt Payoff'!$C$8-SUM(AY26,BC26,BG26,BK26,BO26,BS26,BW26,CA26,CE26,CI26)</f>
        <v/>
      </c>
      <c r="CM26" s="152">
        <f>SUM(AY26,BC26,BG26,BK26,BO26,BS26,BW26,CA26,CE26,CI26)+SUM(AZ26,BD26,BH26,BL26,BP26,BT26,BX26,CB26,CF26,CJ26)</f>
        <v/>
      </c>
      <c r="CN26" s="152">
        <f>SUM(BA26,BE26,BI26,BM26,BQ26,BU26,BY26,CC26,CG26,CK26)</f>
        <v/>
      </c>
      <c r="CO26" s="152">
        <f>IF(AW26&gt;CN$6,NA(),AW26)</f>
        <v/>
      </c>
      <c r="CP26" s="152">
        <f>IF(AW26&gt;CN$6,NA(),CN26)</f>
        <v/>
      </c>
    </row>
    <row r="27">
      <c r="B27" s="152" t="n">
        <v>16</v>
      </c>
      <c r="C27" s="152">
        <f>IF(F26&lt;=0.005,0,F26*(1+C$6))</f>
        <v/>
      </c>
      <c r="D27" s="152">
        <f>MIN(C27,C$7)</f>
        <v/>
      </c>
      <c r="E27" s="152">
        <f>MAX(0,MIN(C27-D27,AQ27))</f>
        <v/>
      </c>
      <c r="F27" s="152">
        <f>C27-D27-E27</f>
        <v/>
      </c>
      <c r="G27" s="152">
        <f>IF(J26&lt;=0.005,0,J26*(1+G$6))</f>
        <v/>
      </c>
      <c r="H27" s="152">
        <f>MIN(G27,G$7)</f>
        <v/>
      </c>
      <c r="I27" s="152">
        <f>MAX(0,MIN(G27-H27,AQ27-(E27)))</f>
        <v/>
      </c>
      <c r="J27" s="152">
        <f>G27-H27-I27</f>
        <v/>
      </c>
      <c r="K27" s="152">
        <f>IF(N26&lt;=0.005,0,N26*(1+K$6))</f>
        <v/>
      </c>
      <c r="L27" s="152">
        <f>MIN(K27,K$7)</f>
        <v/>
      </c>
      <c r="M27" s="152">
        <f>MAX(0,MIN(K27-L27,AQ27-(E27+I27)))</f>
        <v/>
      </c>
      <c r="N27" s="152">
        <f>K27-L27-M27</f>
        <v/>
      </c>
      <c r="O27" s="152">
        <f>IF(R26&lt;=0.005,0,R26*(1+O$6))</f>
        <v/>
      </c>
      <c r="P27" s="152">
        <f>MIN(O27,O$7)</f>
        <v/>
      </c>
      <c r="Q27" s="152">
        <f>MAX(0,MIN(O27-P27,AQ27-(E27+I27+M27)))</f>
        <v/>
      </c>
      <c r="R27" s="152">
        <f>O27-P27-Q27</f>
        <v/>
      </c>
      <c r="S27" s="152">
        <f>IF(V26&lt;=0.005,0,V26*(1+S$6))</f>
        <v/>
      </c>
      <c r="T27" s="152">
        <f>MIN(S27,S$7)</f>
        <v/>
      </c>
      <c r="U27" s="152">
        <f>MAX(0,MIN(S27-T27,AQ27-(E27+I27+M27+Q27)))</f>
        <v/>
      </c>
      <c r="V27" s="152">
        <f>S27-T27-U27</f>
        <v/>
      </c>
      <c r="W27" s="152">
        <f>IF(Z26&lt;=0.005,0,Z26*(1+W$6))</f>
        <v/>
      </c>
      <c r="X27" s="152">
        <f>MIN(W27,W$7)</f>
        <v/>
      </c>
      <c r="Y27" s="152">
        <f>MAX(0,MIN(W27-X27,AQ27-(E27+I27+M27+Q27+U27)))</f>
        <v/>
      </c>
      <c r="Z27" s="152">
        <f>W27-X27-Y27</f>
        <v/>
      </c>
      <c r="AA27" s="152">
        <f>IF(AD26&lt;=0.005,0,AD26*(1+AA$6))</f>
        <v/>
      </c>
      <c r="AB27" s="152">
        <f>MIN(AA27,AA$7)</f>
        <v/>
      </c>
      <c r="AC27" s="152">
        <f>MAX(0,MIN(AA27-AB27,AQ27-(E27+I27+M27+Q27+U27+Y27)))</f>
        <v/>
      </c>
      <c r="AD27" s="152">
        <f>AA27-AB27-AC27</f>
        <v/>
      </c>
      <c r="AE27" s="152">
        <f>IF(AH26&lt;=0.005,0,AH26*(1+AE$6))</f>
        <v/>
      </c>
      <c r="AF27" s="152">
        <f>MIN(AE27,AE$7)</f>
        <v/>
      </c>
      <c r="AG27" s="152">
        <f>MAX(0,MIN(AE27-AF27,AQ27-(E27+I27+M27+Q27+U27+Y27+AC27)))</f>
        <v/>
      </c>
      <c r="AH27" s="152">
        <f>AE27-AF27-AG27</f>
        <v/>
      </c>
      <c r="AI27" s="152">
        <f>IF(AL26&lt;=0.005,0,AL26*(1+AI$6))</f>
        <v/>
      </c>
      <c r="AJ27" s="152">
        <f>MIN(AI27,AI$7)</f>
        <v/>
      </c>
      <c r="AK27" s="152">
        <f>MAX(0,MIN(AI27-AJ27,AQ27-(E27+I27+M27+Q27+U27+Y27+AC27+AG27)))</f>
        <v/>
      </c>
      <c r="AL27" s="152">
        <f>AI27-AJ27-AK27</f>
        <v/>
      </c>
      <c r="AM27" s="152">
        <f>IF(AP26&lt;=0.005,0,AP26*(1+AM$6))</f>
        <v/>
      </c>
      <c r="AN27" s="152">
        <f>MIN(AM27,AM$7)</f>
        <v/>
      </c>
      <c r="AO27" s="152">
        <f>MAX(0,MIN(AM27-AN27,AQ27-(E27+I27+M27+Q27+U27+Y27+AC27+AG27+AK27)))</f>
        <v/>
      </c>
      <c r="AP27" s="152">
        <f>AM27-AN27-AO27</f>
        <v/>
      </c>
      <c r="AQ27" s="152">
        <f>'Debt Payoff'!$C$8-SUM(D27,H27,L27,P27,T27,X27,AB27,AF27,AJ27,AN27)</f>
        <v/>
      </c>
      <c r="AR27" s="152">
        <f>SUM(D27,H27,L27,P27,T27,X27,AB27,AF27,AJ27,AN27)+SUM(E27,I27,M27,Q27,U27,Y27,AC27,AG27,AK27,AO27)</f>
        <v/>
      </c>
      <c r="AS27" s="152">
        <f>SUM(F27,J27,N27,R27,V27,Z27,AD27,AH27,AL27,AP27)</f>
        <v/>
      </c>
      <c r="AT27" s="152">
        <f>IF(B27&gt;AS$6,NA(),B27)</f>
        <v/>
      </c>
      <c r="AU27" s="152">
        <f>IF(B27&gt;AS$6,NA(),AS27)</f>
        <v/>
      </c>
      <c r="AV27" s="152" t="n"/>
      <c r="AW27" s="152" t="n">
        <v>16</v>
      </c>
      <c r="AX27" s="152">
        <f>IF(BA26&lt;=0.005,0,BA26*(1+AX$6))</f>
        <v/>
      </c>
      <c r="AY27" s="152">
        <f>MIN(AX27,AX$7)</f>
        <v/>
      </c>
      <c r="AZ27" s="152">
        <f>MAX(0,MIN(AX27-AY27,CL27))</f>
        <v/>
      </c>
      <c r="BA27" s="152">
        <f>AX27-AY27-AZ27</f>
        <v/>
      </c>
      <c r="BB27" s="152">
        <f>IF(BE26&lt;=0.005,0,BE26*(1+BB$6))</f>
        <v/>
      </c>
      <c r="BC27" s="152">
        <f>MIN(BB27,BB$7)</f>
        <v/>
      </c>
      <c r="BD27" s="152">
        <f>MAX(0,MIN(BB27-BC27,CL27-(AZ27)))</f>
        <v/>
      </c>
      <c r="BE27" s="152">
        <f>BB27-BC27-BD27</f>
        <v/>
      </c>
      <c r="BF27" s="152">
        <f>IF(BI26&lt;=0.005,0,BI26*(1+BF$6))</f>
        <v/>
      </c>
      <c r="BG27" s="152">
        <f>MIN(BF27,BF$7)</f>
        <v/>
      </c>
      <c r="BH27" s="152">
        <f>MAX(0,MIN(BF27-BG27,CL27-(AZ27+BD27)))</f>
        <v/>
      </c>
      <c r="BI27" s="152">
        <f>BF27-BG27-BH27</f>
        <v/>
      </c>
      <c r="BJ27" s="152">
        <f>IF(BM26&lt;=0.005,0,BM26*(1+BJ$6))</f>
        <v/>
      </c>
      <c r="BK27" s="152">
        <f>MIN(BJ27,BJ$7)</f>
        <v/>
      </c>
      <c r="BL27" s="152">
        <f>MAX(0,MIN(BJ27-BK27,CL27-(AZ27+BD27+BH27)))</f>
        <v/>
      </c>
      <c r="BM27" s="152">
        <f>BJ27-BK27-BL27</f>
        <v/>
      </c>
      <c r="BN27" s="152">
        <f>IF(BQ26&lt;=0.005,0,BQ26*(1+BN$6))</f>
        <v/>
      </c>
      <c r="BO27" s="152">
        <f>MIN(BN27,BN$7)</f>
        <v/>
      </c>
      <c r="BP27" s="152">
        <f>MAX(0,MIN(BN27-BO27,CL27-(AZ27+BD27+BH27+BL27)))</f>
        <v/>
      </c>
      <c r="BQ27" s="152">
        <f>BN27-BO27-BP27</f>
        <v/>
      </c>
      <c r="BR27" s="152">
        <f>IF(BU26&lt;=0.005,0,BU26*(1+BR$6))</f>
        <v/>
      </c>
      <c r="BS27" s="152">
        <f>MIN(BR27,BR$7)</f>
        <v/>
      </c>
      <c r="BT27" s="152">
        <f>MAX(0,MIN(BR27-BS27,CL27-(AZ27+BD27+BH27+BL27+BP27)))</f>
        <v/>
      </c>
      <c r="BU27" s="152">
        <f>BR27-BS27-BT27</f>
        <v/>
      </c>
      <c r="BV27" s="152">
        <f>IF(BY26&lt;=0.005,0,BY26*(1+BV$6))</f>
        <v/>
      </c>
      <c r="BW27" s="152">
        <f>MIN(BV27,BV$7)</f>
        <v/>
      </c>
      <c r="BX27" s="152">
        <f>MAX(0,MIN(BV27-BW27,CL27-(AZ27+BD27+BH27+BL27+BP27+BT27)))</f>
        <v/>
      </c>
      <c r="BY27" s="152">
        <f>BV27-BW27-BX27</f>
        <v/>
      </c>
      <c r="BZ27" s="152">
        <f>IF(CC26&lt;=0.005,0,CC26*(1+BZ$6))</f>
        <v/>
      </c>
      <c r="CA27" s="152">
        <f>MIN(BZ27,BZ$7)</f>
        <v/>
      </c>
      <c r="CB27" s="152">
        <f>MAX(0,MIN(BZ27-CA27,CL27-(AZ27+BD27+BH27+BL27+BP27+BT27+BX27)))</f>
        <v/>
      </c>
      <c r="CC27" s="152">
        <f>BZ27-CA27-CB27</f>
        <v/>
      </c>
      <c r="CD27" s="152">
        <f>IF(CG26&lt;=0.005,0,CG26*(1+CD$6))</f>
        <v/>
      </c>
      <c r="CE27" s="152">
        <f>MIN(CD27,CD$7)</f>
        <v/>
      </c>
      <c r="CF27" s="152">
        <f>MAX(0,MIN(CD27-CE27,CL27-(AZ27+BD27+BH27+BL27+BP27+BT27+BX27+CB27)))</f>
        <v/>
      </c>
      <c r="CG27" s="152">
        <f>CD27-CE27-CF27</f>
        <v/>
      </c>
      <c r="CH27" s="152">
        <f>IF(CK26&lt;=0.005,0,CK26*(1+CH$6))</f>
        <v/>
      </c>
      <c r="CI27" s="152">
        <f>MIN(CH27,CH$7)</f>
        <v/>
      </c>
      <c r="CJ27" s="152">
        <f>MAX(0,MIN(CH27-CI27,CL27-(AZ27+BD27+BH27+BL27+BP27+BT27+BX27+CB27+CF27)))</f>
        <v/>
      </c>
      <c r="CK27" s="152">
        <f>CH27-CI27-CJ27</f>
        <v/>
      </c>
      <c r="CL27" s="152">
        <f>'Debt Payoff'!$C$8-SUM(AY27,BC27,BG27,BK27,BO27,BS27,BW27,CA27,CE27,CI27)</f>
        <v/>
      </c>
      <c r="CM27" s="152">
        <f>SUM(AY27,BC27,BG27,BK27,BO27,BS27,BW27,CA27,CE27,CI27)+SUM(AZ27,BD27,BH27,BL27,BP27,BT27,BX27,CB27,CF27,CJ27)</f>
        <v/>
      </c>
      <c r="CN27" s="152">
        <f>SUM(BA27,BE27,BI27,BM27,BQ27,BU27,BY27,CC27,CG27,CK27)</f>
        <v/>
      </c>
      <c r="CO27" s="152">
        <f>IF(AW27&gt;CN$6,NA(),AW27)</f>
        <v/>
      </c>
      <c r="CP27" s="152">
        <f>IF(AW27&gt;CN$6,NA(),CN27)</f>
        <v/>
      </c>
    </row>
    <row r="28">
      <c r="B28" s="152" t="n">
        <v>17</v>
      </c>
      <c r="C28" s="152">
        <f>IF(F27&lt;=0.005,0,F27*(1+C$6))</f>
        <v/>
      </c>
      <c r="D28" s="152">
        <f>MIN(C28,C$7)</f>
        <v/>
      </c>
      <c r="E28" s="152">
        <f>MAX(0,MIN(C28-D28,AQ28))</f>
        <v/>
      </c>
      <c r="F28" s="152">
        <f>C28-D28-E28</f>
        <v/>
      </c>
      <c r="G28" s="152">
        <f>IF(J27&lt;=0.005,0,J27*(1+G$6))</f>
        <v/>
      </c>
      <c r="H28" s="152">
        <f>MIN(G28,G$7)</f>
        <v/>
      </c>
      <c r="I28" s="152">
        <f>MAX(0,MIN(G28-H28,AQ28-(E28)))</f>
        <v/>
      </c>
      <c r="J28" s="152">
        <f>G28-H28-I28</f>
        <v/>
      </c>
      <c r="K28" s="152">
        <f>IF(N27&lt;=0.005,0,N27*(1+K$6))</f>
        <v/>
      </c>
      <c r="L28" s="152">
        <f>MIN(K28,K$7)</f>
        <v/>
      </c>
      <c r="M28" s="152">
        <f>MAX(0,MIN(K28-L28,AQ28-(E28+I28)))</f>
        <v/>
      </c>
      <c r="N28" s="152">
        <f>K28-L28-M28</f>
        <v/>
      </c>
      <c r="O28" s="152">
        <f>IF(R27&lt;=0.005,0,R27*(1+O$6))</f>
        <v/>
      </c>
      <c r="P28" s="152">
        <f>MIN(O28,O$7)</f>
        <v/>
      </c>
      <c r="Q28" s="152">
        <f>MAX(0,MIN(O28-P28,AQ28-(E28+I28+M28)))</f>
        <v/>
      </c>
      <c r="R28" s="152">
        <f>O28-P28-Q28</f>
        <v/>
      </c>
      <c r="S28" s="152">
        <f>IF(V27&lt;=0.005,0,V27*(1+S$6))</f>
        <v/>
      </c>
      <c r="T28" s="152">
        <f>MIN(S28,S$7)</f>
        <v/>
      </c>
      <c r="U28" s="152">
        <f>MAX(0,MIN(S28-T28,AQ28-(E28+I28+M28+Q28)))</f>
        <v/>
      </c>
      <c r="V28" s="152">
        <f>S28-T28-U28</f>
        <v/>
      </c>
      <c r="W28" s="152">
        <f>IF(Z27&lt;=0.005,0,Z27*(1+W$6))</f>
        <v/>
      </c>
      <c r="X28" s="152">
        <f>MIN(W28,W$7)</f>
        <v/>
      </c>
      <c r="Y28" s="152">
        <f>MAX(0,MIN(W28-X28,AQ28-(E28+I28+M28+Q28+U28)))</f>
        <v/>
      </c>
      <c r="Z28" s="152">
        <f>W28-X28-Y28</f>
        <v/>
      </c>
      <c r="AA28" s="152">
        <f>IF(AD27&lt;=0.005,0,AD27*(1+AA$6))</f>
        <v/>
      </c>
      <c r="AB28" s="152">
        <f>MIN(AA28,AA$7)</f>
        <v/>
      </c>
      <c r="AC28" s="152">
        <f>MAX(0,MIN(AA28-AB28,AQ28-(E28+I28+M28+Q28+U28+Y28)))</f>
        <v/>
      </c>
      <c r="AD28" s="152">
        <f>AA28-AB28-AC28</f>
        <v/>
      </c>
      <c r="AE28" s="152">
        <f>IF(AH27&lt;=0.005,0,AH27*(1+AE$6))</f>
        <v/>
      </c>
      <c r="AF28" s="152">
        <f>MIN(AE28,AE$7)</f>
        <v/>
      </c>
      <c r="AG28" s="152">
        <f>MAX(0,MIN(AE28-AF28,AQ28-(E28+I28+M28+Q28+U28+Y28+AC28)))</f>
        <v/>
      </c>
      <c r="AH28" s="152">
        <f>AE28-AF28-AG28</f>
        <v/>
      </c>
      <c r="AI28" s="152">
        <f>IF(AL27&lt;=0.005,0,AL27*(1+AI$6))</f>
        <v/>
      </c>
      <c r="AJ28" s="152">
        <f>MIN(AI28,AI$7)</f>
        <v/>
      </c>
      <c r="AK28" s="152">
        <f>MAX(0,MIN(AI28-AJ28,AQ28-(E28+I28+M28+Q28+U28+Y28+AC28+AG28)))</f>
        <v/>
      </c>
      <c r="AL28" s="152">
        <f>AI28-AJ28-AK28</f>
        <v/>
      </c>
      <c r="AM28" s="152">
        <f>IF(AP27&lt;=0.005,0,AP27*(1+AM$6))</f>
        <v/>
      </c>
      <c r="AN28" s="152">
        <f>MIN(AM28,AM$7)</f>
        <v/>
      </c>
      <c r="AO28" s="152">
        <f>MAX(0,MIN(AM28-AN28,AQ28-(E28+I28+M28+Q28+U28+Y28+AC28+AG28+AK28)))</f>
        <v/>
      </c>
      <c r="AP28" s="152">
        <f>AM28-AN28-AO28</f>
        <v/>
      </c>
      <c r="AQ28" s="152">
        <f>'Debt Payoff'!$C$8-SUM(D28,H28,L28,P28,T28,X28,AB28,AF28,AJ28,AN28)</f>
        <v/>
      </c>
      <c r="AR28" s="152">
        <f>SUM(D28,H28,L28,P28,T28,X28,AB28,AF28,AJ28,AN28)+SUM(E28,I28,M28,Q28,U28,Y28,AC28,AG28,AK28,AO28)</f>
        <v/>
      </c>
      <c r="AS28" s="152">
        <f>SUM(F28,J28,N28,R28,V28,Z28,AD28,AH28,AL28,AP28)</f>
        <v/>
      </c>
      <c r="AT28" s="152">
        <f>IF(B28&gt;AS$6,NA(),B28)</f>
        <v/>
      </c>
      <c r="AU28" s="152">
        <f>IF(B28&gt;AS$6,NA(),AS28)</f>
        <v/>
      </c>
      <c r="AV28" s="152" t="n"/>
      <c r="AW28" s="152" t="n">
        <v>17</v>
      </c>
      <c r="AX28" s="152">
        <f>IF(BA27&lt;=0.005,0,BA27*(1+AX$6))</f>
        <v/>
      </c>
      <c r="AY28" s="152">
        <f>MIN(AX28,AX$7)</f>
        <v/>
      </c>
      <c r="AZ28" s="152">
        <f>MAX(0,MIN(AX28-AY28,CL28))</f>
        <v/>
      </c>
      <c r="BA28" s="152">
        <f>AX28-AY28-AZ28</f>
        <v/>
      </c>
      <c r="BB28" s="152">
        <f>IF(BE27&lt;=0.005,0,BE27*(1+BB$6))</f>
        <v/>
      </c>
      <c r="BC28" s="152">
        <f>MIN(BB28,BB$7)</f>
        <v/>
      </c>
      <c r="BD28" s="152">
        <f>MAX(0,MIN(BB28-BC28,CL28-(AZ28)))</f>
        <v/>
      </c>
      <c r="BE28" s="152">
        <f>BB28-BC28-BD28</f>
        <v/>
      </c>
      <c r="BF28" s="152">
        <f>IF(BI27&lt;=0.005,0,BI27*(1+BF$6))</f>
        <v/>
      </c>
      <c r="BG28" s="152">
        <f>MIN(BF28,BF$7)</f>
        <v/>
      </c>
      <c r="BH28" s="152">
        <f>MAX(0,MIN(BF28-BG28,CL28-(AZ28+BD28)))</f>
        <v/>
      </c>
      <c r="BI28" s="152">
        <f>BF28-BG28-BH28</f>
        <v/>
      </c>
      <c r="BJ28" s="152">
        <f>IF(BM27&lt;=0.005,0,BM27*(1+BJ$6))</f>
        <v/>
      </c>
      <c r="BK28" s="152">
        <f>MIN(BJ28,BJ$7)</f>
        <v/>
      </c>
      <c r="BL28" s="152">
        <f>MAX(0,MIN(BJ28-BK28,CL28-(AZ28+BD28+BH28)))</f>
        <v/>
      </c>
      <c r="BM28" s="152">
        <f>BJ28-BK28-BL28</f>
        <v/>
      </c>
      <c r="BN28" s="152">
        <f>IF(BQ27&lt;=0.005,0,BQ27*(1+BN$6))</f>
        <v/>
      </c>
      <c r="BO28" s="152">
        <f>MIN(BN28,BN$7)</f>
        <v/>
      </c>
      <c r="BP28" s="152">
        <f>MAX(0,MIN(BN28-BO28,CL28-(AZ28+BD28+BH28+BL28)))</f>
        <v/>
      </c>
      <c r="BQ28" s="152">
        <f>BN28-BO28-BP28</f>
        <v/>
      </c>
      <c r="BR28" s="152">
        <f>IF(BU27&lt;=0.005,0,BU27*(1+BR$6))</f>
        <v/>
      </c>
      <c r="BS28" s="152">
        <f>MIN(BR28,BR$7)</f>
        <v/>
      </c>
      <c r="BT28" s="152">
        <f>MAX(0,MIN(BR28-BS28,CL28-(AZ28+BD28+BH28+BL28+BP28)))</f>
        <v/>
      </c>
      <c r="BU28" s="152">
        <f>BR28-BS28-BT28</f>
        <v/>
      </c>
      <c r="BV28" s="152">
        <f>IF(BY27&lt;=0.005,0,BY27*(1+BV$6))</f>
        <v/>
      </c>
      <c r="BW28" s="152">
        <f>MIN(BV28,BV$7)</f>
        <v/>
      </c>
      <c r="BX28" s="152">
        <f>MAX(0,MIN(BV28-BW28,CL28-(AZ28+BD28+BH28+BL28+BP28+BT28)))</f>
        <v/>
      </c>
      <c r="BY28" s="152">
        <f>BV28-BW28-BX28</f>
        <v/>
      </c>
      <c r="BZ28" s="152">
        <f>IF(CC27&lt;=0.005,0,CC27*(1+BZ$6))</f>
        <v/>
      </c>
      <c r="CA28" s="152">
        <f>MIN(BZ28,BZ$7)</f>
        <v/>
      </c>
      <c r="CB28" s="152">
        <f>MAX(0,MIN(BZ28-CA28,CL28-(AZ28+BD28+BH28+BL28+BP28+BT28+BX28)))</f>
        <v/>
      </c>
      <c r="CC28" s="152">
        <f>BZ28-CA28-CB28</f>
        <v/>
      </c>
      <c r="CD28" s="152">
        <f>IF(CG27&lt;=0.005,0,CG27*(1+CD$6))</f>
        <v/>
      </c>
      <c r="CE28" s="152">
        <f>MIN(CD28,CD$7)</f>
        <v/>
      </c>
      <c r="CF28" s="152">
        <f>MAX(0,MIN(CD28-CE28,CL28-(AZ28+BD28+BH28+BL28+BP28+BT28+BX28+CB28)))</f>
        <v/>
      </c>
      <c r="CG28" s="152">
        <f>CD28-CE28-CF28</f>
        <v/>
      </c>
      <c r="CH28" s="152">
        <f>IF(CK27&lt;=0.005,0,CK27*(1+CH$6))</f>
        <v/>
      </c>
      <c r="CI28" s="152">
        <f>MIN(CH28,CH$7)</f>
        <v/>
      </c>
      <c r="CJ28" s="152">
        <f>MAX(0,MIN(CH28-CI28,CL28-(AZ28+BD28+BH28+BL28+BP28+BT28+BX28+CB28+CF28)))</f>
        <v/>
      </c>
      <c r="CK28" s="152">
        <f>CH28-CI28-CJ28</f>
        <v/>
      </c>
      <c r="CL28" s="152">
        <f>'Debt Payoff'!$C$8-SUM(AY28,BC28,BG28,BK28,BO28,BS28,BW28,CA28,CE28,CI28)</f>
        <v/>
      </c>
      <c r="CM28" s="152">
        <f>SUM(AY28,BC28,BG28,BK28,BO28,BS28,BW28,CA28,CE28,CI28)+SUM(AZ28,BD28,BH28,BL28,BP28,BT28,BX28,CB28,CF28,CJ28)</f>
        <v/>
      </c>
      <c r="CN28" s="152">
        <f>SUM(BA28,BE28,BI28,BM28,BQ28,BU28,BY28,CC28,CG28,CK28)</f>
        <v/>
      </c>
      <c r="CO28" s="152">
        <f>IF(AW28&gt;CN$6,NA(),AW28)</f>
        <v/>
      </c>
      <c r="CP28" s="152">
        <f>IF(AW28&gt;CN$6,NA(),CN28)</f>
        <v/>
      </c>
    </row>
    <row r="29">
      <c r="B29" s="152" t="n">
        <v>18</v>
      </c>
      <c r="C29" s="152">
        <f>IF(F28&lt;=0.005,0,F28*(1+C$6))</f>
        <v/>
      </c>
      <c r="D29" s="152">
        <f>MIN(C29,C$7)</f>
        <v/>
      </c>
      <c r="E29" s="152">
        <f>MAX(0,MIN(C29-D29,AQ29))</f>
        <v/>
      </c>
      <c r="F29" s="152">
        <f>C29-D29-E29</f>
        <v/>
      </c>
      <c r="G29" s="152">
        <f>IF(J28&lt;=0.005,0,J28*(1+G$6))</f>
        <v/>
      </c>
      <c r="H29" s="152">
        <f>MIN(G29,G$7)</f>
        <v/>
      </c>
      <c r="I29" s="152">
        <f>MAX(0,MIN(G29-H29,AQ29-(E29)))</f>
        <v/>
      </c>
      <c r="J29" s="152">
        <f>G29-H29-I29</f>
        <v/>
      </c>
      <c r="K29" s="152">
        <f>IF(N28&lt;=0.005,0,N28*(1+K$6))</f>
        <v/>
      </c>
      <c r="L29" s="152">
        <f>MIN(K29,K$7)</f>
        <v/>
      </c>
      <c r="M29" s="152">
        <f>MAX(0,MIN(K29-L29,AQ29-(E29+I29)))</f>
        <v/>
      </c>
      <c r="N29" s="152">
        <f>K29-L29-M29</f>
        <v/>
      </c>
      <c r="O29" s="152">
        <f>IF(R28&lt;=0.005,0,R28*(1+O$6))</f>
        <v/>
      </c>
      <c r="P29" s="152">
        <f>MIN(O29,O$7)</f>
        <v/>
      </c>
      <c r="Q29" s="152">
        <f>MAX(0,MIN(O29-P29,AQ29-(E29+I29+M29)))</f>
        <v/>
      </c>
      <c r="R29" s="152">
        <f>O29-P29-Q29</f>
        <v/>
      </c>
      <c r="S29" s="152">
        <f>IF(V28&lt;=0.005,0,V28*(1+S$6))</f>
        <v/>
      </c>
      <c r="T29" s="152">
        <f>MIN(S29,S$7)</f>
        <v/>
      </c>
      <c r="U29" s="152">
        <f>MAX(0,MIN(S29-T29,AQ29-(E29+I29+M29+Q29)))</f>
        <v/>
      </c>
      <c r="V29" s="152">
        <f>S29-T29-U29</f>
        <v/>
      </c>
      <c r="W29" s="152">
        <f>IF(Z28&lt;=0.005,0,Z28*(1+W$6))</f>
        <v/>
      </c>
      <c r="X29" s="152">
        <f>MIN(W29,W$7)</f>
        <v/>
      </c>
      <c r="Y29" s="152">
        <f>MAX(0,MIN(W29-X29,AQ29-(E29+I29+M29+Q29+U29)))</f>
        <v/>
      </c>
      <c r="Z29" s="152">
        <f>W29-X29-Y29</f>
        <v/>
      </c>
      <c r="AA29" s="152">
        <f>IF(AD28&lt;=0.005,0,AD28*(1+AA$6))</f>
        <v/>
      </c>
      <c r="AB29" s="152">
        <f>MIN(AA29,AA$7)</f>
        <v/>
      </c>
      <c r="AC29" s="152">
        <f>MAX(0,MIN(AA29-AB29,AQ29-(E29+I29+M29+Q29+U29+Y29)))</f>
        <v/>
      </c>
      <c r="AD29" s="152">
        <f>AA29-AB29-AC29</f>
        <v/>
      </c>
      <c r="AE29" s="152">
        <f>IF(AH28&lt;=0.005,0,AH28*(1+AE$6))</f>
        <v/>
      </c>
      <c r="AF29" s="152">
        <f>MIN(AE29,AE$7)</f>
        <v/>
      </c>
      <c r="AG29" s="152">
        <f>MAX(0,MIN(AE29-AF29,AQ29-(E29+I29+M29+Q29+U29+Y29+AC29)))</f>
        <v/>
      </c>
      <c r="AH29" s="152">
        <f>AE29-AF29-AG29</f>
        <v/>
      </c>
      <c r="AI29" s="152">
        <f>IF(AL28&lt;=0.005,0,AL28*(1+AI$6))</f>
        <v/>
      </c>
      <c r="AJ29" s="152">
        <f>MIN(AI29,AI$7)</f>
        <v/>
      </c>
      <c r="AK29" s="152">
        <f>MAX(0,MIN(AI29-AJ29,AQ29-(E29+I29+M29+Q29+U29+Y29+AC29+AG29)))</f>
        <v/>
      </c>
      <c r="AL29" s="152">
        <f>AI29-AJ29-AK29</f>
        <v/>
      </c>
      <c r="AM29" s="152">
        <f>IF(AP28&lt;=0.005,0,AP28*(1+AM$6))</f>
        <v/>
      </c>
      <c r="AN29" s="152">
        <f>MIN(AM29,AM$7)</f>
        <v/>
      </c>
      <c r="AO29" s="152">
        <f>MAX(0,MIN(AM29-AN29,AQ29-(E29+I29+M29+Q29+U29+Y29+AC29+AG29+AK29)))</f>
        <v/>
      </c>
      <c r="AP29" s="152">
        <f>AM29-AN29-AO29</f>
        <v/>
      </c>
      <c r="AQ29" s="152">
        <f>'Debt Payoff'!$C$8-SUM(D29,H29,L29,P29,T29,X29,AB29,AF29,AJ29,AN29)</f>
        <v/>
      </c>
      <c r="AR29" s="152">
        <f>SUM(D29,H29,L29,P29,T29,X29,AB29,AF29,AJ29,AN29)+SUM(E29,I29,M29,Q29,U29,Y29,AC29,AG29,AK29,AO29)</f>
        <v/>
      </c>
      <c r="AS29" s="152">
        <f>SUM(F29,J29,N29,R29,V29,Z29,AD29,AH29,AL29,AP29)</f>
        <v/>
      </c>
      <c r="AT29" s="152">
        <f>IF(B29&gt;AS$6,NA(),B29)</f>
        <v/>
      </c>
      <c r="AU29" s="152">
        <f>IF(B29&gt;AS$6,NA(),AS29)</f>
        <v/>
      </c>
      <c r="AV29" s="152" t="n"/>
      <c r="AW29" s="152" t="n">
        <v>18</v>
      </c>
      <c r="AX29" s="152">
        <f>IF(BA28&lt;=0.005,0,BA28*(1+AX$6))</f>
        <v/>
      </c>
      <c r="AY29" s="152">
        <f>MIN(AX29,AX$7)</f>
        <v/>
      </c>
      <c r="AZ29" s="152">
        <f>MAX(0,MIN(AX29-AY29,CL29))</f>
        <v/>
      </c>
      <c r="BA29" s="152">
        <f>AX29-AY29-AZ29</f>
        <v/>
      </c>
      <c r="BB29" s="152">
        <f>IF(BE28&lt;=0.005,0,BE28*(1+BB$6))</f>
        <v/>
      </c>
      <c r="BC29" s="152">
        <f>MIN(BB29,BB$7)</f>
        <v/>
      </c>
      <c r="BD29" s="152">
        <f>MAX(0,MIN(BB29-BC29,CL29-(AZ29)))</f>
        <v/>
      </c>
      <c r="BE29" s="152">
        <f>BB29-BC29-BD29</f>
        <v/>
      </c>
      <c r="BF29" s="152">
        <f>IF(BI28&lt;=0.005,0,BI28*(1+BF$6))</f>
        <v/>
      </c>
      <c r="BG29" s="152">
        <f>MIN(BF29,BF$7)</f>
        <v/>
      </c>
      <c r="BH29" s="152">
        <f>MAX(0,MIN(BF29-BG29,CL29-(AZ29+BD29)))</f>
        <v/>
      </c>
      <c r="BI29" s="152">
        <f>BF29-BG29-BH29</f>
        <v/>
      </c>
      <c r="BJ29" s="152">
        <f>IF(BM28&lt;=0.005,0,BM28*(1+BJ$6))</f>
        <v/>
      </c>
      <c r="BK29" s="152">
        <f>MIN(BJ29,BJ$7)</f>
        <v/>
      </c>
      <c r="BL29" s="152">
        <f>MAX(0,MIN(BJ29-BK29,CL29-(AZ29+BD29+BH29)))</f>
        <v/>
      </c>
      <c r="BM29" s="152">
        <f>BJ29-BK29-BL29</f>
        <v/>
      </c>
      <c r="BN29" s="152">
        <f>IF(BQ28&lt;=0.005,0,BQ28*(1+BN$6))</f>
        <v/>
      </c>
      <c r="BO29" s="152">
        <f>MIN(BN29,BN$7)</f>
        <v/>
      </c>
      <c r="BP29" s="152">
        <f>MAX(0,MIN(BN29-BO29,CL29-(AZ29+BD29+BH29+BL29)))</f>
        <v/>
      </c>
      <c r="BQ29" s="152">
        <f>BN29-BO29-BP29</f>
        <v/>
      </c>
      <c r="BR29" s="152">
        <f>IF(BU28&lt;=0.005,0,BU28*(1+BR$6))</f>
        <v/>
      </c>
      <c r="BS29" s="152">
        <f>MIN(BR29,BR$7)</f>
        <v/>
      </c>
      <c r="BT29" s="152">
        <f>MAX(0,MIN(BR29-BS29,CL29-(AZ29+BD29+BH29+BL29+BP29)))</f>
        <v/>
      </c>
      <c r="BU29" s="152">
        <f>BR29-BS29-BT29</f>
        <v/>
      </c>
      <c r="BV29" s="152">
        <f>IF(BY28&lt;=0.005,0,BY28*(1+BV$6))</f>
        <v/>
      </c>
      <c r="BW29" s="152">
        <f>MIN(BV29,BV$7)</f>
        <v/>
      </c>
      <c r="BX29" s="152">
        <f>MAX(0,MIN(BV29-BW29,CL29-(AZ29+BD29+BH29+BL29+BP29+BT29)))</f>
        <v/>
      </c>
      <c r="BY29" s="152">
        <f>BV29-BW29-BX29</f>
        <v/>
      </c>
      <c r="BZ29" s="152">
        <f>IF(CC28&lt;=0.005,0,CC28*(1+BZ$6))</f>
        <v/>
      </c>
      <c r="CA29" s="152">
        <f>MIN(BZ29,BZ$7)</f>
        <v/>
      </c>
      <c r="CB29" s="152">
        <f>MAX(0,MIN(BZ29-CA29,CL29-(AZ29+BD29+BH29+BL29+BP29+BT29+BX29)))</f>
        <v/>
      </c>
      <c r="CC29" s="152">
        <f>BZ29-CA29-CB29</f>
        <v/>
      </c>
      <c r="CD29" s="152">
        <f>IF(CG28&lt;=0.005,0,CG28*(1+CD$6))</f>
        <v/>
      </c>
      <c r="CE29" s="152">
        <f>MIN(CD29,CD$7)</f>
        <v/>
      </c>
      <c r="CF29" s="152">
        <f>MAX(0,MIN(CD29-CE29,CL29-(AZ29+BD29+BH29+BL29+BP29+BT29+BX29+CB29)))</f>
        <v/>
      </c>
      <c r="CG29" s="152">
        <f>CD29-CE29-CF29</f>
        <v/>
      </c>
      <c r="CH29" s="152">
        <f>IF(CK28&lt;=0.005,0,CK28*(1+CH$6))</f>
        <v/>
      </c>
      <c r="CI29" s="152">
        <f>MIN(CH29,CH$7)</f>
        <v/>
      </c>
      <c r="CJ29" s="152">
        <f>MAX(0,MIN(CH29-CI29,CL29-(AZ29+BD29+BH29+BL29+BP29+BT29+BX29+CB29+CF29)))</f>
        <v/>
      </c>
      <c r="CK29" s="152">
        <f>CH29-CI29-CJ29</f>
        <v/>
      </c>
      <c r="CL29" s="152">
        <f>'Debt Payoff'!$C$8-SUM(AY29,BC29,BG29,BK29,BO29,BS29,BW29,CA29,CE29,CI29)</f>
        <v/>
      </c>
      <c r="CM29" s="152">
        <f>SUM(AY29,BC29,BG29,BK29,BO29,BS29,BW29,CA29,CE29,CI29)+SUM(AZ29,BD29,BH29,BL29,BP29,BT29,BX29,CB29,CF29,CJ29)</f>
        <v/>
      </c>
      <c r="CN29" s="152">
        <f>SUM(BA29,BE29,BI29,BM29,BQ29,BU29,BY29,CC29,CG29,CK29)</f>
        <v/>
      </c>
      <c r="CO29" s="152">
        <f>IF(AW29&gt;CN$6,NA(),AW29)</f>
        <v/>
      </c>
      <c r="CP29" s="152">
        <f>IF(AW29&gt;CN$6,NA(),CN29)</f>
        <v/>
      </c>
    </row>
    <row r="30">
      <c r="B30" s="152" t="n">
        <v>19</v>
      </c>
      <c r="C30" s="152">
        <f>IF(F29&lt;=0.005,0,F29*(1+C$6))</f>
        <v/>
      </c>
      <c r="D30" s="152">
        <f>MIN(C30,C$7)</f>
        <v/>
      </c>
      <c r="E30" s="152">
        <f>MAX(0,MIN(C30-D30,AQ30))</f>
        <v/>
      </c>
      <c r="F30" s="152">
        <f>C30-D30-E30</f>
        <v/>
      </c>
      <c r="G30" s="152">
        <f>IF(J29&lt;=0.005,0,J29*(1+G$6))</f>
        <v/>
      </c>
      <c r="H30" s="152">
        <f>MIN(G30,G$7)</f>
        <v/>
      </c>
      <c r="I30" s="152">
        <f>MAX(0,MIN(G30-H30,AQ30-(E30)))</f>
        <v/>
      </c>
      <c r="J30" s="152">
        <f>G30-H30-I30</f>
        <v/>
      </c>
      <c r="K30" s="152">
        <f>IF(N29&lt;=0.005,0,N29*(1+K$6))</f>
        <v/>
      </c>
      <c r="L30" s="152">
        <f>MIN(K30,K$7)</f>
        <v/>
      </c>
      <c r="M30" s="152">
        <f>MAX(0,MIN(K30-L30,AQ30-(E30+I30)))</f>
        <v/>
      </c>
      <c r="N30" s="152">
        <f>K30-L30-M30</f>
        <v/>
      </c>
      <c r="O30" s="152">
        <f>IF(R29&lt;=0.005,0,R29*(1+O$6))</f>
        <v/>
      </c>
      <c r="P30" s="152">
        <f>MIN(O30,O$7)</f>
        <v/>
      </c>
      <c r="Q30" s="152">
        <f>MAX(0,MIN(O30-P30,AQ30-(E30+I30+M30)))</f>
        <v/>
      </c>
      <c r="R30" s="152">
        <f>O30-P30-Q30</f>
        <v/>
      </c>
      <c r="S30" s="152">
        <f>IF(V29&lt;=0.005,0,V29*(1+S$6))</f>
        <v/>
      </c>
      <c r="T30" s="152">
        <f>MIN(S30,S$7)</f>
        <v/>
      </c>
      <c r="U30" s="152">
        <f>MAX(0,MIN(S30-T30,AQ30-(E30+I30+M30+Q30)))</f>
        <v/>
      </c>
      <c r="V30" s="152">
        <f>S30-T30-U30</f>
        <v/>
      </c>
      <c r="W30" s="152">
        <f>IF(Z29&lt;=0.005,0,Z29*(1+W$6))</f>
        <v/>
      </c>
      <c r="X30" s="152">
        <f>MIN(W30,W$7)</f>
        <v/>
      </c>
      <c r="Y30" s="152">
        <f>MAX(0,MIN(W30-X30,AQ30-(E30+I30+M30+Q30+U30)))</f>
        <v/>
      </c>
      <c r="Z30" s="152">
        <f>W30-X30-Y30</f>
        <v/>
      </c>
      <c r="AA30" s="152">
        <f>IF(AD29&lt;=0.005,0,AD29*(1+AA$6))</f>
        <v/>
      </c>
      <c r="AB30" s="152">
        <f>MIN(AA30,AA$7)</f>
        <v/>
      </c>
      <c r="AC30" s="152">
        <f>MAX(0,MIN(AA30-AB30,AQ30-(E30+I30+M30+Q30+U30+Y30)))</f>
        <v/>
      </c>
      <c r="AD30" s="152">
        <f>AA30-AB30-AC30</f>
        <v/>
      </c>
      <c r="AE30" s="152">
        <f>IF(AH29&lt;=0.005,0,AH29*(1+AE$6))</f>
        <v/>
      </c>
      <c r="AF30" s="152">
        <f>MIN(AE30,AE$7)</f>
        <v/>
      </c>
      <c r="AG30" s="152">
        <f>MAX(0,MIN(AE30-AF30,AQ30-(E30+I30+M30+Q30+U30+Y30+AC30)))</f>
        <v/>
      </c>
      <c r="AH30" s="152">
        <f>AE30-AF30-AG30</f>
        <v/>
      </c>
      <c r="AI30" s="152">
        <f>IF(AL29&lt;=0.005,0,AL29*(1+AI$6))</f>
        <v/>
      </c>
      <c r="AJ30" s="152">
        <f>MIN(AI30,AI$7)</f>
        <v/>
      </c>
      <c r="AK30" s="152">
        <f>MAX(0,MIN(AI30-AJ30,AQ30-(E30+I30+M30+Q30+U30+Y30+AC30+AG30)))</f>
        <v/>
      </c>
      <c r="AL30" s="152">
        <f>AI30-AJ30-AK30</f>
        <v/>
      </c>
      <c r="AM30" s="152">
        <f>IF(AP29&lt;=0.005,0,AP29*(1+AM$6))</f>
        <v/>
      </c>
      <c r="AN30" s="152">
        <f>MIN(AM30,AM$7)</f>
        <v/>
      </c>
      <c r="AO30" s="152">
        <f>MAX(0,MIN(AM30-AN30,AQ30-(E30+I30+M30+Q30+U30+Y30+AC30+AG30+AK30)))</f>
        <v/>
      </c>
      <c r="AP30" s="152">
        <f>AM30-AN30-AO30</f>
        <v/>
      </c>
      <c r="AQ30" s="152">
        <f>'Debt Payoff'!$C$8-SUM(D30,H30,L30,P30,T30,X30,AB30,AF30,AJ30,AN30)</f>
        <v/>
      </c>
      <c r="AR30" s="152">
        <f>SUM(D30,H30,L30,P30,T30,X30,AB30,AF30,AJ30,AN30)+SUM(E30,I30,M30,Q30,U30,Y30,AC30,AG30,AK30,AO30)</f>
        <v/>
      </c>
      <c r="AS30" s="152">
        <f>SUM(F30,J30,N30,R30,V30,Z30,AD30,AH30,AL30,AP30)</f>
        <v/>
      </c>
      <c r="AT30" s="152">
        <f>IF(B30&gt;AS$6,NA(),B30)</f>
        <v/>
      </c>
      <c r="AU30" s="152">
        <f>IF(B30&gt;AS$6,NA(),AS30)</f>
        <v/>
      </c>
      <c r="AV30" s="152" t="n"/>
      <c r="AW30" s="152" t="n">
        <v>19</v>
      </c>
      <c r="AX30" s="152">
        <f>IF(BA29&lt;=0.005,0,BA29*(1+AX$6))</f>
        <v/>
      </c>
      <c r="AY30" s="152">
        <f>MIN(AX30,AX$7)</f>
        <v/>
      </c>
      <c r="AZ30" s="152">
        <f>MAX(0,MIN(AX30-AY30,CL30))</f>
        <v/>
      </c>
      <c r="BA30" s="152">
        <f>AX30-AY30-AZ30</f>
        <v/>
      </c>
      <c r="BB30" s="152">
        <f>IF(BE29&lt;=0.005,0,BE29*(1+BB$6))</f>
        <v/>
      </c>
      <c r="BC30" s="152">
        <f>MIN(BB30,BB$7)</f>
        <v/>
      </c>
      <c r="BD30" s="152">
        <f>MAX(0,MIN(BB30-BC30,CL30-(AZ30)))</f>
        <v/>
      </c>
      <c r="BE30" s="152">
        <f>BB30-BC30-BD30</f>
        <v/>
      </c>
      <c r="BF30" s="152">
        <f>IF(BI29&lt;=0.005,0,BI29*(1+BF$6))</f>
        <v/>
      </c>
      <c r="BG30" s="152">
        <f>MIN(BF30,BF$7)</f>
        <v/>
      </c>
      <c r="BH30" s="152">
        <f>MAX(0,MIN(BF30-BG30,CL30-(AZ30+BD30)))</f>
        <v/>
      </c>
      <c r="BI30" s="152">
        <f>BF30-BG30-BH30</f>
        <v/>
      </c>
      <c r="BJ30" s="152">
        <f>IF(BM29&lt;=0.005,0,BM29*(1+BJ$6))</f>
        <v/>
      </c>
      <c r="BK30" s="152">
        <f>MIN(BJ30,BJ$7)</f>
        <v/>
      </c>
      <c r="BL30" s="152">
        <f>MAX(0,MIN(BJ30-BK30,CL30-(AZ30+BD30+BH30)))</f>
        <v/>
      </c>
      <c r="BM30" s="152">
        <f>BJ30-BK30-BL30</f>
        <v/>
      </c>
      <c r="BN30" s="152">
        <f>IF(BQ29&lt;=0.005,0,BQ29*(1+BN$6))</f>
        <v/>
      </c>
      <c r="BO30" s="152">
        <f>MIN(BN30,BN$7)</f>
        <v/>
      </c>
      <c r="BP30" s="152">
        <f>MAX(0,MIN(BN30-BO30,CL30-(AZ30+BD30+BH30+BL30)))</f>
        <v/>
      </c>
      <c r="BQ30" s="152">
        <f>BN30-BO30-BP30</f>
        <v/>
      </c>
      <c r="BR30" s="152">
        <f>IF(BU29&lt;=0.005,0,BU29*(1+BR$6))</f>
        <v/>
      </c>
      <c r="BS30" s="152">
        <f>MIN(BR30,BR$7)</f>
        <v/>
      </c>
      <c r="BT30" s="152">
        <f>MAX(0,MIN(BR30-BS30,CL30-(AZ30+BD30+BH30+BL30+BP30)))</f>
        <v/>
      </c>
      <c r="BU30" s="152">
        <f>BR30-BS30-BT30</f>
        <v/>
      </c>
      <c r="BV30" s="152">
        <f>IF(BY29&lt;=0.005,0,BY29*(1+BV$6))</f>
        <v/>
      </c>
      <c r="BW30" s="152">
        <f>MIN(BV30,BV$7)</f>
        <v/>
      </c>
      <c r="BX30" s="152">
        <f>MAX(0,MIN(BV30-BW30,CL30-(AZ30+BD30+BH30+BL30+BP30+BT30)))</f>
        <v/>
      </c>
      <c r="BY30" s="152">
        <f>BV30-BW30-BX30</f>
        <v/>
      </c>
      <c r="BZ30" s="152">
        <f>IF(CC29&lt;=0.005,0,CC29*(1+BZ$6))</f>
        <v/>
      </c>
      <c r="CA30" s="152">
        <f>MIN(BZ30,BZ$7)</f>
        <v/>
      </c>
      <c r="CB30" s="152">
        <f>MAX(0,MIN(BZ30-CA30,CL30-(AZ30+BD30+BH30+BL30+BP30+BT30+BX30)))</f>
        <v/>
      </c>
      <c r="CC30" s="152">
        <f>BZ30-CA30-CB30</f>
        <v/>
      </c>
      <c r="CD30" s="152">
        <f>IF(CG29&lt;=0.005,0,CG29*(1+CD$6))</f>
        <v/>
      </c>
      <c r="CE30" s="152">
        <f>MIN(CD30,CD$7)</f>
        <v/>
      </c>
      <c r="CF30" s="152">
        <f>MAX(0,MIN(CD30-CE30,CL30-(AZ30+BD30+BH30+BL30+BP30+BT30+BX30+CB30)))</f>
        <v/>
      </c>
      <c r="CG30" s="152">
        <f>CD30-CE30-CF30</f>
        <v/>
      </c>
      <c r="CH30" s="152">
        <f>IF(CK29&lt;=0.005,0,CK29*(1+CH$6))</f>
        <v/>
      </c>
      <c r="CI30" s="152">
        <f>MIN(CH30,CH$7)</f>
        <v/>
      </c>
      <c r="CJ30" s="152">
        <f>MAX(0,MIN(CH30-CI30,CL30-(AZ30+BD30+BH30+BL30+BP30+BT30+BX30+CB30+CF30)))</f>
        <v/>
      </c>
      <c r="CK30" s="152">
        <f>CH30-CI30-CJ30</f>
        <v/>
      </c>
      <c r="CL30" s="152">
        <f>'Debt Payoff'!$C$8-SUM(AY30,BC30,BG30,BK30,BO30,BS30,BW30,CA30,CE30,CI30)</f>
        <v/>
      </c>
      <c r="CM30" s="152">
        <f>SUM(AY30,BC30,BG30,BK30,BO30,BS30,BW30,CA30,CE30,CI30)+SUM(AZ30,BD30,BH30,BL30,BP30,BT30,BX30,CB30,CF30,CJ30)</f>
        <v/>
      </c>
      <c r="CN30" s="152">
        <f>SUM(BA30,BE30,BI30,BM30,BQ30,BU30,BY30,CC30,CG30,CK30)</f>
        <v/>
      </c>
      <c r="CO30" s="152">
        <f>IF(AW30&gt;CN$6,NA(),AW30)</f>
        <v/>
      </c>
      <c r="CP30" s="152">
        <f>IF(AW30&gt;CN$6,NA(),CN30)</f>
        <v/>
      </c>
    </row>
    <row r="31">
      <c r="B31" s="152" t="n">
        <v>20</v>
      </c>
      <c r="C31" s="152">
        <f>IF(F30&lt;=0.005,0,F30*(1+C$6))</f>
        <v/>
      </c>
      <c r="D31" s="152">
        <f>MIN(C31,C$7)</f>
        <v/>
      </c>
      <c r="E31" s="152">
        <f>MAX(0,MIN(C31-D31,AQ31))</f>
        <v/>
      </c>
      <c r="F31" s="152">
        <f>C31-D31-E31</f>
        <v/>
      </c>
      <c r="G31" s="152">
        <f>IF(J30&lt;=0.005,0,J30*(1+G$6))</f>
        <v/>
      </c>
      <c r="H31" s="152">
        <f>MIN(G31,G$7)</f>
        <v/>
      </c>
      <c r="I31" s="152">
        <f>MAX(0,MIN(G31-H31,AQ31-(E31)))</f>
        <v/>
      </c>
      <c r="J31" s="152">
        <f>G31-H31-I31</f>
        <v/>
      </c>
      <c r="K31" s="152">
        <f>IF(N30&lt;=0.005,0,N30*(1+K$6))</f>
        <v/>
      </c>
      <c r="L31" s="152">
        <f>MIN(K31,K$7)</f>
        <v/>
      </c>
      <c r="M31" s="152">
        <f>MAX(0,MIN(K31-L31,AQ31-(E31+I31)))</f>
        <v/>
      </c>
      <c r="N31" s="152">
        <f>K31-L31-M31</f>
        <v/>
      </c>
      <c r="O31" s="152">
        <f>IF(R30&lt;=0.005,0,R30*(1+O$6))</f>
        <v/>
      </c>
      <c r="P31" s="152">
        <f>MIN(O31,O$7)</f>
        <v/>
      </c>
      <c r="Q31" s="152">
        <f>MAX(0,MIN(O31-P31,AQ31-(E31+I31+M31)))</f>
        <v/>
      </c>
      <c r="R31" s="152">
        <f>O31-P31-Q31</f>
        <v/>
      </c>
      <c r="S31" s="152">
        <f>IF(V30&lt;=0.005,0,V30*(1+S$6))</f>
        <v/>
      </c>
      <c r="T31" s="152">
        <f>MIN(S31,S$7)</f>
        <v/>
      </c>
      <c r="U31" s="152">
        <f>MAX(0,MIN(S31-T31,AQ31-(E31+I31+M31+Q31)))</f>
        <v/>
      </c>
      <c r="V31" s="152">
        <f>S31-T31-U31</f>
        <v/>
      </c>
      <c r="W31" s="152">
        <f>IF(Z30&lt;=0.005,0,Z30*(1+W$6))</f>
        <v/>
      </c>
      <c r="X31" s="152">
        <f>MIN(W31,W$7)</f>
        <v/>
      </c>
      <c r="Y31" s="152">
        <f>MAX(0,MIN(W31-X31,AQ31-(E31+I31+M31+Q31+U31)))</f>
        <v/>
      </c>
      <c r="Z31" s="152">
        <f>W31-X31-Y31</f>
        <v/>
      </c>
      <c r="AA31" s="152">
        <f>IF(AD30&lt;=0.005,0,AD30*(1+AA$6))</f>
        <v/>
      </c>
      <c r="AB31" s="152">
        <f>MIN(AA31,AA$7)</f>
        <v/>
      </c>
      <c r="AC31" s="152">
        <f>MAX(0,MIN(AA31-AB31,AQ31-(E31+I31+M31+Q31+U31+Y31)))</f>
        <v/>
      </c>
      <c r="AD31" s="152">
        <f>AA31-AB31-AC31</f>
        <v/>
      </c>
      <c r="AE31" s="152">
        <f>IF(AH30&lt;=0.005,0,AH30*(1+AE$6))</f>
        <v/>
      </c>
      <c r="AF31" s="152">
        <f>MIN(AE31,AE$7)</f>
        <v/>
      </c>
      <c r="AG31" s="152">
        <f>MAX(0,MIN(AE31-AF31,AQ31-(E31+I31+M31+Q31+U31+Y31+AC31)))</f>
        <v/>
      </c>
      <c r="AH31" s="152">
        <f>AE31-AF31-AG31</f>
        <v/>
      </c>
      <c r="AI31" s="152">
        <f>IF(AL30&lt;=0.005,0,AL30*(1+AI$6))</f>
        <v/>
      </c>
      <c r="AJ31" s="152">
        <f>MIN(AI31,AI$7)</f>
        <v/>
      </c>
      <c r="AK31" s="152">
        <f>MAX(0,MIN(AI31-AJ31,AQ31-(E31+I31+M31+Q31+U31+Y31+AC31+AG31)))</f>
        <v/>
      </c>
      <c r="AL31" s="152">
        <f>AI31-AJ31-AK31</f>
        <v/>
      </c>
      <c r="AM31" s="152">
        <f>IF(AP30&lt;=0.005,0,AP30*(1+AM$6))</f>
        <v/>
      </c>
      <c r="AN31" s="152">
        <f>MIN(AM31,AM$7)</f>
        <v/>
      </c>
      <c r="AO31" s="152">
        <f>MAX(0,MIN(AM31-AN31,AQ31-(E31+I31+M31+Q31+U31+Y31+AC31+AG31+AK31)))</f>
        <v/>
      </c>
      <c r="AP31" s="152">
        <f>AM31-AN31-AO31</f>
        <v/>
      </c>
      <c r="AQ31" s="152">
        <f>'Debt Payoff'!$C$8-SUM(D31,H31,L31,P31,T31,X31,AB31,AF31,AJ31,AN31)</f>
        <v/>
      </c>
      <c r="AR31" s="152">
        <f>SUM(D31,H31,L31,P31,T31,X31,AB31,AF31,AJ31,AN31)+SUM(E31,I31,M31,Q31,U31,Y31,AC31,AG31,AK31,AO31)</f>
        <v/>
      </c>
      <c r="AS31" s="152">
        <f>SUM(F31,J31,N31,R31,V31,Z31,AD31,AH31,AL31,AP31)</f>
        <v/>
      </c>
      <c r="AT31" s="152">
        <f>IF(B31&gt;AS$6,NA(),B31)</f>
        <v/>
      </c>
      <c r="AU31" s="152">
        <f>IF(B31&gt;AS$6,NA(),AS31)</f>
        <v/>
      </c>
      <c r="AV31" s="152" t="n"/>
      <c r="AW31" s="152" t="n">
        <v>20</v>
      </c>
      <c r="AX31" s="152">
        <f>IF(BA30&lt;=0.005,0,BA30*(1+AX$6))</f>
        <v/>
      </c>
      <c r="AY31" s="152">
        <f>MIN(AX31,AX$7)</f>
        <v/>
      </c>
      <c r="AZ31" s="152">
        <f>MAX(0,MIN(AX31-AY31,CL31))</f>
        <v/>
      </c>
      <c r="BA31" s="152">
        <f>AX31-AY31-AZ31</f>
        <v/>
      </c>
      <c r="BB31" s="152">
        <f>IF(BE30&lt;=0.005,0,BE30*(1+BB$6))</f>
        <v/>
      </c>
      <c r="BC31" s="152">
        <f>MIN(BB31,BB$7)</f>
        <v/>
      </c>
      <c r="BD31" s="152">
        <f>MAX(0,MIN(BB31-BC31,CL31-(AZ31)))</f>
        <v/>
      </c>
      <c r="BE31" s="152">
        <f>BB31-BC31-BD31</f>
        <v/>
      </c>
      <c r="BF31" s="152">
        <f>IF(BI30&lt;=0.005,0,BI30*(1+BF$6))</f>
        <v/>
      </c>
      <c r="BG31" s="152">
        <f>MIN(BF31,BF$7)</f>
        <v/>
      </c>
      <c r="BH31" s="152">
        <f>MAX(0,MIN(BF31-BG31,CL31-(AZ31+BD31)))</f>
        <v/>
      </c>
      <c r="BI31" s="152">
        <f>BF31-BG31-BH31</f>
        <v/>
      </c>
      <c r="BJ31" s="152">
        <f>IF(BM30&lt;=0.005,0,BM30*(1+BJ$6))</f>
        <v/>
      </c>
      <c r="BK31" s="152">
        <f>MIN(BJ31,BJ$7)</f>
        <v/>
      </c>
      <c r="BL31" s="152">
        <f>MAX(0,MIN(BJ31-BK31,CL31-(AZ31+BD31+BH31)))</f>
        <v/>
      </c>
      <c r="BM31" s="152">
        <f>BJ31-BK31-BL31</f>
        <v/>
      </c>
      <c r="BN31" s="152">
        <f>IF(BQ30&lt;=0.005,0,BQ30*(1+BN$6))</f>
        <v/>
      </c>
      <c r="BO31" s="152">
        <f>MIN(BN31,BN$7)</f>
        <v/>
      </c>
      <c r="BP31" s="152">
        <f>MAX(0,MIN(BN31-BO31,CL31-(AZ31+BD31+BH31+BL31)))</f>
        <v/>
      </c>
      <c r="BQ31" s="152">
        <f>BN31-BO31-BP31</f>
        <v/>
      </c>
      <c r="BR31" s="152">
        <f>IF(BU30&lt;=0.005,0,BU30*(1+BR$6))</f>
        <v/>
      </c>
      <c r="BS31" s="152">
        <f>MIN(BR31,BR$7)</f>
        <v/>
      </c>
      <c r="BT31" s="152">
        <f>MAX(0,MIN(BR31-BS31,CL31-(AZ31+BD31+BH31+BL31+BP31)))</f>
        <v/>
      </c>
      <c r="BU31" s="152">
        <f>BR31-BS31-BT31</f>
        <v/>
      </c>
      <c r="BV31" s="152">
        <f>IF(BY30&lt;=0.005,0,BY30*(1+BV$6))</f>
        <v/>
      </c>
      <c r="BW31" s="152">
        <f>MIN(BV31,BV$7)</f>
        <v/>
      </c>
      <c r="BX31" s="152">
        <f>MAX(0,MIN(BV31-BW31,CL31-(AZ31+BD31+BH31+BL31+BP31+BT31)))</f>
        <v/>
      </c>
      <c r="BY31" s="152">
        <f>BV31-BW31-BX31</f>
        <v/>
      </c>
      <c r="BZ31" s="152">
        <f>IF(CC30&lt;=0.005,0,CC30*(1+BZ$6))</f>
        <v/>
      </c>
      <c r="CA31" s="152">
        <f>MIN(BZ31,BZ$7)</f>
        <v/>
      </c>
      <c r="CB31" s="152">
        <f>MAX(0,MIN(BZ31-CA31,CL31-(AZ31+BD31+BH31+BL31+BP31+BT31+BX31)))</f>
        <v/>
      </c>
      <c r="CC31" s="152">
        <f>BZ31-CA31-CB31</f>
        <v/>
      </c>
      <c r="CD31" s="152">
        <f>IF(CG30&lt;=0.005,0,CG30*(1+CD$6))</f>
        <v/>
      </c>
      <c r="CE31" s="152">
        <f>MIN(CD31,CD$7)</f>
        <v/>
      </c>
      <c r="CF31" s="152">
        <f>MAX(0,MIN(CD31-CE31,CL31-(AZ31+BD31+BH31+BL31+BP31+BT31+BX31+CB31)))</f>
        <v/>
      </c>
      <c r="CG31" s="152">
        <f>CD31-CE31-CF31</f>
        <v/>
      </c>
      <c r="CH31" s="152">
        <f>IF(CK30&lt;=0.005,0,CK30*(1+CH$6))</f>
        <v/>
      </c>
      <c r="CI31" s="152">
        <f>MIN(CH31,CH$7)</f>
        <v/>
      </c>
      <c r="CJ31" s="152">
        <f>MAX(0,MIN(CH31-CI31,CL31-(AZ31+BD31+BH31+BL31+BP31+BT31+BX31+CB31+CF31)))</f>
        <v/>
      </c>
      <c r="CK31" s="152">
        <f>CH31-CI31-CJ31</f>
        <v/>
      </c>
      <c r="CL31" s="152">
        <f>'Debt Payoff'!$C$8-SUM(AY31,BC31,BG31,BK31,BO31,BS31,BW31,CA31,CE31,CI31)</f>
        <v/>
      </c>
      <c r="CM31" s="152">
        <f>SUM(AY31,BC31,BG31,BK31,BO31,BS31,BW31,CA31,CE31,CI31)+SUM(AZ31,BD31,BH31,BL31,BP31,BT31,BX31,CB31,CF31,CJ31)</f>
        <v/>
      </c>
      <c r="CN31" s="152">
        <f>SUM(BA31,BE31,BI31,BM31,BQ31,BU31,BY31,CC31,CG31,CK31)</f>
        <v/>
      </c>
      <c r="CO31" s="152">
        <f>IF(AW31&gt;CN$6,NA(),AW31)</f>
        <v/>
      </c>
      <c r="CP31" s="152">
        <f>IF(AW31&gt;CN$6,NA(),CN31)</f>
        <v/>
      </c>
    </row>
    <row r="32">
      <c r="B32" s="152" t="n">
        <v>21</v>
      </c>
      <c r="C32" s="152">
        <f>IF(F31&lt;=0.005,0,F31*(1+C$6))</f>
        <v/>
      </c>
      <c r="D32" s="152">
        <f>MIN(C32,C$7)</f>
        <v/>
      </c>
      <c r="E32" s="152">
        <f>MAX(0,MIN(C32-D32,AQ32))</f>
        <v/>
      </c>
      <c r="F32" s="152">
        <f>C32-D32-E32</f>
        <v/>
      </c>
      <c r="G32" s="152">
        <f>IF(J31&lt;=0.005,0,J31*(1+G$6))</f>
        <v/>
      </c>
      <c r="H32" s="152">
        <f>MIN(G32,G$7)</f>
        <v/>
      </c>
      <c r="I32" s="152">
        <f>MAX(0,MIN(G32-H32,AQ32-(E32)))</f>
        <v/>
      </c>
      <c r="J32" s="152">
        <f>G32-H32-I32</f>
        <v/>
      </c>
      <c r="K32" s="152">
        <f>IF(N31&lt;=0.005,0,N31*(1+K$6))</f>
        <v/>
      </c>
      <c r="L32" s="152">
        <f>MIN(K32,K$7)</f>
        <v/>
      </c>
      <c r="M32" s="152">
        <f>MAX(0,MIN(K32-L32,AQ32-(E32+I32)))</f>
        <v/>
      </c>
      <c r="N32" s="152">
        <f>K32-L32-M32</f>
        <v/>
      </c>
      <c r="O32" s="152">
        <f>IF(R31&lt;=0.005,0,R31*(1+O$6))</f>
        <v/>
      </c>
      <c r="P32" s="152">
        <f>MIN(O32,O$7)</f>
        <v/>
      </c>
      <c r="Q32" s="152">
        <f>MAX(0,MIN(O32-P32,AQ32-(E32+I32+M32)))</f>
        <v/>
      </c>
      <c r="R32" s="152">
        <f>O32-P32-Q32</f>
        <v/>
      </c>
      <c r="S32" s="152">
        <f>IF(V31&lt;=0.005,0,V31*(1+S$6))</f>
        <v/>
      </c>
      <c r="T32" s="152">
        <f>MIN(S32,S$7)</f>
        <v/>
      </c>
      <c r="U32" s="152">
        <f>MAX(0,MIN(S32-T32,AQ32-(E32+I32+M32+Q32)))</f>
        <v/>
      </c>
      <c r="V32" s="152">
        <f>S32-T32-U32</f>
        <v/>
      </c>
      <c r="W32" s="152">
        <f>IF(Z31&lt;=0.005,0,Z31*(1+W$6))</f>
        <v/>
      </c>
      <c r="X32" s="152">
        <f>MIN(W32,W$7)</f>
        <v/>
      </c>
      <c r="Y32" s="152">
        <f>MAX(0,MIN(W32-X32,AQ32-(E32+I32+M32+Q32+U32)))</f>
        <v/>
      </c>
      <c r="Z32" s="152">
        <f>W32-X32-Y32</f>
        <v/>
      </c>
      <c r="AA32" s="152">
        <f>IF(AD31&lt;=0.005,0,AD31*(1+AA$6))</f>
        <v/>
      </c>
      <c r="AB32" s="152">
        <f>MIN(AA32,AA$7)</f>
        <v/>
      </c>
      <c r="AC32" s="152">
        <f>MAX(0,MIN(AA32-AB32,AQ32-(E32+I32+M32+Q32+U32+Y32)))</f>
        <v/>
      </c>
      <c r="AD32" s="152">
        <f>AA32-AB32-AC32</f>
        <v/>
      </c>
      <c r="AE32" s="152">
        <f>IF(AH31&lt;=0.005,0,AH31*(1+AE$6))</f>
        <v/>
      </c>
      <c r="AF32" s="152">
        <f>MIN(AE32,AE$7)</f>
        <v/>
      </c>
      <c r="AG32" s="152">
        <f>MAX(0,MIN(AE32-AF32,AQ32-(E32+I32+M32+Q32+U32+Y32+AC32)))</f>
        <v/>
      </c>
      <c r="AH32" s="152">
        <f>AE32-AF32-AG32</f>
        <v/>
      </c>
      <c r="AI32" s="152">
        <f>IF(AL31&lt;=0.005,0,AL31*(1+AI$6))</f>
        <v/>
      </c>
      <c r="AJ32" s="152">
        <f>MIN(AI32,AI$7)</f>
        <v/>
      </c>
      <c r="AK32" s="152">
        <f>MAX(0,MIN(AI32-AJ32,AQ32-(E32+I32+M32+Q32+U32+Y32+AC32+AG32)))</f>
        <v/>
      </c>
      <c r="AL32" s="152">
        <f>AI32-AJ32-AK32</f>
        <v/>
      </c>
      <c r="AM32" s="152">
        <f>IF(AP31&lt;=0.005,0,AP31*(1+AM$6))</f>
        <v/>
      </c>
      <c r="AN32" s="152">
        <f>MIN(AM32,AM$7)</f>
        <v/>
      </c>
      <c r="AO32" s="152">
        <f>MAX(0,MIN(AM32-AN32,AQ32-(E32+I32+M32+Q32+U32+Y32+AC32+AG32+AK32)))</f>
        <v/>
      </c>
      <c r="AP32" s="152">
        <f>AM32-AN32-AO32</f>
        <v/>
      </c>
      <c r="AQ32" s="152">
        <f>'Debt Payoff'!$C$8-SUM(D32,H32,L32,P32,T32,X32,AB32,AF32,AJ32,AN32)</f>
        <v/>
      </c>
      <c r="AR32" s="152">
        <f>SUM(D32,H32,L32,P32,T32,X32,AB32,AF32,AJ32,AN32)+SUM(E32,I32,M32,Q32,U32,Y32,AC32,AG32,AK32,AO32)</f>
        <v/>
      </c>
      <c r="AS32" s="152">
        <f>SUM(F32,J32,N32,R32,V32,Z32,AD32,AH32,AL32,AP32)</f>
        <v/>
      </c>
      <c r="AT32" s="152">
        <f>IF(B32&gt;AS$6,NA(),B32)</f>
        <v/>
      </c>
      <c r="AU32" s="152">
        <f>IF(B32&gt;AS$6,NA(),AS32)</f>
        <v/>
      </c>
      <c r="AV32" s="152" t="n"/>
      <c r="AW32" s="152" t="n">
        <v>21</v>
      </c>
      <c r="AX32" s="152">
        <f>IF(BA31&lt;=0.005,0,BA31*(1+AX$6))</f>
        <v/>
      </c>
      <c r="AY32" s="152">
        <f>MIN(AX32,AX$7)</f>
        <v/>
      </c>
      <c r="AZ32" s="152">
        <f>MAX(0,MIN(AX32-AY32,CL32))</f>
        <v/>
      </c>
      <c r="BA32" s="152">
        <f>AX32-AY32-AZ32</f>
        <v/>
      </c>
      <c r="BB32" s="152">
        <f>IF(BE31&lt;=0.005,0,BE31*(1+BB$6))</f>
        <v/>
      </c>
      <c r="BC32" s="152">
        <f>MIN(BB32,BB$7)</f>
        <v/>
      </c>
      <c r="BD32" s="152">
        <f>MAX(0,MIN(BB32-BC32,CL32-(AZ32)))</f>
        <v/>
      </c>
      <c r="BE32" s="152">
        <f>BB32-BC32-BD32</f>
        <v/>
      </c>
      <c r="BF32" s="152">
        <f>IF(BI31&lt;=0.005,0,BI31*(1+BF$6))</f>
        <v/>
      </c>
      <c r="BG32" s="152">
        <f>MIN(BF32,BF$7)</f>
        <v/>
      </c>
      <c r="BH32" s="152">
        <f>MAX(0,MIN(BF32-BG32,CL32-(AZ32+BD32)))</f>
        <v/>
      </c>
      <c r="BI32" s="152">
        <f>BF32-BG32-BH32</f>
        <v/>
      </c>
      <c r="BJ32" s="152">
        <f>IF(BM31&lt;=0.005,0,BM31*(1+BJ$6))</f>
        <v/>
      </c>
      <c r="BK32" s="152">
        <f>MIN(BJ32,BJ$7)</f>
        <v/>
      </c>
      <c r="BL32" s="152">
        <f>MAX(0,MIN(BJ32-BK32,CL32-(AZ32+BD32+BH32)))</f>
        <v/>
      </c>
      <c r="BM32" s="152">
        <f>BJ32-BK32-BL32</f>
        <v/>
      </c>
      <c r="BN32" s="152">
        <f>IF(BQ31&lt;=0.005,0,BQ31*(1+BN$6))</f>
        <v/>
      </c>
      <c r="BO32" s="152">
        <f>MIN(BN32,BN$7)</f>
        <v/>
      </c>
      <c r="BP32" s="152">
        <f>MAX(0,MIN(BN32-BO32,CL32-(AZ32+BD32+BH32+BL32)))</f>
        <v/>
      </c>
      <c r="BQ32" s="152">
        <f>BN32-BO32-BP32</f>
        <v/>
      </c>
      <c r="BR32" s="152">
        <f>IF(BU31&lt;=0.005,0,BU31*(1+BR$6))</f>
        <v/>
      </c>
      <c r="BS32" s="152">
        <f>MIN(BR32,BR$7)</f>
        <v/>
      </c>
      <c r="BT32" s="152">
        <f>MAX(0,MIN(BR32-BS32,CL32-(AZ32+BD32+BH32+BL32+BP32)))</f>
        <v/>
      </c>
      <c r="BU32" s="152">
        <f>BR32-BS32-BT32</f>
        <v/>
      </c>
      <c r="BV32" s="152">
        <f>IF(BY31&lt;=0.005,0,BY31*(1+BV$6))</f>
        <v/>
      </c>
      <c r="BW32" s="152">
        <f>MIN(BV32,BV$7)</f>
        <v/>
      </c>
      <c r="BX32" s="152">
        <f>MAX(0,MIN(BV32-BW32,CL32-(AZ32+BD32+BH32+BL32+BP32+BT32)))</f>
        <v/>
      </c>
      <c r="BY32" s="152">
        <f>BV32-BW32-BX32</f>
        <v/>
      </c>
      <c r="BZ32" s="152">
        <f>IF(CC31&lt;=0.005,0,CC31*(1+BZ$6))</f>
        <v/>
      </c>
      <c r="CA32" s="152">
        <f>MIN(BZ32,BZ$7)</f>
        <v/>
      </c>
      <c r="CB32" s="152">
        <f>MAX(0,MIN(BZ32-CA32,CL32-(AZ32+BD32+BH32+BL32+BP32+BT32+BX32)))</f>
        <v/>
      </c>
      <c r="CC32" s="152">
        <f>BZ32-CA32-CB32</f>
        <v/>
      </c>
      <c r="CD32" s="152">
        <f>IF(CG31&lt;=0.005,0,CG31*(1+CD$6))</f>
        <v/>
      </c>
      <c r="CE32" s="152">
        <f>MIN(CD32,CD$7)</f>
        <v/>
      </c>
      <c r="CF32" s="152">
        <f>MAX(0,MIN(CD32-CE32,CL32-(AZ32+BD32+BH32+BL32+BP32+BT32+BX32+CB32)))</f>
        <v/>
      </c>
      <c r="CG32" s="152">
        <f>CD32-CE32-CF32</f>
        <v/>
      </c>
      <c r="CH32" s="152">
        <f>IF(CK31&lt;=0.005,0,CK31*(1+CH$6))</f>
        <v/>
      </c>
      <c r="CI32" s="152">
        <f>MIN(CH32,CH$7)</f>
        <v/>
      </c>
      <c r="CJ32" s="152">
        <f>MAX(0,MIN(CH32-CI32,CL32-(AZ32+BD32+BH32+BL32+BP32+BT32+BX32+CB32+CF32)))</f>
        <v/>
      </c>
      <c r="CK32" s="152">
        <f>CH32-CI32-CJ32</f>
        <v/>
      </c>
      <c r="CL32" s="152">
        <f>'Debt Payoff'!$C$8-SUM(AY32,BC32,BG32,BK32,BO32,BS32,BW32,CA32,CE32,CI32)</f>
        <v/>
      </c>
      <c r="CM32" s="152">
        <f>SUM(AY32,BC32,BG32,BK32,BO32,BS32,BW32,CA32,CE32,CI32)+SUM(AZ32,BD32,BH32,BL32,BP32,BT32,BX32,CB32,CF32,CJ32)</f>
        <v/>
      </c>
      <c r="CN32" s="152">
        <f>SUM(BA32,BE32,BI32,BM32,BQ32,BU32,BY32,CC32,CG32,CK32)</f>
        <v/>
      </c>
      <c r="CO32" s="152">
        <f>IF(AW32&gt;CN$6,NA(),AW32)</f>
        <v/>
      </c>
      <c r="CP32" s="152">
        <f>IF(AW32&gt;CN$6,NA(),CN32)</f>
        <v/>
      </c>
    </row>
    <row r="33">
      <c r="B33" s="152" t="n">
        <v>22</v>
      </c>
      <c r="C33" s="152">
        <f>IF(F32&lt;=0.005,0,F32*(1+C$6))</f>
        <v/>
      </c>
      <c r="D33" s="152">
        <f>MIN(C33,C$7)</f>
        <v/>
      </c>
      <c r="E33" s="152">
        <f>MAX(0,MIN(C33-D33,AQ33))</f>
        <v/>
      </c>
      <c r="F33" s="152">
        <f>C33-D33-E33</f>
        <v/>
      </c>
      <c r="G33" s="152">
        <f>IF(J32&lt;=0.005,0,J32*(1+G$6))</f>
        <v/>
      </c>
      <c r="H33" s="152">
        <f>MIN(G33,G$7)</f>
        <v/>
      </c>
      <c r="I33" s="152">
        <f>MAX(0,MIN(G33-H33,AQ33-(E33)))</f>
        <v/>
      </c>
      <c r="J33" s="152">
        <f>G33-H33-I33</f>
        <v/>
      </c>
      <c r="K33" s="152">
        <f>IF(N32&lt;=0.005,0,N32*(1+K$6))</f>
        <v/>
      </c>
      <c r="L33" s="152">
        <f>MIN(K33,K$7)</f>
        <v/>
      </c>
      <c r="M33" s="152">
        <f>MAX(0,MIN(K33-L33,AQ33-(E33+I33)))</f>
        <v/>
      </c>
      <c r="N33" s="152">
        <f>K33-L33-M33</f>
        <v/>
      </c>
      <c r="O33" s="152">
        <f>IF(R32&lt;=0.005,0,R32*(1+O$6))</f>
        <v/>
      </c>
      <c r="P33" s="152">
        <f>MIN(O33,O$7)</f>
        <v/>
      </c>
      <c r="Q33" s="152">
        <f>MAX(0,MIN(O33-P33,AQ33-(E33+I33+M33)))</f>
        <v/>
      </c>
      <c r="R33" s="152">
        <f>O33-P33-Q33</f>
        <v/>
      </c>
      <c r="S33" s="152">
        <f>IF(V32&lt;=0.005,0,V32*(1+S$6))</f>
        <v/>
      </c>
      <c r="T33" s="152">
        <f>MIN(S33,S$7)</f>
        <v/>
      </c>
      <c r="U33" s="152">
        <f>MAX(0,MIN(S33-T33,AQ33-(E33+I33+M33+Q33)))</f>
        <v/>
      </c>
      <c r="V33" s="152">
        <f>S33-T33-U33</f>
        <v/>
      </c>
      <c r="W33" s="152">
        <f>IF(Z32&lt;=0.005,0,Z32*(1+W$6))</f>
        <v/>
      </c>
      <c r="X33" s="152">
        <f>MIN(W33,W$7)</f>
        <v/>
      </c>
      <c r="Y33" s="152">
        <f>MAX(0,MIN(W33-X33,AQ33-(E33+I33+M33+Q33+U33)))</f>
        <v/>
      </c>
      <c r="Z33" s="152">
        <f>W33-X33-Y33</f>
        <v/>
      </c>
      <c r="AA33" s="152">
        <f>IF(AD32&lt;=0.005,0,AD32*(1+AA$6))</f>
        <v/>
      </c>
      <c r="AB33" s="152">
        <f>MIN(AA33,AA$7)</f>
        <v/>
      </c>
      <c r="AC33" s="152">
        <f>MAX(0,MIN(AA33-AB33,AQ33-(E33+I33+M33+Q33+U33+Y33)))</f>
        <v/>
      </c>
      <c r="AD33" s="152">
        <f>AA33-AB33-AC33</f>
        <v/>
      </c>
      <c r="AE33" s="152">
        <f>IF(AH32&lt;=0.005,0,AH32*(1+AE$6))</f>
        <v/>
      </c>
      <c r="AF33" s="152">
        <f>MIN(AE33,AE$7)</f>
        <v/>
      </c>
      <c r="AG33" s="152">
        <f>MAX(0,MIN(AE33-AF33,AQ33-(E33+I33+M33+Q33+U33+Y33+AC33)))</f>
        <v/>
      </c>
      <c r="AH33" s="152">
        <f>AE33-AF33-AG33</f>
        <v/>
      </c>
      <c r="AI33" s="152">
        <f>IF(AL32&lt;=0.005,0,AL32*(1+AI$6))</f>
        <v/>
      </c>
      <c r="AJ33" s="152">
        <f>MIN(AI33,AI$7)</f>
        <v/>
      </c>
      <c r="AK33" s="152">
        <f>MAX(0,MIN(AI33-AJ33,AQ33-(E33+I33+M33+Q33+U33+Y33+AC33+AG33)))</f>
        <v/>
      </c>
      <c r="AL33" s="152">
        <f>AI33-AJ33-AK33</f>
        <v/>
      </c>
      <c r="AM33" s="152">
        <f>IF(AP32&lt;=0.005,0,AP32*(1+AM$6))</f>
        <v/>
      </c>
      <c r="AN33" s="152">
        <f>MIN(AM33,AM$7)</f>
        <v/>
      </c>
      <c r="AO33" s="152">
        <f>MAX(0,MIN(AM33-AN33,AQ33-(E33+I33+M33+Q33+U33+Y33+AC33+AG33+AK33)))</f>
        <v/>
      </c>
      <c r="AP33" s="152">
        <f>AM33-AN33-AO33</f>
        <v/>
      </c>
      <c r="AQ33" s="152">
        <f>'Debt Payoff'!$C$8-SUM(D33,H33,L33,P33,T33,X33,AB33,AF33,AJ33,AN33)</f>
        <v/>
      </c>
      <c r="AR33" s="152">
        <f>SUM(D33,H33,L33,P33,T33,X33,AB33,AF33,AJ33,AN33)+SUM(E33,I33,M33,Q33,U33,Y33,AC33,AG33,AK33,AO33)</f>
        <v/>
      </c>
      <c r="AS33" s="152">
        <f>SUM(F33,J33,N33,R33,V33,Z33,AD33,AH33,AL33,AP33)</f>
        <v/>
      </c>
      <c r="AT33" s="152">
        <f>IF(B33&gt;AS$6,NA(),B33)</f>
        <v/>
      </c>
      <c r="AU33" s="152">
        <f>IF(B33&gt;AS$6,NA(),AS33)</f>
        <v/>
      </c>
      <c r="AV33" s="152" t="n"/>
      <c r="AW33" s="152" t="n">
        <v>22</v>
      </c>
      <c r="AX33" s="152">
        <f>IF(BA32&lt;=0.005,0,BA32*(1+AX$6))</f>
        <v/>
      </c>
      <c r="AY33" s="152">
        <f>MIN(AX33,AX$7)</f>
        <v/>
      </c>
      <c r="AZ33" s="152">
        <f>MAX(0,MIN(AX33-AY33,CL33))</f>
        <v/>
      </c>
      <c r="BA33" s="152">
        <f>AX33-AY33-AZ33</f>
        <v/>
      </c>
      <c r="BB33" s="152">
        <f>IF(BE32&lt;=0.005,0,BE32*(1+BB$6))</f>
        <v/>
      </c>
      <c r="BC33" s="152">
        <f>MIN(BB33,BB$7)</f>
        <v/>
      </c>
      <c r="BD33" s="152">
        <f>MAX(0,MIN(BB33-BC33,CL33-(AZ33)))</f>
        <v/>
      </c>
      <c r="BE33" s="152">
        <f>BB33-BC33-BD33</f>
        <v/>
      </c>
      <c r="BF33" s="152">
        <f>IF(BI32&lt;=0.005,0,BI32*(1+BF$6))</f>
        <v/>
      </c>
      <c r="BG33" s="152">
        <f>MIN(BF33,BF$7)</f>
        <v/>
      </c>
      <c r="BH33" s="152">
        <f>MAX(0,MIN(BF33-BG33,CL33-(AZ33+BD33)))</f>
        <v/>
      </c>
      <c r="BI33" s="152">
        <f>BF33-BG33-BH33</f>
        <v/>
      </c>
      <c r="BJ33" s="152">
        <f>IF(BM32&lt;=0.005,0,BM32*(1+BJ$6))</f>
        <v/>
      </c>
      <c r="BK33" s="152">
        <f>MIN(BJ33,BJ$7)</f>
        <v/>
      </c>
      <c r="BL33" s="152">
        <f>MAX(0,MIN(BJ33-BK33,CL33-(AZ33+BD33+BH33)))</f>
        <v/>
      </c>
      <c r="BM33" s="152">
        <f>BJ33-BK33-BL33</f>
        <v/>
      </c>
      <c r="BN33" s="152">
        <f>IF(BQ32&lt;=0.005,0,BQ32*(1+BN$6))</f>
        <v/>
      </c>
      <c r="BO33" s="152">
        <f>MIN(BN33,BN$7)</f>
        <v/>
      </c>
      <c r="BP33" s="152">
        <f>MAX(0,MIN(BN33-BO33,CL33-(AZ33+BD33+BH33+BL33)))</f>
        <v/>
      </c>
      <c r="BQ33" s="152">
        <f>BN33-BO33-BP33</f>
        <v/>
      </c>
      <c r="BR33" s="152">
        <f>IF(BU32&lt;=0.005,0,BU32*(1+BR$6))</f>
        <v/>
      </c>
      <c r="BS33" s="152">
        <f>MIN(BR33,BR$7)</f>
        <v/>
      </c>
      <c r="BT33" s="152">
        <f>MAX(0,MIN(BR33-BS33,CL33-(AZ33+BD33+BH33+BL33+BP33)))</f>
        <v/>
      </c>
      <c r="BU33" s="152">
        <f>BR33-BS33-BT33</f>
        <v/>
      </c>
      <c r="BV33" s="152">
        <f>IF(BY32&lt;=0.005,0,BY32*(1+BV$6))</f>
        <v/>
      </c>
      <c r="BW33" s="152">
        <f>MIN(BV33,BV$7)</f>
        <v/>
      </c>
      <c r="BX33" s="152">
        <f>MAX(0,MIN(BV33-BW33,CL33-(AZ33+BD33+BH33+BL33+BP33+BT33)))</f>
        <v/>
      </c>
      <c r="BY33" s="152">
        <f>BV33-BW33-BX33</f>
        <v/>
      </c>
      <c r="BZ33" s="152">
        <f>IF(CC32&lt;=0.005,0,CC32*(1+BZ$6))</f>
        <v/>
      </c>
      <c r="CA33" s="152">
        <f>MIN(BZ33,BZ$7)</f>
        <v/>
      </c>
      <c r="CB33" s="152">
        <f>MAX(0,MIN(BZ33-CA33,CL33-(AZ33+BD33+BH33+BL33+BP33+BT33+BX33)))</f>
        <v/>
      </c>
      <c r="CC33" s="152">
        <f>BZ33-CA33-CB33</f>
        <v/>
      </c>
      <c r="CD33" s="152">
        <f>IF(CG32&lt;=0.005,0,CG32*(1+CD$6))</f>
        <v/>
      </c>
      <c r="CE33" s="152">
        <f>MIN(CD33,CD$7)</f>
        <v/>
      </c>
      <c r="CF33" s="152">
        <f>MAX(0,MIN(CD33-CE33,CL33-(AZ33+BD33+BH33+BL33+BP33+BT33+BX33+CB33)))</f>
        <v/>
      </c>
      <c r="CG33" s="152">
        <f>CD33-CE33-CF33</f>
        <v/>
      </c>
      <c r="CH33" s="152">
        <f>IF(CK32&lt;=0.005,0,CK32*(1+CH$6))</f>
        <v/>
      </c>
      <c r="CI33" s="152">
        <f>MIN(CH33,CH$7)</f>
        <v/>
      </c>
      <c r="CJ33" s="152">
        <f>MAX(0,MIN(CH33-CI33,CL33-(AZ33+BD33+BH33+BL33+BP33+BT33+BX33+CB33+CF33)))</f>
        <v/>
      </c>
      <c r="CK33" s="152">
        <f>CH33-CI33-CJ33</f>
        <v/>
      </c>
      <c r="CL33" s="152">
        <f>'Debt Payoff'!$C$8-SUM(AY33,BC33,BG33,BK33,BO33,BS33,BW33,CA33,CE33,CI33)</f>
        <v/>
      </c>
      <c r="CM33" s="152">
        <f>SUM(AY33,BC33,BG33,BK33,BO33,BS33,BW33,CA33,CE33,CI33)+SUM(AZ33,BD33,BH33,BL33,BP33,BT33,BX33,CB33,CF33,CJ33)</f>
        <v/>
      </c>
      <c r="CN33" s="152">
        <f>SUM(BA33,BE33,BI33,BM33,BQ33,BU33,BY33,CC33,CG33,CK33)</f>
        <v/>
      </c>
      <c r="CO33" s="152">
        <f>IF(AW33&gt;CN$6,NA(),AW33)</f>
        <v/>
      </c>
      <c r="CP33" s="152">
        <f>IF(AW33&gt;CN$6,NA(),CN33)</f>
        <v/>
      </c>
    </row>
    <row r="34">
      <c r="B34" s="152" t="n">
        <v>23</v>
      </c>
      <c r="C34" s="152">
        <f>IF(F33&lt;=0.005,0,F33*(1+C$6))</f>
        <v/>
      </c>
      <c r="D34" s="152">
        <f>MIN(C34,C$7)</f>
        <v/>
      </c>
      <c r="E34" s="152">
        <f>MAX(0,MIN(C34-D34,AQ34))</f>
        <v/>
      </c>
      <c r="F34" s="152">
        <f>C34-D34-E34</f>
        <v/>
      </c>
      <c r="G34" s="152">
        <f>IF(J33&lt;=0.005,0,J33*(1+G$6))</f>
        <v/>
      </c>
      <c r="H34" s="152">
        <f>MIN(G34,G$7)</f>
        <v/>
      </c>
      <c r="I34" s="152">
        <f>MAX(0,MIN(G34-H34,AQ34-(E34)))</f>
        <v/>
      </c>
      <c r="J34" s="152">
        <f>G34-H34-I34</f>
        <v/>
      </c>
      <c r="K34" s="152">
        <f>IF(N33&lt;=0.005,0,N33*(1+K$6))</f>
        <v/>
      </c>
      <c r="L34" s="152">
        <f>MIN(K34,K$7)</f>
        <v/>
      </c>
      <c r="M34" s="152">
        <f>MAX(0,MIN(K34-L34,AQ34-(E34+I34)))</f>
        <v/>
      </c>
      <c r="N34" s="152">
        <f>K34-L34-M34</f>
        <v/>
      </c>
      <c r="O34" s="152">
        <f>IF(R33&lt;=0.005,0,R33*(1+O$6))</f>
        <v/>
      </c>
      <c r="P34" s="152">
        <f>MIN(O34,O$7)</f>
        <v/>
      </c>
      <c r="Q34" s="152">
        <f>MAX(0,MIN(O34-P34,AQ34-(E34+I34+M34)))</f>
        <v/>
      </c>
      <c r="R34" s="152">
        <f>O34-P34-Q34</f>
        <v/>
      </c>
      <c r="S34" s="152">
        <f>IF(V33&lt;=0.005,0,V33*(1+S$6))</f>
        <v/>
      </c>
      <c r="T34" s="152">
        <f>MIN(S34,S$7)</f>
        <v/>
      </c>
      <c r="U34" s="152">
        <f>MAX(0,MIN(S34-T34,AQ34-(E34+I34+M34+Q34)))</f>
        <v/>
      </c>
      <c r="V34" s="152">
        <f>S34-T34-U34</f>
        <v/>
      </c>
      <c r="W34" s="152">
        <f>IF(Z33&lt;=0.005,0,Z33*(1+W$6))</f>
        <v/>
      </c>
      <c r="X34" s="152">
        <f>MIN(W34,W$7)</f>
        <v/>
      </c>
      <c r="Y34" s="152">
        <f>MAX(0,MIN(W34-X34,AQ34-(E34+I34+M34+Q34+U34)))</f>
        <v/>
      </c>
      <c r="Z34" s="152">
        <f>W34-X34-Y34</f>
        <v/>
      </c>
      <c r="AA34" s="152">
        <f>IF(AD33&lt;=0.005,0,AD33*(1+AA$6))</f>
        <v/>
      </c>
      <c r="AB34" s="152">
        <f>MIN(AA34,AA$7)</f>
        <v/>
      </c>
      <c r="AC34" s="152">
        <f>MAX(0,MIN(AA34-AB34,AQ34-(E34+I34+M34+Q34+U34+Y34)))</f>
        <v/>
      </c>
      <c r="AD34" s="152">
        <f>AA34-AB34-AC34</f>
        <v/>
      </c>
      <c r="AE34" s="152">
        <f>IF(AH33&lt;=0.005,0,AH33*(1+AE$6))</f>
        <v/>
      </c>
      <c r="AF34" s="152">
        <f>MIN(AE34,AE$7)</f>
        <v/>
      </c>
      <c r="AG34" s="152">
        <f>MAX(0,MIN(AE34-AF34,AQ34-(E34+I34+M34+Q34+U34+Y34+AC34)))</f>
        <v/>
      </c>
      <c r="AH34" s="152">
        <f>AE34-AF34-AG34</f>
        <v/>
      </c>
      <c r="AI34" s="152">
        <f>IF(AL33&lt;=0.005,0,AL33*(1+AI$6))</f>
        <v/>
      </c>
      <c r="AJ34" s="152">
        <f>MIN(AI34,AI$7)</f>
        <v/>
      </c>
      <c r="AK34" s="152">
        <f>MAX(0,MIN(AI34-AJ34,AQ34-(E34+I34+M34+Q34+U34+Y34+AC34+AG34)))</f>
        <v/>
      </c>
      <c r="AL34" s="152">
        <f>AI34-AJ34-AK34</f>
        <v/>
      </c>
      <c r="AM34" s="152">
        <f>IF(AP33&lt;=0.005,0,AP33*(1+AM$6))</f>
        <v/>
      </c>
      <c r="AN34" s="152">
        <f>MIN(AM34,AM$7)</f>
        <v/>
      </c>
      <c r="AO34" s="152">
        <f>MAX(0,MIN(AM34-AN34,AQ34-(E34+I34+M34+Q34+U34+Y34+AC34+AG34+AK34)))</f>
        <v/>
      </c>
      <c r="AP34" s="152">
        <f>AM34-AN34-AO34</f>
        <v/>
      </c>
      <c r="AQ34" s="152">
        <f>'Debt Payoff'!$C$8-SUM(D34,H34,L34,P34,T34,X34,AB34,AF34,AJ34,AN34)</f>
        <v/>
      </c>
      <c r="AR34" s="152">
        <f>SUM(D34,H34,L34,P34,T34,X34,AB34,AF34,AJ34,AN34)+SUM(E34,I34,M34,Q34,U34,Y34,AC34,AG34,AK34,AO34)</f>
        <v/>
      </c>
      <c r="AS34" s="152">
        <f>SUM(F34,J34,N34,R34,V34,Z34,AD34,AH34,AL34,AP34)</f>
        <v/>
      </c>
      <c r="AT34" s="152">
        <f>IF(B34&gt;AS$6,NA(),B34)</f>
        <v/>
      </c>
      <c r="AU34" s="152">
        <f>IF(B34&gt;AS$6,NA(),AS34)</f>
        <v/>
      </c>
      <c r="AV34" s="152" t="n"/>
      <c r="AW34" s="152" t="n">
        <v>23</v>
      </c>
      <c r="AX34" s="152">
        <f>IF(BA33&lt;=0.005,0,BA33*(1+AX$6))</f>
        <v/>
      </c>
      <c r="AY34" s="152">
        <f>MIN(AX34,AX$7)</f>
        <v/>
      </c>
      <c r="AZ34" s="152">
        <f>MAX(0,MIN(AX34-AY34,CL34))</f>
        <v/>
      </c>
      <c r="BA34" s="152">
        <f>AX34-AY34-AZ34</f>
        <v/>
      </c>
      <c r="BB34" s="152">
        <f>IF(BE33&lt;=0.005,0,BE33*(1+BB$6))</f>
        <v/>
      </c>
      <c r="BC34" s="152">
        <f>MIN(BB34,BB$7)</f>
        <v/>
      </c>
      <c r="BD34" s="152">
        <f>MAX(0,MIN(BB34-BC34,CL34-(AZ34)))</f>
        <v/>
      </c>
      <c r="BE34" s="152">
        <f>BB34-BC34-BD34</f>
        <v/>
      </c>
      <c r="BF34" s="152">
        <f>IF(BI33&lt;=0.005,0,BI33*(1+BF$6))</f>
        <v/>
      </c>
      <c r="BG34" s="152">
        <f>MIN(BF34,BF$7)</f>
        <v/>
      </c>
      <c r="BH34" s="152">
        <f>MAX(0,MIN(BF34-BG34,CL34-(AZ34+BD34)))</f>
        <v/>
      </c>
      <c r="BI34" s="152">
        <f>BF34-BG34-BH34</f>
        <v/>
      </c>
      <c r="BJ34" s="152">
        <f>IF(BM33&lt;=0.005,0,BM33*(1+BJ$6))</f>
        <v/>
      </c>
      <c r="BK34" s="152">
        <f>MIN(BJ34,BJ$7)</f>
        <v/>
      </c>
      <c r="BL34" s="152">
        <f>MAX(0,MIN(BJ34-BK34,CL34-(AZ34+BD34+BH34)))</f>
        <v/>
      </c>
      <c r="BM34" s="152">
        <f>BJ34-BK34-BL34</f>
        <v/>
      </c>
      <c r="BN34" s="152">
        <f>IF(BQ33&lt;=0.005,0,BQ33*(1+BN$6))</f>
        <v/>
      </c>
      <c r="BO34" s="152">
        <f>MIN(BN34,BN$7)</f>
        <v/>
      </c>
      <c r="BP34" s="152">
        <f>MAX(0,MIN(BN34-BO34,CL34-(AZ34+BD34+BH34+BL34)))</f>
        <v/>
      </c>
      <c r="BQ34" s="152">
        <f>BN34-BO34-BP34</f>
        <v/>
      </c>
      <c r="BR34" s="152">
        <f>IF(BU33&lt;=0.005,0,BU33*(1+BR$6))</f>
        <v/>
      </c>
      <c r="BS34" s="152">
        <f>MIN(BR34,BR$7)</f>
        <v/>
      </c>
      <c r="BT34" s="152">
        <f>MAX(0,MIN(BR34-BS34,CL34-(AZ34+BD34+BH34+BL34+BP34)))</f>
        <v/>
      </c>
      <c r="BU34" s="152">
        <f>BR34-BS34-BT34</f>
        <v/>
      </c>
      <c r="BV34" s="152">
        <f>IF(BY33&lt;=0.005,0,BY33*(1+BV$6))</f>
        <v/>
      </c>
      <c r="BW34" s="152">
        <f>MIN(BV34,BV$7)</f>
        <v/>
      </c>
      <c r="BX34" s="152">
        <f>MAX(0,MIN(BV34-BW34,CL34-(AZ34+BD34+BH34+BL34+BP34+BT34)))</f>
        <v/>
      </c>
      <c r="BY34" s="152">
        <f>BV34-BW34-BX34</f>
        <v/>
      </c>
      <c r="BZ34" s="152">
        <f>IF(CC33&lt;=0.005,0,CC33*(1+BZ$6))</f>
        <v/>
      </c>
      <c r="CA34" s="152">
        <f>MIN(BZ34,BZ$7)</f>
        <v/>
      </c>
      <c r="CB34" s="152">
        <f>MAX(0,MIN(BZ34-CA34,CL34-(AZ34+BD34+BH34+BL34+BP34+BT34+BX34)))</f>
        <v/>
      </c>
      <c r="CC34" s="152">
        <f>BZ34-CA34-CB34</f>
        <v/>
      </c>
      <c r="CD34" s="152">
        <f>IF(CG33&lt;=0.005,0,CG33*(1+CD$6))</f>
        <v/>
      </c>
      <c r="CE34" s="152">
        <f>MIN(CD34,CD$7)</f>
        <v/>
      </c>
      <c r="CF34" s="152">
        <f>MAX(0,MIN(CD34-CE34,CL34-(AZ34+BD34+BH34+BL34+BP34+BT34+BX34+CB34)))</f>
        <v/>
      </c>
      <c r="CG34" s="152">
        <f>CD34-CE34-CF34</f>
        <v/>
      </c>
      <c r="CH34" s="152">
        <f>IF(CK33&lt;=0.005,0,CK33*(1+CH$6))</f>
        <v/>
      </c>
      <c r="CI34" s="152">
        <f>MIN(CH34,CH$7)</f>
        <v/>
      </c>
      <c r="CJ34" s="152">
        <f>MAX(0,MIN(CH34-CI34,CL34-(AZ34+BD34+BH34+BL34+BP34+BT34+BX34+CB34+CF34)))</f>
        <v/>
      </c>
      <c r="CK34" s="152">
        <f>CH34-CI34-CJ34</f>
        <v/>
      </c>
      <c r="CL34" s="152">
        <f>'Debt Payoff'!$C$8-SUM(AY34,BC34,BG34,BK34,BO34,BS34,BW34,CA34,CE34,CI34)</f>
        <v/>
      </c>
      <c r="CM34" s="152">
        <f>SUM(AY34,BC34,BG34,BK34,BO34,BS34,BW34,CA34,CE34,CI34)+SUM(AZ34,BD34,BH34,BL34,BP34,BT34,BX34,CB34,CF34,CJ34)</f>
        <v/>
      </c>
      <c r="CN34" s="152">
        <f>SUM(BA34,BE34,BI34,BM34,BQ34,BU34,BY34,CC34,CG34,CK34)</f>
        <v/>
      </c>
      <c r="CO34" s="152">
        <f>IF(AW34&gt;CN$6,NA(),AW34)</f>
        <v/>
      </c>
      <c r="CP34" s="152">
        <f>IF(AW34&gt;CN$6,NA(),CN34)</f>
        <v/>
      </c>
    </row>
    <row r="35">
      <c r="B35" s="152" t="n">
        <v>24</v>
      </c>
      <c r="C35" s="152">
        <f>IF(F34&lt;=0.005,0,F34*(1+C$6))</f>
        <v/>
      </c>
      <c r="D35" s="152">
        <f>MIN(C35,C$7)</f>
        <v/>
      </c>
      <c r="E35" s="152">
        <f>MAX(0,MIN(C35-D35,AQ35))</f>
        <v/>
      </c>
      <c r="F35" s="152">
        <f>C35-D35-E35</f>
        <v/>
      </c>
      <c r="G35" s="152">
        <f>IF(J34&lt;=0.005,0,J34*(1+G$6))</f>
        <v/>
      </c>
      <c r="H35" s="152">
        <f>MIN(G35,G$7)</f>
        <v/>
      </c>
      <c r="I35" s="152">
        <f>MAX(0,MIN(G35-H35,AQ35-(E35)))</f>
        <v/>
      </c>
      <c r="J35" s="152">
        <f>G35-H35-I35</f>
        <v/>
      </c>
      <c r="K35" s="152">
        <f>IF(N34&lt;=0.005,0,N34*(1+K$6))</f>
        <v/>
      </c>
      <c r="L35" s="152">
        <f>MIN(K35,K$7)</f>
        <v/>
      </c>
      <c r="M35" s="152">
        <f>MAX(0,MIN(K35-L35,AQ35-(E35+I35)))</f>
        <v/>
      </c>
      <c r="N35" s="152">
        <f>K35-L35-M35</f>
        <v/>
      </c>
      <c r="O35" s="152">
        <f>IF(R34&lt;=0.005,0,R34*(1+O$6))</f>
        <v/>
      </c>
      <c r="P35" s="152">
        <f>MIN(O35,O$7)</f>
        <v/>
      </c>
      <c r="Q35" s="152">
        <f>MAX(0,MIN(O35-P35,AQ35-(E35+I35+M35)))</f>
        <v/>
      </c>
      <c r="R35" s="152">
        <f>O35-P35-Q35</f>
        <v/>
      </c>
      <c r="S35" s="152">
        <f>IF(V34&lt;=0.005,0,V34*(1+S$6))</f>
        <v/>
      </c>
      <c r="T35" s="152">
        <f>MIN(S35,S$7)</f>
        <v/>
      </c>
      <c r="U35" s="152">
        <f>MAX(0,MIN(S35-T35,AQ35-(E35+I35+M35+Q35)))</f>
        <v/>
      </c>
      <c r="V35" s="152">
        <f>S35-T35-U35</f>
        <v/>
      </c>
      <c r="W35" s="152">
        <f>IF(Z34&lt;=0.005,0,Z34*(1+W$6))</f>
        <v/>
      </c>
      <c r="X35" s="152">
        <f>MIN(W35,W$7)</f>
        <v/>
      </c>
      <c r="Y35" s="152">
        <f>MAX(0,MIN(W35-X35,AQ35-(E35+I35+M35+Q35+U35)))</f>
        <v/>
      </c>
      <c r="Z35" s="152">
        <f>W35-X35-Y35</f>
        <v/>
      </c>
      <c r="AA35" s="152">
        <f>IF(AD34&lt;=0.005,0,AD34*(1+AA$6))</f>
        <v/>
      </c>
      <c r="AB35" s="152">
        <f>MIN(AA35,AA$7)</f>
        <v/>
      </c>
      <c r="AC35" s="152">
        <f>MAX(0,MIN(AA35-AB35,AQ35-(E35+I35+M35+Q35+U35+Y35)))</f>
        <v/>
      </c>
      <c r="AD35" s="152">
        <f>AA35-AB35-AC35</f>
        <v/>
      </c>
      <c r="AE35" s="152">
        <f>IF(AH34&lt;=0.005,0,AH34*(1+AE$6))</f>
        <v/>
      </c>
      <c r="AF35" s="152">
        <f>MIN(AE35,AE$7)</f>
        <v/>
      </c>
      <c r="AG35" s="152">
        <f>MAX(0,MIN(AE35-AF35,AQ35-(E35+I35+M35+Q35+U35+Y35+AC35)))</f>
        <v/>
      </c>
      <c r="AH35" s="152">
        <f>AE35-AF35-AG35</f>
        <v/>
      </c>
      <c r="AI35" s="152">
        <f>IF(AL34&lt;=0.005,0,AL34*(1+AI$6))</f>
        <v/>
      </c>
      <c r="AJ35" s="152">
        <f>MIN(AI35,AI$7)</f>
        <v/>
      </c>
      <c r="AK35" s="152">
        <f>MAX(0,MIN(AI35-AJ35,AQ35-(E35+I35+M35+Q35+U35+Y35+AC35+AG35)))</f>
        <v/>
      </c>
      <c r="AL35" s="152">
        <f>AI35-AJ35-AK35</f>
        <v/>
      </c>
      <c r="AM35" s="152">
        <f>IF(AP34&lt;=0.005,0,AP34*(1+AM$6))</f>
        <v/>
      </c>
      <c r="AN35" s="152">
        <f>MIN(AM35,AM$7)</f>
        <v/>
      </c>
      <c r="AO35" s="152">
        <f>MAX(0,MIN(AM35-AN35,AQ35-(E35+I35+M35+Q35+U35+Y35+AC35+AG35+AK35)))</f>
        <v/>
      </c>
      <c r="AP35" s="152">
        <f>AM35-AN35-AO35</f>
        <v/>
      </c>
      <c r="AQ35" s="152">
        <f>'Debt Payoff'!$C$8-SUM(D35,H35,L35,P35,T35,X35,AB35,AF35,AJ35,AN35)</f>
        <v/>
      </c>
      <c r="AR35" s="152">
        <f>SUM(D35,H35,L35,P35,T35,X35,AB35,AF35,AJ35,AN35)+SUM(E35,I35,M35,Q35,U35,Y35,AC35,AG35,AK35,AO35)</f>
        <v/>
      </c>
      <c r="AS35" s="152">
        <f>SUM(F35,J35,N35,R35,V35,Z35,AD35,AH35,AL35,AP35)</f>
        <v/>
      </c>
      <c r="AT35" s="152">
        <f>IF(B35&gt;AS$6,NA(),B35)</f>
        <v/>
      </c>
      <c r="AU35" s="152">
        <f>IF(B35&gt;AS$6,NA(),AS35)</f>
        <v/>
      </c>
      <c r="AV35" s="152" t="n"/>
      <c r="AW35" s="152" t="n">
        <v>24</v>
      </c>
      <c r="AX35" s="152">
        <f>IF(BA34&lt;=0.005,0,BA34*(1+AX$6))</f>
        <v/>
      </c>
      <c r="AY35" s="152">
        <f>MIN(AX35,AX$7)</f>
        <v/>
      </c>
      <c r="AZ35" s="152">
        <f>MAX(0,MIN(AX35-AY35,CL35))</f>
        <v/>
      </c>
      <c r="BA35" s="152">
        <f>AX35-AY35-AZ35</f>
        <v/>
      </c>
      <c r="BB35" s="152">
        <f>IF(BE34&lt;=0.005,0,BE34*(1+BB$6))</f>
        <v/>
      </c>
      <c r="BC35" s="152">
        <f>MIN(BB35,BB$7)</f>
        <v/>
      </c>
      <c r="BD35" s="152">
        <f>MAX(0,MIN(BB35-BC35,CL35-(AZ35)))</f>
        <v/>
      </c>
      <c r="BE35" s="152">
        <f>BB35-BC35-BD35</f>
        <v/>
      </c>
      <c r="BF35" s="152">
        <f>IF(BI34&lt;=0.005,0,BI34*(1+BF$6))</f>
        <v/>
      </c>
      <c r="BG35" s="152">
        <f>MIN(BF35,BF$7)</f>
        <v/>
      </c>
      <c r="BH35" s="152">
        <f>MAX(0,MIN(BF35-BG35,CL35-(AZ35+BD35)))</f>
        <v/>
      </c>
      <c r="BI35" s="152">
        <f>BF35-BG35-BH35</f>
        <v/>
      </c>
      <c r="BJ35" s="152">
        <f>IF(BM34&lt;=0.005,0,BM34*(1+BJ$6))</f>
        <v/>
      </c>
      <c r="BK35" s="152">
        <f>MIN(BJ35,BJ$7)</f>
        <v/>
      </c>
      <c r="BL35" s="152">
        <f>MAX(0,MIN(BJ35-BK35,CL35-(AZ35+BD35+BH35)))</f>
        <v/>
      </c>
      <c r="BM35" s="152">
        <f>BJ35-BK35-BL35</f>
        <v/>
      </c>
      <c r="BN35" s="152">
        <f>IF(BQ34&lt;=0.005,0,BQ34*(1+BN$6))</f>
        <v/>
      </c>
      <c r="BO35" s="152">
        <f>MIN(BN35,BN$7)</f>
        <v/>
      </c>
      <c r="BP35" s="152">
        <f>MAX(0,MIN(BN35-BO35,CL35-(AZ35+BD35+BH35+BL35)))</f>
        <v/>
      </c>
      <c r="BQ35" s="152">
        <f>BN35-BO35-BP35</f>
        <v/>
      </c>
      <c r="BR35" s="152">
        <f>IF(BU34&lt;=0.005,0,BU34*(1+BR$6))</f>
        <v/>
      </c>
      <c r="BS35" s="152">
        <f>MIN(BR35,BR$7)</f>
        <v/>
      </c>
      <c r="BT35" s="152">
        <f>MAX(0,MIN(BR35-BS35,CL35-(AZ35+BD35+BH35+BL35+BP35)))</f>
        <v/>
      </c>
      <c r="BU35" s="152">
        <f>BR35-BS35-BT35</f>
        <v/>
      </c>
      <c r="BV35" s="152">
        <f>IF(BY34&lt;=0.005,0,BY34*(1+BV$6))</f>
        <v/>
      </c>
      <c r="BW35" s="152">
        <f>MIN(BV35,BV$7)</f>
        <v/>
      </c>
      <c r="BX35" s="152">
        <f>MAX(0,MIN(BV35-BW35,CL35-(AZ35+BD35+BH35+BL35+BP35+BT35)))</f>
        <v/>
      </c>
      <c r="BY35" s="152">
        <f>BV35-BW35-BX35</f>
        <v/>
      </c>
      <c r="BZ35" s="152">
        <f>IF(CC34&lt;=0.005,0,CC34*(1+BZ$6))</f>
        <v/>
      </c>
      <c r="CA35" s="152">
        <f>MIN(BZ35,BZ$7)</f>
        <v/>
      </c>
      <c r="CB35" s="152">
        <f>MAX(0,MIN(BZ35-CA35,CL35-(AZ35+BD35+BH35+BL35+BP35+BT35+BX35)))</f>
        <v/>
      </c>
      <c r="CC35" s="152">
        <f>BZ35-CA35-CB35</f>
        <v/>
      </c>
      <c r="CD35" s="152">
        <f>IF(CG34&lt;=0.005,0,CG34*(1+CD$6))</f>
        <v/>
      </c>
      <c r="CE35" s="152">
        <f>MIN(CD35,CD$7)</f>
        <v/>
      </c>
      <c r="CF35" s="152">
        <f>MAX(0,MIN(CD35-CE35,CL35-(AZ35+BD35+BH35+BL35+BP35+BT35+BX35+CB35)))</f>
        <v/>
      </c>
      <c r="CG35" s="152">
        <f>CD35-CE35-CF35</f>
        <v/>
      </c>
      <c r="CH35" s="152">
        <f>IF(CK34&lt;=0.005,0,CK34*(1+CH$6))</f>
        <v/>
      </c>
      <c r="CI35" s="152">
        <f>MIN(CH35,CH$7)</f>
        <v/>
      </c>
      <c r="CJ35" s="152">
        <f>MAX(0,MIN(CH35-CI35,CL35-(AZ35+BD35+BH35+BL35+BP35+BT35+BX35+CB35+CF35)))</f>
        <v/>
      </c>
      <c r="CK35" s="152">
        <f>CH35-CI35-CJ35</f>
        <v/>
      </c>
      <c r="CL35" s="152">
        <f>'Debt Payoff'!$C$8-SUM(AY35,BC35,BG35,BK35,BO35,BS35,BW35,CA35,CE35,CI35)</f>
        <v/>
      </c>
      <c r="CM35" s="152">
        <f>SUM(AY35,BC35,BG35,BK35,BO35,BS35,BW35,CA35,CE35,CI35)+SUM(AZ35,BD35,BH35,BL35,BP35,BT35,BX35,CB35,CF35,CJ35)</f>
        <v/>
      </c>
      <c r="CN35" s="152">
        <f>SUM(BA35,BE35,BI35,BM35,BQ35,BU35,BY35,CC35,CG35,CK35)</f>
        <v/>
      </c>
      <c r="CO35" s="152">
        <f>IF(AW35&gt;CN$6,NA(),AW35)</f>
        <v/>
      </c>
      <c r="CP35" s="152">
        <f>IF(AW35&gt;CN$6,NA(),CN35)</f>
        <v/>
      </c>
    </row>
    <row r="36">
      <c r="B36" s="152" t="n">
        <v>25</v>
      </c>
      <c r="C36" s="152">
        <f>IF(F35&lt;=0.005,0,F35*(1+C$6))</f>
        <v/>
      </c>
      <c r="D36" s="152">
        <f>MIN(C36,C$7)</f>
        <v/>
      </c>
      <c r="E36" s="152">
        <f>MAX(0,MIN(C36-D36,AQ36))</f>
        <v/>
      </c>
      <c r="F36" s="152">
        <f>C36-D36-E36</f>
        <v/>
      </c>
      <c r="G36" s="152">
        <f>IF(J35&lt;=0.005,0,J35*(1+G$6))</f>
        <v/>
      </c>
      <c r="H36" s="152">
        <f>MIN(G36,G$7)</f>
        <v/>
      </c>
      <c r="I36" s="152">
        <f>MAX(0,MIN(G36-H36,AQ36-(E36)))</f>
        <v/>
      </c>
      <c r="J36" s="152">
        <f>G36-H36-I36</f>
        <v/>
      </c>
      <c r="K36" s="152">
        <f>IF(N35&lt;=0.005,0,N35*(1+K$6))</f>
        <v/>
      </c>
      <c r="L36" s="152">
        <f>MIN(K36,K$7)</f>
        <v/>
      </c>
      <c r="M36" s="152">
        <f>MAX(0,MIN(K36-L36,AQ36-(E36+I36)))</f>
        <v/>
      </c>
      <c r="N36" s="152">
        <f>K36-L36-M36</f>
        <v/>
      </c>
      <c r="O36" s="152">
        <f>IF(R35&lt;=0.005,0,R35*(1+O$6))</f>
        <v/>
      </c>
      <c r="P36" s="152">
        <f>MIN(O36,O$7)</f>
        <v/>
      </c>
      <c r="Q36" s="152">
        <f>MAX(0,MIN(O36-P36,AQ36-(E36+I36+M36)))</f>
        <v/>
      </c>
      <c r="R36" s="152">
        <f>O36-P36-Q36</f>
        <v/>
      </c>
      <c r="S36" s="152">
        <f>IF(V35&lt;=0.005,0,V35*(1+S$6))</f>
        <v/>
      </c>
      <c r="T36" s="152">
        <f>MIN(S36,S$7)</f>
        <v/>
      </c>
      <c r="U36" s="152">
        <f>MAX(0,MIN(S36-T36,AQ36-(E36+I36+M36+Q36)))</f>
        <v/>
      </c>
      <c r="V36" s="152">
        <f>S36-T36-U36</f>
        <v/>
      </c>
      <c r="W36" s="152">
        <f>IF(Z35&lt;=0.005,0,Z35*(1+W$6))</f>
        <v/>
      </c>
      <c r="X36" s="152">
        <f>MIN(W36,W$7)</f>
        <v/>
      </c>
      <c r="Y36" s="152">
        <f>MAX(0,MIN(W36-X36,AQ36-(E36+I36+M36+Q36+U36)))</f>
        <v/>
      </c>
      <c r="Z36" s="152">
        <f>W36-X36-Y36</f>
        <v/>
      </c>
      <c r="AA36" s="152">
        <f>IF(AD35&lt;=0.005,0,AD35*(1+AA$6))</f>
        <v/>
      </c>
      <c r="AB36" s="152">
        <f>MIN(AA36,AA$7)</f>
        <v/>
      </c>
      <c r="AC36" s="152">
        <f>MAX(0,MIN(AA36-AB36,AQ36-(E36+I36+M36+Q36+U36+Y36)))</f>
        <v/>
      </c>
      <c r="AD36" s="152">
        <f>AA36-AB36-AC36</f>
        <v/>
      </c>
      <c r="AE36" s="152">
        <f>IF(AH35&lt;=0.005,0,AH35*(1+AE$6))</f>
        <v/>
      </c>
      <c r="AF36" s="152">
        <f>MIN(AE36,AE$7)</f>
        <v/>
      </c>
      <c r="AG36" s="152">
        <f>MAX(0,MIN(AE36-AF36,AQ36-(E36+I36+M36+Q36+U36+Y36+AC36)))</f>
        <v/>
      </c>
      <c r="AH36" s="152">
        <f>AE36-AF36-AG36</f>
        <v/>
      </c>
      <c r="AI36" s="152">
        <f>IF(AL35&lt;=0.005,0,AL35*(1+AI$6))</f>
        <v/>
      </c>
      <c r="AJ36" s="152">
        <f>MIN(AI36,AI$7)</f>
        <v/>
      </c>
      <c r="AK36" s="152">
        <f>MAX(0,MIN(AI36-AJ36,AQ36-(E36+I36+M36+Q36+U36+Y36+AC36+AG36)))</f>
        <v/>
      </c>
      <c r="AL36" s="152">
        <f>AI36-AJ36-AK36</f>
        <v/>
      </c>
      <c r="AM36" s="152">
        <f>IF(AP35&lt;=0.005,0,AP35*(1+AM$6))</f>
        <v/>
      </c>
      <c r="AN36" s="152">
        <f>MIN(AM36,AM$7)</f>
        <v/>
      </c>
      <c r="AO36" s="152">
        <f>MAX(0,MIN(AM36-AN36,AQ36-(E36+I36+M36+Q36+U36+Y36+AC36+AG36+AK36)))</f>
        <v/>
      </c>
      <c r="AP36" s="152">
        <f>AM36-AN36-AO36</f>
        <v/>
      </c>
      <c r="AQ36" s="152">
        <f>'Debt Payoff'!$C$8-SUM(D36,H36,L36,P36,T36,X36,AB36,AF36,AJ36,AN36)</f>
        <v/>
      </c>
      <c r="AR36" s="152">
        <f>SUM(D36,H36,L36,P36,T36,X36,AB36,AF36,AJ36,AN36)+SUM(E36,I36,M36,Q36,U36,Y36,AC36,AG36,AK36,AO36)</f>
        <v/>
      </c>
      <c r="AS36" s="152">
        <f>SUM(F36,J36,N36,R36,V36,Z36,AD36,AH36,AL36,AP36)</f>
        <v/>
      </c>
      <c r="AT36" s="152">
        <f>IF(B36&gt;AS$6,NA(),B36)</f>
        <v/>
      </c>
      <c r="AU36" s="152">
        <f>IF(B36&gt;AS$6,NA(),AS36)</f>
        <v/>
      </c>
      <c r="AV36" s="152" t="n"/>
      <c r="AW36" s="152" t="n">
        <v>25</v>
      </c>
      <c r="AX36" s="152">
        <f>IF(BA35&lt;=0.005,0,BA35*(1+AX$6))</f>
        <v/>
      </c>
      <c r="AY36" s="152">
        <f>MIN(AX36,AX$7)</f>
        <v/>
      </c>
      <c r="AZ36" s="152">
        <f>MAX(0,MIN(AX36-AY36,CL36))</f>
        <v/>
      </c>
      <c r="BA36" s="152">
        <f>AX36-AY36-AZ36</f>
        <v/>
      </c>
      <c r="BB36" s="152">
        <f>IF(BE35&lt;=0.005,0,BE35*(1+BB$6))</f>
        <v/>
      </c>
      <c r="BC36" s="152">
        <f>MIN(BB36,BB$7)</f>
        <v/>
      </c>
      <c r="BD36" s="152">
        <f>MAX(0,MIN(BB36-BC36,CL36-(AZ36)))</f>
        <v/>
      </c>
      <c r="BE36" s="152">
        <f>BB36-BC36-BD36</f>
        <v/>
      </c>
      <c r="BF36" s="152">
        <f>IF(BI35&lt;=0.005,0,BI35*(1+BF$6))</f>
        <v/>
      </c>
      <c r="BG36" s="152">
        <f>MIN(BF36,BF$7)</f>
        <v/>
      </c>
      <c r="BH36" s="152">
        <f>MAX(0,MIN(BF36-BG36,CL36-(AZ36+BD36)))</f>
        <v/>
      </c>
      <c r="BI36" s="152">
        <f>BF36-BG36-BH36</f>
        <v/>
      </c>
      <c r="BJ36" s="152">
        <f>IF(BM35&lt;=0.005,0,BM35*(1+BJ$6))</f>
        <v/>
      </c>
      <c r="BK36" s="152">
        <f>MIN(BJ36,BJ$7)</f>
        <v/>
      </c>
      <c r="BL36" s="152">
        <f>MAX(0,MIN(BJ36-BK36,CL36-(AZ36+BD36+BH36)))</f>
        <v/>
      </c>
      <c r="BM36" s="152">
        <f>BJ36-BK36-BL36</f>
        <v/>
      </c>
      <c r="BN36" s="152">
        <f>IF(BQ35&lt;=0.005,0,BQ35*(1+BN$6))</f>
        <v/>
      </c>
      <c r="BO36" s="152">
        <f>MIN(BN36,BN$7)</f>
        <v/>
      </c>
      <c r="BP36" s="152">
        <f>MAX(0,MIN(BN36-BO36,CL36-(AZ36+BD36+BH36+BL36)))</f>
        <v/>
      </c>
      <c r="BQ36" s="152">
        <f>BN36-BO36-BP36</f>
        <v/>
      </c>
      <c r="BR36" s="152">
        <f>IF(BU35&lt;=0.005,0,BU35*(1+BR$6))</f>
        <v/>
      </c>
      <c r="BS36" s="152">
        <f>MIN(BR36,BR$7)</f>
        <v/>
      </c>
      <c r="BT36" s="152">
        <f>MAX(0,MIN(BR36-BS36,CL36-(AZ36+BD36+BH36+BL36+BP36)))</f>
        <v/>
      </c>
      <c r="BU36" s="152">
        <f>BR36-BS36-BT36</f>
        <v/>
      </c>
      <c r="BV36" s="152">
        <f>IF(BY35&lt;=0.005,0,BY35*(1+BV$6))</f>
        <v/>
      </c>
      <c r="BW36" s="152">
        <f>MIN(BV36,BV$7)</f>
        <v/>
      </c>
      <c r="BX36" s="152">
        <f>MAX(0,MIN(BV36-BW36,CL36-(AZ36+BD36+BH36+BL36+BP36+BT36)))</f>
        <v/>
      </c>
      <c r="BY36" s="152">
        <f>BV36-BW36-BX36</f>
        <v/>
      </c>
      <c r="BZ36" s="152">
        <f>IF(CC35&lt;=0.005,0,CC35*(1+BZ$6))</f>
        <v/>
      </c>
      <c r="CA36" s="152">
        <f>MIN(BZ36,BZ$7)</f>
        <v/>
      </c>
      <c r="CB36" s="152">
        <f>MAX(0,MIN(BZ36-CA36,CL36-(AZ36+BD36+BH36+BL36+BP36+BT36+BX36)))</f>
        <v/>
      </c>
      <c r="CC36" s="152">
        <f>BZ36-CA36-CB36</f>
        <v/>
      </c>
      <c r="CD36" s="152">
        <f>IF(CG35&lt;=0.005,0,CG35*(1+CD$6))</f>
        <v/>
      </c>
      <c r="CE36" s="152">
        <f>MIN(CD36,CD$7)</f>
        <v/>
      </c>
      <c r="CF36" s="152">
        <f>MAX(0,MIN(CD36-CE36,CL36-(AZ36+BD36+BH36+BL36+BP36+BT36+BX36+CB36)))</f>
        <v/>
      </c>
      <c r="CG36" s="152">
        <f>CD36-CE36-CF36</f>
        <v/>
      </c>
      <c r="CH36" s="152">
        <f>IF(CK35&lt;=0.005,0,CK35*(1+CH$6))</f>
        <v/>
      </c>
      <c r="CI36" s="152">
        <f>MIN(CH36,CH$7)</f>
        <v/>
      </c>
      <c r="CJ36" s="152">
        <f>MAX(0,MIN(CH36-CI36,CL36-(AZ36+BD36+BH36+BL36+BP36+BT36+BX36+CB36+CF36)))</f>
        <v/>
      </c>
      <c r="CK36" s="152">
        <f>CH36-CI36-CJ36</f>
        <v/>
      </c>
      <c r="CL36" s="152">
        <f>'Debt Payoff'!$C$8-SUM(AY36,BC36,BG36,BK36,BO36,BS36,BW36,CA36,CE36,CI36)</f>
        <v/>
      </c>
      <c r="CM36" s="152">
        <f>SUM(AY36,BC36,BG36,BK36,BO36,BS36,BW36,CA36,CE36,CI36)+SUM(AZ36,BD36,BH36,BL36,BP36,BT36,BX36,CB36,CF36,CJ36)</f>
        <v/>
      </c>
      <c r="CN36" s="152">
        <f>SUM(BA36,BE36,BI36,BM36,BQ36,BU36,BY36,CC36,CG36,CK36)</f>
        <v/>
      </c>
      <c r="CO36" s="152">
        <f>IF(AW36&gt;CN$6,NA(),AW36)</f>
        <v/>
      </c>
      <c r="CP36" s="152">
        <f>IF(AW36&gt;CN$6,NA(),CN36)</f>
        <v/>
      </c>
    </row>
    <row r="37">
      <c r="B37" s="152" t="n">
        <v>26</v>
      </c>
      <c r="C37" s="152">
        <f>IF(F36&lt;=0.005,0,F36*(1+C$6))</f>
        <v/>
      </c>
      <c r="D37" s="152">
        <f>MIN(C37,C$7)</f>
        <v/>
      </c>
      <c r="E37" s="152">
        <f>MAX(0,MIN(C37-D37,AQ37))</f>
        <v/>
      </c>
      <c r="F37" s="152">
        <f>C37-D37-E37</f>
        <v/>
      </c>
      <c r="G37" s="152">
        <f>IF(J36&lt;=0.005,0,J36*(1+G$6))</f>
        <v/>
      </c>
      <c r="H37" s="152">
        <f>MIN(G37,G$7)</f>
        <v/>
      </c>
      <c r="I37" s="152">
        <f>MAX(0,MIN(G37-H37,AQ37-(E37)))</f>
        <v/>
      </c>
      <c r="J37" s="152">
        <f>G37-H37-I37</f>
        <v/>
      </c>
      <c r="K37" s="152">
        <f>IF(N36&lt;=0.005,0,N36*(1+K$6))</f>
        <v/>
      </c>
      <c r="L37" s="152">
        <f>MIN(K37,K$7)</f>
        <v/>
      </c>
      <c r="M37" s="152">
        <f>MAX(0,MIN(K37-L37,AQ37-(E37+I37)))</f>
        <v/>
      </c>
      <c r="N37" s="152">
        <f>K37-L37-M37</f>
        <v/>
      </c>
      <c r="O37" s="152">
        <f>IF(R36&lt;=0.005,0,R36*(1+O$6))</f>
        <v/>
      </c>
      <c r="P37" s="152">
        <f>MIN(O37,O$7)</f>
        <v/>
      </c>
      <c r="Q37" s="152">
        <f>MAX(0,MIN(O37-P37,AQ37-(E37+I37+M37)))</f>
        <v/>
      </c>
      <c r="R37" s="152">
        <f>O37-P37-Q37</f>
        <v/>
      </c>
      <c r="S37" s="152">
        <f>IF(V36&lt;=0.005,0,V36*(1+S$6))</f>
        <v/>
      </c>
      <c r="T37" s="152">
        <f>MIN(S37,S$7)</f>
        <v/>
      </c>
      <c r="U37" s="152">
        <f>MAX(0,MIN(S37-T37,AQ37-(E37+I37+M37+Q37)))</f>
        <v/>
      </c>
      <c r="V37" s="152">
        <f>S37-T37-U37</f>
        <v/>
      </c>
      <c r="W37" s="152">
        <f>IF(Z36&lt;=0.005,0,Z36*(1+W$6))</f>
        <v/>
      </c>
      <c r="X37" s="152">
        <f>MIN(W37,W$7)</f>
        <v/>
      </c>
      <c r="Y37" s="152">
        <f>MAX(0,MIN(W37-X37,AQ37-(E37+I37+M37+Q37+U37)))</f>
        <v/>
      </c>
      <c r="Z37" s="152">
        <f>W37-X37-Y37</f>
        <v/>
      </c>
      <c r="AA37" s="152">
        <f>IF(AD36&lt;=0.005,0,AD36*(1+AA$6))</f>
        <v/>
      </c>
      <c r="AB37" s="152">
        <f>MIN(AA37,AA$7)</f>
        <v/>
      </c>
      <c r="AC37" s="152">
        <f>MAX(0,MIN(AA37-AB37,AQ37-(E37+I37+M37+Q37+U37+Y37)))</f>
        <v/>
      </c>
      <c r="AD37" s="152">
        <f>AA37-AB37-AC37</f>
        <v/>
      </c>
      <c r="AE37" s="152">
        <f>IF(AH36&lt;=0.005,0,AH36*(1+AE$6))</f>
        <v/>
      </c>
      <c r="AF37" s="152">
        <f>MIN(AE37,AE$7)</f>
        <v/>
      </c>
      <c r="AG37" s="152">
        <f>MAX(0,MIN(AE37-AF37,AQ37-(E37+I37+M37+Q37+U37+Y37+AC37)))</f>
        <v/>
      </c>
      <c r="AH37" s="152">
        <f>AE37-AF37-AG37</f>
        <v/>
      </c>
      <c r="AI37" s="152">
        <f>IF(AL36&lt;=0.005,0,AL36*(1+AI$6))</f>
        <v/>
      </c>
      <c r="AJ37" s="152">
        <f>MIN(AI37,AI$7)</f>
        <v/>
      </c>
      <c r="AK37" s="152">
        <f>MAX(0,MIN(AI37-AJ37,AQ37-(E37+I37+M37+Q37+U37+Y37+AC37+AG37)))</f>
        <v/>
      </c>
      <c r="AL37" s="152">
        <f>AI37-AJ37-AK37</f>
        <v/>
      </c>
      <c r="AM37" s="152">
        <f>IF(AP36&lt;=0.005,0,AP36*(1+AM$6))</f>
        <v/>
      </c>
      <c r="AN37" s="152">
        <f>MIN(AM37,AM$7)</f>
        <v/>
      </c>
      <c r="AO37" s="152">
        <f>MAX(0,MIN(AM37-AN37,AQ37-(E37+I37+M37+Q37+U37+Y37+AC37+AG37+AK37)))</f>
        <v/>
      </c>
      <c r="AP37" s="152">
        <f>AM37-AN37-AO37</f>
        <v/>
      </c>
      <c r="AQ37" s="152">
        <f>'Debt Payoff'!$C$8-SUM(D37,H37,L37,P37,T37,X37,AB37,AF37,AJ37,AN37)</f>
        <v/>
      </c>
      <c r="AR37" s="152">
        <f>SUM(D37,H37,L37,P37,T37,X37,AB37,AF37,AJ37,AN37)+SUM(E37,I37,M37,Q37,U37,Y37,AC37,AG37,AK37,AO37)</f>
        <v/>
      </c>
      <c r="AS37" s="152">
        <f>SUM(F37,J37,N37,R37,V37,Z37,AD37,AH37,AL37,AP37)</f>
        <v/>
      </c>
      <c r="AT37" s="152">
        <f>IF(B37&gt;AS$6,NA(),B37)</f>
        <v/>
      </c>
      <c r="AU37" s="152">
        <f>IF(B37&gt;AS$6,NA(),AS37)</f>
        <v/>
      </c>
      <c r="AV37" s="152" t="n"/>
      <c r="AW37" s="152" t="n">
        <v>26</v>
      </c>
      <c r="AX37" s="152">
        <f>IF(BA36&lt;=0.005,0,BA36*(1+AX$6))</f>
        <v/>
      </c>
      <c r="AY37" s="152">
        <f>MIN(AX37,AX$7)</f>
        <v/>
      </c>
      <c r="AZ37" s="152">
        <f>MAX(0,MIN(AX37-AY37,CL37))</f>
        <v/>
      </c>
      <c r="BA37" s="152">
        <f>AX37-AY37-AZ37</f>
        <v/>
      </c>
      <c r="BB37" s="152">
        <f>IF(BE36&lt;=0.005,0,BE36*(1+BB$6))</f>
        <v/>
      </c>
      <c r="BC37" s="152">
        <f>MIN(BB37,BB$7)</f>
        <v/>
      </c>
      <c r="BD37" s="152">
        <f>MAX(0,MIN(BB37-BC37,CL37-(AZ37)))</f>
        <v/>
      </c>
      <c r="BE37" s="152">
        <f>BB37-BC37-BD37</f>
        <v/>
      </c>
      <c r="BF37" s="152">
        <f>IF(BI36&lt;=0.005,0,BI36*(1+BF$6))</f>
        <v/>
      </c>
      <c r="BG37" s="152">
        <f>MIN(BF37,BF$7)</f>
        <v/>
      </c>
      <c r="BH37" s="152">
        <f>MAX(0,MIN(BF37-BG37,CL37-(AZ37+BD37)))</f>
        <v/>
      </c>
      <c r="BI37" s="152">
        <f>BF37-BG37-BH37</f>
        <v/>
      </c>
      <c r="BJ37" s="152">
        <f>IF(BM36&lt;=0.005,0,BM36*(1+BJ$6))</f>
        <v/>
      </c>
      <c r="BK37" s="152">
        <f>MIN(BJ37,BJ$7)</f>
        <v/>
      </c>
      <c r="BL37" s="152">
        <f>MAX(0,MIN(BJ37-BK37,CL37-(AZ37+BD37+BH37)))</f>
        <v/>
      </c>
      <c r="BM37" s="152">
        <f>BJ37-BK37-BL37</f>
        <v/>
      </c>
      <c r="BN37" s="152">
        <f>IF(BQ36&lt;=0.005,0,BQ36*(1+BN$6))</f>
        <v/>
      </c>
      <c r="BO37" s="152">
        <f>MIN(BN37,BN$7)</f>
        <v/>
      </c>
      <c r="BP37" s="152">
        <f>MAX(0,MIN(BN37-BO37,CL37-(AZ37+BD37+BH37+BL37)))</f>
        <v/>
      </c>
      <c r="BQ37" s="152">
        <f>BN37-BO37-BP37</f>
        <v/>
      </c>
      <c r="BR37" s="152">
        <f>IF(BU36&lt;=0.005,0,BU36*(1+BR$6))</f>
        <v/>
      </c>
      <c r="BS37" s="152">
        <f>MIN(BR37,BR$7)</f>
        <v/>
      </c>
      <c r="BT37" s="152">
        <f>MAX(0,MIN(BR37-BS37,CL37-(AZ37+BD37+BH37+BL37+BP37)))</f>
        <v/>
      </c>
      <c r="BU37" s="152">
        <f>BR37-BS37-BT37</f>
        <v/>
      </c>
      <c r="BV37" s="152">
        <f>IF(BY36&lt;=0.005,0,BY36*(1+BV$6))</f>
        <v/>
      </c>
      <c r="BW37" s="152">
        <f>MIN(BV37,BV$7)</f>
        <v/>
      </c>
      <c r="BX37" s="152">
        <f>MAX(0,MIN(BV37-BW37,CL37-(AZ37+BD37+BH37+BL37+BP37+BT37)))</f>
        <v/>
      </c>
      <c r="BY37" s="152">
        <f>BV37-BW37-BX37</f>
        <v/>
      </c>
      <c r="BZ37" s="152">
        <f>IF(CC36&lt;=0.005,0,CC36*(1+BZ$6))</f>
        <v/>
      </c>
      <c r="CA37" s="152">
        <f>MIN(BZ37,BZ$7)</f>
        <v/>
      </c>
      <c r="CB37" s="152">
        <f>MAX(0,MIN(BZ37-CA37,CL37-(AZ37+BD37+BH37+BL37+BP37+BT37+BX37)))</f>
        <v/>
      </c>
      <c r="CC37" s="152">
        <f>BZ37-CA37-CB37</f>
        <v/>
      </c>
      <c r="CD37" s="152">
        <f>IF(CG36&lt;=0.005,0,CG36*(1+CD$6))</f>
        <v/>
      </c>
      <c r="CE37" s="152">
        <f>MIN(CD37,CD$7)</f>
        <v/>
      </c>
      <c r="CF37" s="152">
        <f>MAX(0,MIN(CD37-CE37,CL37-(AZ37+BD37+BH37+BL37+BP37+BT37+BX37+CB37)))</f>
        <v/>
      </c>
      <c r="CG37" s="152">
        <f>CD37-CE37-CF37</f>
        <v/>
      </c>
      <c r="CH37" s="152">
        <f>IF(CK36&lt;=0.005,0,CK36*(1+CH$6))</f>
        <v/>
      </c>
      <c r="CI37" s="152">
        <f>MIN(CH37,CH$7)</f>
        <v/>
      </c>
      <c r="CJ37" s="152">
        <f>MAX(0,MIN(CH37-CI37,CL37-(AZ37+BD37+BH37+BL37+BP37+BT37+BX37+CB37+CF37)))</f>
        <v/>
      </c>
      <c r="CK37" s="152">
        <f>CH37-CI37-CJ37</f>
        <v/>
      </c>
      <c r="CL37" s="152">
        <f>'Debt Payoff'!$C$8-SUM(AY37,BC37,BG37,BK37,BO37,BS37,BW37,CA37,CE37,CI37)</f>
        <v/>
      </c>
      <c r="CM37" s="152">
        <f>SUM(AY37,BC37,BG37,BK37,BO37,BS37,BW37,CA37,CE37,CI37)+SUM(AZ37,BD37,BH37,BL37,BP37,BT37,BX37,CB37,CF37,CJ37)</f>
        <v/>
      </c>
      <c r="CN37" s="152">
        <f>SUM(BA37,BE37,BI37,BM37,BQ37,BU37,BY37,CC37,CG37,CK37)</f>
        <v/>
      </c>
      <c r="CO37" s="152">
        <f>IF(AW37&gt;CN$6,NA(),AW37)</f>
        <v/>
      </c>
      <c r="CP37" s="152">
        <f>IF(AW37&gt;CN$6,NA(),CN37)</f>
        <v/>
      </c>
    </row>
    <row r="38">
      <c r="B38" s="152" t="n">
        <v>27</v>
      </c>
      <c r="C38" s="152">
        <f>IF(F37&lt;=0.005,0,F37*(1+C$6))</f>
        <v/>
      </c>
      <c r="D38" s="152">
        <f>MIN(C38,C$7)</f>
        <v/>
      </c>
      <c r="E38" s="152">
        <f>MAX(0,MIN(C38-D38,AQ38))</f>
        <v/>
      </c>
      <c r="F38" s="152">
        <f>C38-D38-E38</f>
        <v/>
      </c>
      <c r="G38" s="152">
        <f>IF(J37&lt;=0.005,0,J37*(1+G$6))</f>
        <v/>
      </c>
      <c r="H38" s="152">
        <f>MIN(G38,G$7)</f>
        <v/>
      </c>
      <c r="I38" s="152">
        <f>MAX(0,MIN(G38-H38,AQ38-(E38)))</f>
        <v/>
      </c>
      <c r="J38" s="152">
        <f>G38-H38-I38</f>
        <v/>
      </c>
      <c r="K38" s="152">
        <f>IF(N37&lt;=0.005,0,N37*(1+K$6))</f>
        <v/>
      </c>
      <c r="L38" s="152">
        <f>MIN(K38,K$7)</f>
        <v/>
      </c>
      <c r="M38" s="152">
        <f>MAX(0,MIN(K38-L38,AQ38-(E38+I38)))</f>
        <v/>
      </c>
      <c r="N38" s="152">
        <f>K38-L38-M38</f>
        <v/>
      </c>
      <c r="O38" s="152">
        <f>IF(R37&lt;=0.005,0,R37*(1+O$6))</f>
        <v/>
      </c>
      <c r="P38" s="152">
        <f>MIN(O38,O$7)</f>
        <v/>
      </c>
      <c r="Q38" s="152">
        <f>MAX(0,MIN(O38-P38,AQ38-(E38+I38+M38)))</f>
        <v/>
      </c>
      <c r="R38" s="152">
        <f>O38-P38-Q38</f>
        <v/>
      </c>
      <c r="S38" s="152">
        <f>IF(V37&lt;=0.005,0,V37*(1+S$6))</f>
        <v/>
      </c>
      <c r="T38" s="152">
        <f>MIN(S38,S$7)</f>
        <v/>
      </c>
      <c r="U38" s="152">
        <f>MAX(0,MIN(S38-T38,AQ38-(E38+I38+M38+Q38)))</f>
        <v/>
      </c>
      <c r="V38" s="152">
        <f>S38-T38-U38</f>
        <v/>
      </c>
      <c r="W38" s="152">
        <f>IF(Z37&lt;=0.005,0,Z37*(1+W$6))</f>
        <v/>
      </c>
      <c r="X38" s="152">
        <f>MIN(W38,W$7)</f>
        <v/>
      </c>
      <c r="Y38" s="152">
        <f>MAX(0,MIN(W38-X38,AQ38-(E38+I38+M38+Q38+U38)))</f>
        <v/>
      </c>
      <c r="Z38" s="152">
        <f>W38-X38-Y38</f>
        <v/>
      </c>
      <c r="AA38" s="152">
        <f>IF(AD37&lt;=0.005,0,AD37*(1+AA$6))</f>
        <v/>
      </c>
      <c r="AB38" s="152">
        <f>MIN(AA38,AA$7)</f>
        <v/>
      </c>
      <c r="AC38" s="152">
        <f>MAX(0,MIN(AA38-AB38,AQ38-(E38+I38+M38+Q38+U38+Y38)))</f>
        <v/>
      </c>
      <c r="AD38" s="152">
        <f>AA38-AB38-AC38</f>
        <v/>
      </c>
      <c r="AE38" s="152">
        <f>IF(AH37&lt;=0.005,0,AH37*(1+AE$6))</f>
        <v/>
      </c>
      <c r="AF38" s="152">
        <f>MIN(AE38,AE$7)</f>
        <v/>
      </c>
      <c r="AG38" s="152">
        <f>MAX(0,MIN(AE38-AF38,AQ38-(E38+I38+M38+Q38+U38+Y38+AC38)))</f>
        <v/>
      </c>
      <c r="AH38" s="152">
        <f>AE38-AF38-AG38</f>
        <v/>
      </c>
      <c r="AI38" s="152">
        <f>IF(AL37&lt;=0.005,0,AL37*(1+AI$6))</f>
        <v/>
      </c>
      <c r="AJ38" s="152">
        <f>MIN(AI38,AI$7)</f>
        <v/>
      </c>
      <c r="AK38" s="152">
        <f>MAX(0,MIN(AI38-AJ38,AQ38-(E38+I38+M38+Q38+U38+Y38+AC38+AG38)))</f>
        <v/>
      </c>
      <c r="AL38" s="152">
        <f>AI38-AJ38-AK38</f>
        <v/>
      </c>
      <c r="AM38" s="152">
        <f>IF(AP37&lt;=0.005,0,AP37*(1+AM$6))</f>
        <v/>
      </c>
      <c r="AN38" s="152">
        <f>MIN(AM38,AM$7)</f>
        <v/>
      </c>
      <c r="AO38" s="152">
        <f>MAX(0,MIN(AM38-AN38,AQ38-(E38+I38+M38+Q38+U38+Y38+AC38+AG38+AK38)))</f>
        <v/>
      </c>
      <c r="AP38" s="152">
        <f>AM38-AN38-AO38</f>
        <v/>
      </c>
      <c r="AQ38" s="152">
        <f>'Debt Payoff'!$C$8-SUM(D38,H38,L38,P38,T38,X38,AB38,AF38,AJ38,AN38)</f>
        <v/>
      </c>
      <c r="AR38" s="152">
        <f>SUM(D38,H38,L38,P38,T38,X38,AB38,AF38,AJ38,AN38)+SUM(E38,I38,M38,Q38,U38,Y38,AC38,AG38,AK38,AO38)</f>
        <v/>
      </c>
      <c r="AS38" s="152">
        <f>SUM(F38,J38,N38,R38,V38,Z38,AD38,AH38,AL38,AP38)</f>
        <v/>
      </c>
      <c r="AT38" s="152">
        <f>IF(B38&gt;AS$6,NA(),B38)</f>
        <v/>
      </c>
      <c r="AU38" s="152">
        <f>IF(B38&gt;AS$6,NA(),AS38)</f>
        <v/>
      </c>
      <c r="AV38" s="152" t="n"/>
      <c r="AW38" s="152" t="n">
        <v>27</v>
      </c>
      <c r="AX38" s="152">
        <f>IF(BA37&lt;=0.005,0,BA37*(1+AX$6))</f>
        <v/>
      </c>
      <c r="AY38" s="152">
        <f>MIN(AX38,AX$7)</f>
        <v/>
      </c>
      <c r="AZ38" s="152">
        <f>MAX(0,MIN(AX38-AY38,CL38))</f>
        <v/>
      </c>
      <c r="BA38" s="152">
        <f>AX38-AY38-AZ38</f>
        <v/>
      </c>
      <c r="BB38" s="152">
        <f>IF(BE37&lt;=0.005,0,BE37*(1+BB$6))</f>
        <v/>
      </c>
      <c r="BC38" s="152">
        <f>MIN(BB38,BB$7)</f>
        <v/>
      </c>
      <c r="BD38" s="152">
        <f>MAX(0,MIN(BB38-BC38,CL38-(AZ38)))</f>
        <v/>
      </c>
      <c r="BE38" s="152">
        <f>BB38-BC38-BD38</f>
        <v/>
      </c>
      <c r="BF38" s="152">
        <f>IF(BI37&lt;=0.005,0,BI37*(1+BF$6))</f>
        <v/>
      </c>
      <c r="BG38" s="152">
        <f>MIN(BF38,BF$7)</f>
        <v/>
      </c>
      <c r="BH38" s="152">
        <f>MAX(0,MIN(BF38-BG38,CL38-(AZ38+BD38)))</f>
        <v/>
      </c>
      <c r="BI38" s="152">
        <f>BF38-BG38-BH38</f>
        <v/>
      </c>
      <c r="BJ38" s="152">
        <f>IF(BM37&lt;=0.005,0,BM37*(1+BJ$6))</f>
        <v/>
      </c>
      <c r="BK38" s="152">
        <f>MIN(BJ38,BJ$7)</f>
        <v/>
      </c>
      <c r="BL38" s="152">
        <f>MAX(0,MIN(BJ38-BK38,CL38-(AZ38+BD38+BH38)))</f>
        <v/>
      </c>
      <c r="BM38" s="152">
        <f>BJ38-BK38-BL38</f>
        <v/>
      </c>
      <c r="BN38" s="152">
        <f>IF(BQ37&lt;=0.005,0,BQ37*(1+BN$6))</f>
        <v/>
      </c>
      <c r="BO38" s="152">
        <f>MIN(BN38,BN$7)</f>
        <v/>
      </c>
      <c r="BP38" s="152">
        <f>MAX(0,MIN(BN38-BO38,CL38-(AZ38+BD38+BH38+BL38)))</f>
        <v/>
      </c>
      <c r="BQ38" s="152">
        <f>BN38-BO38-BP38</f>
        <v/>
      </c>
      <c r="BR38" s="152">
        <f>IF(BU37&lt;=0.005,0,BU37*(1+BR$6))</f>
        <v/>
      </c>
      <c r="BS38" s="152">
        <f>MIN(BR38,BR$7)</f>
        <v/>
      </c>
      <c r="BT38" s="152">
        <f>MAX(0,MIN(BR38-BS38,CL38-(AZ38+BD38+BH38+BL38+BP38)))</f>
        <v/>
      </c>
      <c r="BU38" s="152">
        <f>BR38-BS38-BT38</f>
        <v/>
      </c>
      <c r="BV38" s="152">
        <f>IF(BY37&lt;=0.005,0,BY37*(1+BV$6))</f>
        <v/>
      </c>
      <c r="BW38" s="152">
        <f>MIN(BV38,BV$7)</f>
        <v/>
      </c>
      <c r="BX38" s="152">
        <f>MAX(0,MIN(BV38-BW38,CL38-(AZ38+BD38+BH38+BL38+BP38+BT38)))</f>
        <v/>
      </c>
      <c r="BY38" s="152">
        <f>BV38-BW38-BX38</f>
        <v/>
      </c>
      <c r="BZ38" s="152">
        <f>IF(CC37&lt;=0.005,0,CC37*(1+BZ$6))</f>
        <v/>
      </c>
      <c r="CA38" s="152">
        <f>MIN(BZ38,BZ$7)</f>
        <v/>
      </c>
      <c r="CB38" s="152">
        <f>MAX(0,MIN(BZ38-CA38,CL38-(AZ38+BD38+BH38+BL38+BP38+BT38+BX38)))</f>
        <v/>
      </c>
      <c r="CC38" s="152">
        <f>BZ38-CA38-CB38</f>
        <v/>
      </c>
      <c r="CD38" s="152">
        <f>IF(CG37&lt;=0.005,0,CG37*(1+CD$6))</f>
        <v/>
      </c>
      <c r="CE38" s="152">
        <f>MIN(CD38,CD$7)</f>
        <v/>
      </c>
      <c r="CF38" s="152">
        <f>MAX(0,MIN(CD38-CE38,CL38-(AZ38+BD38+BH38+BL38+BP38+BT38+BX38+CB38)))</f>
        <v/>
      </c>
      <c r="CG38" s="152">
        <f>CD38-CE38-CF38</f>
        <v/>
      </c>
      <c r="CH38" s="152">
        <f>IF(CK37&lt;=0.005,0,CK37*(1+CH$6))</f>
        <v/>
      </c>
      <c r="CI38" s="152">
        <f>MIN(CH38,CH$7)</f>
        <v/>
      </c>
      <c r="CJ38" s="152">
        <f>MAX(0,MIN(CH38-CI38,CL38-(AZ38+BD38+BH38+BL38+BP38+BT38+BX38+CB38+CF38)))</f>
        <v/>
      </c>
      <c r="CK38" s="152">
        <f>CH38-CI38-CJ38</f>
        <v/>
      </c>
      <c r="CL38" s="152">
        <f>'Debt Payoff'!$C$8-SUM(AY38,BC38,BG38,BK38,BO38,BS38,BW38,CA38,CE38,CI38)</f>
        <v/>
      </c>
      <c r="CM38" s="152">
        <f>SUM(AY38,BC38,BG38,BK38,BO38,BS38,BW38,CA38,CE38,CI38)+SUM(AZ38,BD38,BH38,BL38,BP38,BT38,BX38,CB38,CF38,CJ38)</f>
        <v/>
      </c>
      <c r="CN38" s="152">
        <f>SUM(BA38,BE38,BI38,BM38,BQ38,BU38,BY38,CC38,CG38,CK38)</f>
        <v/>
      </c>
      <c r="CO38" s="152">
        <f>IF(AW38&gt;CN$6,NA(),AW38)</f>
        <v/>
      </c>
      <c r="CP38" s="152">
        <f>IF(AW38&gt;CN$6,NA(),CN38)</f>
        <v/>
      </c>
    </row>
    <row r="39">
      <c r="B39" s="152" t="n">
        <v>28</v>
      </c>
      <c r="C39" s="152">
        <f>IF(F38&lt;=0.005,0,F38*(1+C$6))</f>
        <v/>
      </c>
      <c r="D39" s="152">
        <f>MIN(C39,C$7)</f>
        <v/>
      </c>
      <c r="E39" s="152">
        <f>MAX(0,MIN(C39-D39,AQ39))</f>
        <v/>
      </c>
      <c r="F39" s="152">
        <f>C39-D39-E39</f>
        <v/>
      </c>
      <c r="G39" s="152">
        <f>IF(J38&lt;=0.005,0,J38*(1+G$6))</f>
        <v/>
      </c>
      <c r="H39" s="152">
        <f>MIN(G39,G$7)</f>
        <v/>
      </c>
      <c r="I39" s="152">
        <f>MAX(0,MIN(G39-H39,AQ39-(E39)))</f>
        <v/>
      </c>
      <c r="J39" s="152">
        <f>G39-H39-I39</f>
        <v/>
      </c>
      <c r="K39" s="152">
        <f>IF(N38&lt;=0.005,0,N38*(1+K$6))</f>
        <v/>
      </c>
      <c r="L39" s="152">
        <f>MIN(K39,K$7)</f>
        <v/>
      </c>
      <c r="M39" s="152">
        <f>MAX(0,MIN(K39-L39,AQ39-(E39+I39)))</f>
        <v/>
      </c>
      <c r="N39" s="152">
        <f>K39-L39-M39</f>
        <v/>
      </c>
      <c r="O39" s="152">
        <f>IF(R38&lt;=0.005,0,R38*(1+O$6))</f>
        <v/>
      </c>
      <c r="P39" s="152">
        <f>MIN(O39,O$7)</f>
        <v/>
      </c>
      <c r="Q39" s="152">
        <f>MAX(0,MIN(O39-P39,AQ39-(E39+I39+M39)))</f>
        <v/>
      </c>
      <c r="R39" s="152">
        <f>O39-P39-Q39</f>
        <v/>
      </c>
      <c r="S39" s="152">
        <f>IF(V38&lt;=0.005,0,V38*(1+S$6))</f>
        <v/>
      </c>
      <c r="T39" s="152">
        <f>MIN(S39,S$7)</f>
        <v/>
      </c>
      <c r="U39" s="152">
        <f>MAX(0,MIN(S39-T39,AQ39-(E39+I39+M39+Q39)))</f>
        <v/>
      </c>
      <c r="V39" s="152">
        <f>S39-T39-U39</f>
        <v/>
      </c>
      <c r="W39" s="152">
        <f>IF(Z38&lt;=0.005,0,Z38*(1+W$6))</f>
        <v/>
      </c>
      <c r="X39" s="152">
        <f>MIN(W39,W$7)</f>
        <v/>
      </c>
      <c r="Y39" s="152">
        <f>MAX(0,MIN(W39-X39,AQ39-(E39+I39+M39+Q39+U39)))</f>
        <v/>
      </c>
      <c r="Z39" s="152">
        <f>W39-X39-Y39</f>
        <v/>
      </c>
      <c r="AA39" s="152">
        <f>IF(AD38&lt;=0.005,0,AD38*(1+AA$6))</f>
        <v/>
      </c>
      <c r="AB39" s="152">
        <f>MIN(AA39,AA$7)</f>
        <v/>
      </c>
      <c r="AC39" s="152">
        <f>MAX(0,MIN(AA39-AB39,AQ39-(E39+I39+M39+Q39+U39+Y39)))</f>
        <v/>
      </c>
      <c r="AD39" s="152">
        <f>AA39-AB39-AC39</f>
        <v/>
      </c>
      <c r="AE39" s="152">
        <f>IF(AH38&lt;=0.005,0,AH38*(1+AE$6))</f>
        <v/>
      </c>
      <c r="AF39" s="152">
        <f>MIN(AE39,AE$7)</f>
        <v/>
      </c>
      <c r="AG39" s="152">
        <f>MAX(0,MIN(AE39-AF39,AQ39-(E39+I39+M39+Q39+U39+Y39+AC39)))</f>
        <v/>
      </c>
      <c r="AH39" s="152">
        <f>AE39-AF39-AG39</f>
        <v/>
      </c>
      <c r="AI39" s="152">
        <f>IF(AL38&lt;=0.005,0,AL38*(1+AI$6))</f>
        <v/>
      </c>
      <c r="AJ39" s="152">
        <f>MIN(AI39,AI$7)</f>
        <v/>
      </c>
      <c r="AK39" s="152">
        <f>MAX(0,MIN(AI39-AJ39,AQ39-(E39+I39+M39+Q39+U39+Y39+AC39+AG39)))</f>
        <v/>
      </c>
      <c r="AL39" s="152">
        <f>AI39-AJ39-AK39</f>
        <v/>
      </c>
      <c r="AM39" s="152">
        <f>IF(AP38&lt;=0.005,0,AP38*(1+AM$6))</f>
        <v/>
      </c>
      <c r="AN39" s="152">
        <f>MIN(AM39,AM$7)</f>
        <v/>
      </c>
      <c r="AO39" s="152">
        <f>MAX(0,MIN(AM39-AN39,AQ39-(E39+I39+M39+Q39+U39+Y39+AC39+AG39+AK39)))</f>
        <v/>
      </c>
      <c r="AP39" s="152">
        <f>AM39-AN39-AO39</f>
        <v/>
      </c>
      <c r="AQ39" s="152">
        <f>'Debt Payoff'!$C$8-SUM(D39,H39,L39,P39,T39,X39,AB39,AF39,AJ39,AN39)</f>
        <v/>
      </c>
      <c r="AR39" s="152">
        <f>SUM(D39,H39,L39,P39,T39,X39,AB39,AF39,AJ39,AN39)+SUM(E39,I39,M39,Q39,U39,Y39,AC39,AG39,AK39,AO39)</f>
        <v/>
      </c>
      <c r="AS39" s="152">
        <f>SUM(F39,J39,N39,R39,V39,Z39,AD39,AH39,AL39,AP39)</f>
        <v/>
      </c>
      <c r="AT39" s="152">
        <f>IF(B39&gt;AS$6,NA(),B39)</f>
        <v/>
      </c>
      <c r="AU39" s="152">
        <f>IF(B39&gt;AS$6,NA(),AS39)</f>
        <v/>
      </c>
      <c r="AV39" s="152" t="n"/>
      <c r="AW39" s="152" t="n">
        <v>28</v>
      </c>
      <c r="AX39" s="152">
        <f>IF(BA38&lt;=0.005,0,BA38*(1+AX$6))</f>
        <v/>
      </c>
      <c r="AY39" s="152">
        <f>MIN(AX39,AX$7)</f>
        <v/>
      </c>
      <c r="AZ39" s="152">
        <f>MAX(0,MIN(AX39-AY39,CL39))</f>
        <v/>
      </c>
      <c r="BA39" s="152">
        <f>AX39-AY39-AZ39</f>
        <v/>
      </c>
      <c r="BB39" s="152">
        <f>IF(BE38&lt;=0.005,0,BE38*(1+BB$6))</f>
        <v/>
      </c>
      <c r="BC39" s="152">
        <f>MIN(BB39,BB$7)</f>
        <v/>
      </c>
      <c r="BD39" s="152">
        <f>MAX(0,MIN(BB39-BC39,CL39-(AZ39)))</f>
        <v/>
      </c>
      <c r="BE39" s="152">
        <f>BB39-BC39-BD39</f>
        <v/>
      </c>
      <c r="BF39" s="152">
        <f>IF(BI38&lt;=0.005,0,BI38*(1+BF$6))</f>
        <v/>
      </c>
      <c r="BG39" s="152">
        <f>MIN(BF39,BF$7)</f>
        <v/>
      </c>
      <c r="BH39" s="152">
        <f>MAX(0,MIN(BF39-BG39,CL39-(AZ39+BD39)))</f>
        <v/>
      </c>
      <c r="BI39" s="152">
        <f>BF39-BG39-BH39</f>
        <v/>
      </c>
      <c r="BJ39" s="152">
        <f>IF(BM38&lt;=0.005,0,BM38*(1+BJ$6))</f>
        <v/>
      </c>
      <c r="BK39" s="152">
        <f>MIN(BJ39,BJ$7)</f>
        <v/>
      </c>
      <c r="BL39" s="152">
        <f>MAX(0,MIN(BJ39-BK39,CL39-(AZ39+BD39+BH39)))</f>
        <v/>
      </c>
      <c r="BM39" s="152">
        <f>BJ39-BK39-BL39</f>
        <v/>
      </c>
      <c r="BN39" s="152">
        <f>IF(BQ38&lt;=0.005,0,BQ38*(1+BN$6))</f>
        <v/>
      </c>
      <c r="BO39" s="152">
        <f>MIN(BN39,BN$7)</f>
        <v/>
      </c>
      <c r="BP39" s="152">
        <f>MAX(0,MIN(BN39-BO39,CL39-(AZ39+BD39+BH39+BL39)))</f>
        <v/>
      </c>
      <c r="BQ39" s="152">
        <f>BN39-BO39-BP39</f>
        <v/>
      </c>
      <c r="BR39" s="152">
        <f>IF(BU38&lt;=0.005,0,BU38*(1+BR$6))</f>
        <v/>
      </c>
      <c r="BS39" s="152">
        <f>MIN(BR39,BR$7)</f>
        <v/>
      </c>
      <c r="BT39" s="152">
        <f>MAX(0,MIN(BR39-BS39,CL39-(AZ39+BD39+BH39+BL39+BP39)))</f>
        <v/>
      </c>
      <c r="BU39" s="152">
        <f>BR39-BS39-BT39</f>
        <v/>
      </c>
      <c r="BV39" s="152">
        <f>IF(BY38&lt;=0.005,0,BY38*(1+BV$6))</f>
        <v/>
      </c>
      <c r="BW39" s="152">
        <f>MIN(BV39,BV$7)</f>
        <v/>
      </c>
      <c r="BX39" s="152">
        <f>MAX(0,MIN(BV39-BW39,CL39-(AZ39+BD39+BH39+BL39+BP39+BT39)))</f>
        <v/>
      </c>
      <c r="BY39" s="152">
        <f>BV39-BW39-BX39</f>
        <v/>
      </c>
      <c r="BZ39" s="152">
        <f>IF(CC38&lt;=0.005,0,CC38*(1+BZ$6))</f>
        <v/>
      </c>
      <c r="CA39" s="152">
        <f>MIN(BZ39,BZ$7)</f>
        <v/>
      </c>
      <c r="CB39" s="152">
        <f>MAX(0,MIN(BZ39-CA39,CL39-(AZ39+BD39+BH39+BL39+BP39+BT39+BX39)))</f>
        <v/>
      </c>
      <c r="CC39" s="152">
        <f>BZ39-CA39-CB39</f>
        <v/>
      </c>
      <c r="CD39" s="152">
        <f>IF(CG38&lt;=0.005,0,CG38*(1+CD$6))</f>
        <v/>
      </c>
      <c r="CE39" s="152">
        <f>MIN(CD39,CD$7)</f>
        <v/>
      </c>
      <c r="CF39" s="152">
        <f>MAX(0,MIN(CD39-CE39,CL39-(AZ39+BD39+BH39+BL39+BP39+BT39+BX39+CB39)))</f>
        <v/>
      </c>
      <c r="CG39" s="152">
        <f>CD39-CE39-CF39</f>
        <v/>
      </c>
      <c r="CH39" s="152">
        <f>IF(CK38&lt;=0.005,0,CK38*(1+CH$6))</f>
        <v/>
      </c>
      <c r="CI39" s="152">
        <f>MIN(CH39,CH$7)</f>
        <v/>
      </c>
      <c r="CJ39" s="152">
        <f>MAX(0,MIN(CH39-CI39,CL39-(AZ39+BD39+BH39+BL39+BP39+BT39+BX39+CB39+CF39)))</f>
        <v/>
      </c>
      <c r="CK39" s="152">
        <f>CH39-CI39-CJ39</f>
        <v/>
      </c>
      <c r="CL39" s="152">
        <f>'Debt Payoff'!$C$8-SUM(AY39,BC39,BG39,BK39,BO39,BS39,BW39,CA39,CE39,CI39)</f>
        <v/>
      </c>
      <c r="CM39" s="152">
        <f>SUM(AY39,BC39,BG39,BK39,BO39,BS39,BW39,CA39,CE39,CI39)+SUM(AZ39,BD39,BH39,BL39,BP39,BT39,BX39,CB39,CF39,CJ39)</f>
        <v/>
      </c>
      <c r="CN39" s="152">
        <f>SUM(BA39,BE39,BI39,BM39,BQ39,BU39,BY39,CC39,CG39,CK39)</f>
        <v/>
      </c>
      <c r="CO39" s="152">
        <f>IF(AW39&gt;CN$6,NA(),AW39)</f>
        <v/>
      </c>
      <c r="CP39" s="152">
        <f>IF(AW39&gt;CN$6,NA(),CN39)</f>
        <v/>
      </c>
    </row>
    <row r="40">
      <c r="B40" s="152" t="n">
        <v>29</v>
      </c>
      <c r="C40" s="152">
        <f>IF(F39&lt;=0.005,0,F39*(1+C$6))</f>
        <v/>
      </c>
      <c r="D40" s="152">
        <f>MIN(C40,C$7)</f>
        <v/>
      </c>
      <c r="E40" s="152">
        <f>MAX(0,MIN(C40-D40,AQ40))</f>
        <v/>
      </c>
      <c r="F40" s="152">
        <f>C40-D40-E40</f>
        <v/>
      </c>
      <c r="G40" s="152">
        <f>IF(J39&lt;=0.005,0,J39*(1+G$6))</f>
        <v/>
      </c>
      <c r="H40" s="152">
        <f>MIN(G40,G$7)</f>
        <v/>
      </c>
      <c r="I40" s="152">
        <f>MAX(0,MIN(G40-H40,AQ40-(E40)))</f>
        <v/>
      </c>
      <c r="J40" s="152">
        <f>G40-H40-I40</f>
        <v/>
      </c>
      <c r="K40" s="152">
        <f>IF(N39&lt;=0.005,0,N39*(1+K$6))</f>
        <v/>
      </c>
      <c r="L40" s="152">
        <f>MIN(K40,K$7)</f>
        <v/>
      </c>
      <c r="M40" s="152">
        <f>MAX(0,MIN(K40-L40,AQ40-(E40+I40)))</f>
        <v/>
      </c>
      <c r="N40" s="152">
        <f>K40-L40-M40</f>
        <v/>
      </c>
      <c r="O40" s="152">
        <f>IF(R39&lt;=0.005,0,R39*(1+O$6))</f>
        <v/>
      </c>
      <c r="P40" s="152">
        <f>MIN(O40,O$7)</f>
        <v/>
      </c>
      <c r="Q40" s="152">
        <f>MAX(0,MIN(O40-P40,AQ40-(E40+I40+M40)))</f>
        <v/>
      </c>
      <c r="R40" s="152">
        <f>O40-P40-Q40</f>
        <v/>
      </c>
      <c r="S40" s="152">
        <f>IF(V39&lt;=0.005,0,V39*(1+S$6))</f>
        <v/>
      </c>
      <c r="T40" s="152">
        <f>MIN(S40,S$7)</f>
        <v/>
      </c>
      <c r="U40" s="152">
        <f>MAX(0,MIN(S40-T40,AQ40-(E40+I40+M40+Q40)))</f>
        <v/>
      </c>
      <c r="V40" s="152">
        <f>S40-T40-U40</f>
        <v/>
      </c>
      <c r="W40" s="152">
        <f>IF(Z39&lt;=0.005,0,Z39*(1+W$6))</f>
        <v/>
      </c>
      <c r="X40" s="152">
        <f>MIN(W40,W$7)</f>
        <v/>
      </c>
      <c r="Y40" s="152">
        <f>MAX(0,MIN(W40-X40,AQ40-(E40+I40+M40+Q40+U40)))</f>
        <v/>
      </c>
      <c r="Z40" s="152">
        <f>W40-X40-Y40</f>
        <v/>
      </c>
      <c r="AA40" s="152">
        <f>IF(AD39&lt;=0.005,0,AD39*(1+AA$6))</f>
        <v/>
      </c>
      <c r="AB40" s="152">
        <f>MIN(AA40,AA$7)</f>
        <v/>
      </c>
      <c r="AC40" s="152">
        <f>MAX(0,MIN(AA40-AB40,AQ40-(E40+I40+M40+Q40+U40+Y40)))</f>
        <v/>
      </c>
      <c r="AD40" s="152">
        <f>AA40-AB40-AC40</f>
        <v/>
      </c>
      <c r="AE40" s="152">
        <f>IF(AH39&lt;=0.005,0,AH39*(1+AE$6))</f>
        <v/>
      </c>
      <c r="AF40" s="152">
        <f>MIN(AE40,AE$7)</f>
        <v/>
      </c>
      <c r="AG40" s="152">
        <f>MAX(0,MIN(AE40-AF40,AQ40-(E40+I40+M40+Q40+U40+Y40+AC40)))</f>
        <v/>
      </c>
      <c r="AH40" s="152">
        <f>AE40-AF40-AG40</f>
        <v/>
      </c>
      <c r="AI40" s="152">
        <f>IF(AL39&lt;=0.005,0,AL39*(1+AI$6))</f>
        <v/>
      </c>
      <c r="AJ40" s="152">
        <f>MIN(AI40,AI$7)</f>
        <v/>
      </c>
      <c r="AK40" s="152">
        <f>MAX(0,MIN(AI40-AJ40,AQ40-(E40+I40+M40+Q40+U40+Y40+AC40+AG40)))</f>
        <v/>
      </c>
      <c r="AL40" s="152">
        <f>AI40-AJ40-AK40</f>
        <v/>
      </c>
      <c r="AM40" s="152">
        <f>IF(AP39&lt;=0.005,0,AP39*(1+AM$6))</f>
        <v/>
      </c>
      <c r="AN40" s="152">
        <f>MIN(AM40,AM$7)</f>
        <v/>
      </c>
      <c r="AO40" s="152">
        <f>MAX(0,MIN(AM40-AN40,AQ40-(E40+I40+M40+Q40+U40+Y40+AC40+AG40+AK40)))</f>
        <v/>
      </c>
      <c r="AP40" s="152">
        <f>AM40-AN40-AO40</f>
        <v/>
      </c>
      <c r="AQ40" s="152">
        <f>'Debt Payoff'!$C$8-SUM(D40,H40,L40,P40,T40,X40,AB40,AF40,AJ40,AN40)</f>
        <v/>
      </c>
      <c r="AR40" s="152">
        <f>SUM(D40,H40,L40,P40,T40,X40,AB40,AF40,AJ40,AN40)+SUM(E40,I40,M40,Q40,U40,Y40,AC40,AG40,AK40,AO40)</f>
        <v/>
      </c>
      <c r="AS40" s="152">
        <f>SUM(F40,J40,N40,R40,V40,Z40,AD40,AH40,AL40,AP40)</f>
        <v/>
      </c>
      <c r="AT40" s="152">
        <f>IF(B40&gt;AS$6,NA(),B40)</f>
        <v/>
      </c>
      <c r="AU40" s="152">
        <f>IF(B40&gt;AS$6,NA(),AS40)</f>
        <v/>
      </c>
      <c r="AV40" s="152" t="n"/>
      <c r="AW40" s="152" t="n">
        <v>29</v>
      </c>
      <c r="AX40" s="152">
        <f>IF(BA39&lt;=0.005,0,BA39*(1+AX$6))</f>
        <v/>
      </c>
      <c r="AY40" s="152">
        <f>MIN(AX40,AX$7)</f>
        <v/>
      </c>
      <c r="AZ40" s="152">
        <f>MAX(0,MIN(AX40-AY40,CL40))</f>
        <v/>
      </c>
      <c r="BA40" s="152">
        <f>AX40-AY40-AZ40</f>
        <v/>
      </c>
      <c r="BB40" s="152">
        <f>IF(BE39&lt;=0.005,0,BE39*(1+BB$6))</f>
        <v/>
      </c>
      <c r="BC40" s="152">
        <f>MIN(BB40,BB$7)</f>
        <v/>
      </c>
      <c r="BD40" s="152">
        <f>MAX(0,MIN(BB40-BC40,CL40-(AZ40)))</f>
        <v/>
      </c>
      <c r="BE40" s="152">
        <f>BB40-BC40-BD40</f>
        <v/>
      </c>
      <c r="BF40" s="152">
        <f>IF(BI39&lt;=0.005,0,BI39*(1+BF$6))</f>
        <v/>
      </c>
      <c r="BG40" s="152">
        <f>MIN(BF40,BF$7)</f>
        <v/>
      </c>
      <c r="BH40" s="152">
        <f>MAX(0,MIN(BF40-BG40,CL40-(AZ40+BD40)))</f>
        <v/>
      </c>
      <c r="BI40" s="152">
        <f>BF40-BG40-BH40</f>
        <v/>
      </c>
      <c r="BJ40" s="152">
        <f>IF(BM39&lt;=0.005,0,BM39*(1+BJ$6))</f>
        <v/>
      </c>
      <c r="BK40" s="152">
        <f>MIN(BJ40,BJ$7)</f>
        <v/>
      </c>
      <c r="BL40" s="152">
        <f>MAX(0,MIN(BJ40-BK40,CL40-(AZ40+BD40+BH40)))</f>
        <v/>
      </c>
      <c r="BM40" s="152">
        <f>BJ40-BK40-BL40</f>
        <v/>
      </c>
      <c r="BN40" s="152">
        <f>IF(BQ39&lt;=0.005,0,BQ39*(1+BN$6))</f>
        <v/>
      </c>
      <c r="BO40" s="152">
        <f>MIN(BN40,BN$7)</f>
        <v/>
      </c>
      <c r="BP40" s="152">
        <f>MAX(0,MIN(BN40-BO40,CL40-(AZ40+BD40+BH40+BL40)))</f>
        <v/>
      </c>
      <c r="BQ40" s="152">
        <f>BN40-BO40-BP40</f>
        <v/>
      </c>
      <c r="BR40" s="152">
        <f>IF(BU39&lt;=0.005,0,BU39*(1+BR$6))</f>
        <v/>
      </c>
      <c r="BS40" s="152">
        <f>MIN(BR40,BR$7)</f>
        <v/>
      </c>
      <c r="BT40" s="152">
        <f>MAX(0,MIN(BR40-BS40,CL40-(AZ40+BD40+BH40+BL40+BP40)))</f>
        <v/>
      </c>
      <c r="BU40" s="152">
        <f>BR40-BS40-BT40</f>
        <v/>
      </c>
      <c r="BV40" s="152">
        <f>IF(BY39&lt;=0.005,0,BY39*(1+BV$6))</f>
        <v/>
      </c>
      <c r="BW40" s="152">
        <f>MIN(BV40,BV$7)</f>
        <v/>
      </c>
      <c r="BX40" s="152">
        <f>MAX(0,MIN(BV40-BW40,CL40-(AZ40+BD40+BH40+BL40+BP40+BT40)))</f>
        <v/>
      </c>
      <c r="BY40" s="152">
        <f>BV40-BW40-BX40</f>
        <v/>
      </c>
      <c r="BZ40" s="152">
        <f>IF(CC39&lt;=0.005,0,CC39*(1+BZ$6))</f>
        <v/>
      </c>
      <c r="CA40" s="152">
        <f>MIN(BZ40,BZ$7)</f>
        <v/>
      </c>
      <c r="CB40" s="152">
        <f>MAX(0,MIN(BZ40-CA40,CL40-(AZ40+BD40+BH40+BL40+BP40+BT40+BX40)))</f>
        <v/>
      </c>
      <c r="CC40" s="152">
        <f>BZ40-CA40-CB40</f>
        <v/>
      </c>
      <c r="CD40" s="152">
        <f>IF(CG39&lt;=0.005,0,CG39*(1+CD$6))</f>
        <v/>
      </c>
      <c r="CE40" s="152">
        <f>MIN(CD40,CD$7)</f>
        <v/>
      </c>
      <c r="CF40" s="152">
        <f>MAX(0,MIN(CD40-CE40,CL40-(AZ40+BD40+BH40+BL40+BP40+BT40+BX40+CB40)))</f>
        <v/>
      </c>
      <c r="CG40" s="152">
        <f>CD40-CE40-CF40</f>
        <v/>
      </c>
      <c r="CH40" s="152">
        <f>IF(CK39&lt;=0.005,0,CK39*(1+CH$6))</f>
        <v/>
      </c>
      <c r="CI40" s="152">
        <f>MIN(CH40,CH$7)</f>
        <v/>
      </c>
      <c r="CJ40" s="152">
        <f>MAX(0,MIN(CH40-CI40,CL40-(AZ40+BD40+BH40+BL40+BP40+BT40+BX40+CB40+CF40)))</f>
        <v/>
      </c>
      <c r="CK40" s="152">
        <f>CH40-CI40-CJ40</f>
        <v/>
      </c>
      <c r="CL40" s="152">
        <f>'Debt Payoff'!$C$8-SUM(AY40,BC40,BG40,BK40,BO40,BS40,BW40,CA40,CE40,CI40)</f>
        <v/>
      </c>
      <c r="CM40" s="152">
        <f>SUM(AY40,BC40,BG40,BK40,BO40,BS40,BW40,CA40,CE40,CI40)+SUM(AZ40,BD40,BH40,BL40,BP40,BT40,BX40,CB40,CF40,CJ40)</f>
        <v/>
      </c>
      <c r="CN40" s="152">
        <f>SUM(BA40,BE40,BI40,BM40,BQ40,BU40,BY40,CC40,CG40,CK40)</f>
        <v/>
      </c>
      <c r="CO40" s="152">
        <f>IF(AW40&gt;CN$6,NA(),AW40)</f>
        <v/>
      </c>
      <c r="CP40" s="152">
        <f>IF(AW40&gt;CN$6,NA(),CN40)</f>
        <v/>
      </c>
    </row>
    <row r="41">
      <c r="B41" s="152" t="n">
        <v>30</v>
      </c>
      <c r="C41" s="152">
        <f>IF(F40&lt;=0.005,0,F40*(1+C$6))</f>
        <v/>
      </c>
      <c r="D41" s="152">
        <f>MIN(C41,C$7)</f>
        <v/>
      </c>
      <c r="E41" s="152">
        <f>MAX(0,MIN(C41-D41,AQ41))</f>
        <v/>
      </c>
      <c r="F41" s="152">
        <f>C41-D41-E41</f>
        <v/>
      </c>
      <c r="G41" s="152">
        <f>IF(J40&lt;=0.005,0,J40*(1+G$6))</f>
        <v/>
      </c>
      <c r="H41" s="152">
        <f>MIN(G41,G$7)</f>
        <v/>
      </c>
      <c r="I41" s="152">
        <f>MAX(0,MIN(G41-H41,AQ41-(E41)))</f>
        <v/>
      </c>
      <c r="J41" s="152">
        <f>G41-H41-I41</f>
        <v/>
      </c>
      <c r="K41" s="152">
        <f>IF(N40&lt;=0.005,0,N40*(1+K$6))</f>
        <v/>
      </c>
      <c r="L41" s="152">
        <f>MIN(K41,K$7)</f>
        <v/>
      </c>
      <c r="M41" s="152">
        <f>MAX(0,MIN(K41-L41,AQ41-(E41+I41)))</f>
        <v/>
      </c>
      <c r="N41" s="152">
        <f>K41-L41-M41</f>
        <v/>
      </c>
      <c r="O41" s="152">
        <f>IF(R40&lt;=0.005,0,R40*(1+O$6))</f>
        <v/>
      </c>
      <c r="P41" s="152">
        <f>MIN(O41,O$7)</f>
        <v/>
      </c>
      <c r="Q41" s="152">
        <f>MAX(0,MIN(O41-P41,AQ41-(E41+I41+M41)))</f>
        <v/>
      </c>
      <c r="R41" s="152">
        <f>O41-P41-Q41</f>
        <v/>
      </c>
      <c r="S41" s="152">
        <f>IF(V40&lt;=0.005,0,V40*(1+S$6))</f>
        <v/>
      </c>
      <c r="T41" s="152">
        <f>MIN(S41,S$7)</f>
        <v/>
      </c>
      <c r="U41" s="152">
        <f>MAX(0,MIN(S41-T41,AQ41-(E41+I41+M41+Q41)))</f>
        <v/>
      </c>
      <c r="V41" s="152">
        <f>S41-T41-U41</f>
        <v/>
      </c>
      <c r="W41" s="152">
        <f>IF(Z40&lt;=0.005,0,Z40*(1+W$6))</f>
        <v/>
      </c>
      <c r="X41" s="152">
        <f>MIN(W41,W$7)</f>
        <v/>
      </c>
      <c r="Y41" s="152">
        <f>MAX(0,MIN(W41-X41,AQ41-(E41+I41+M41+Q41+U41)))</f>
        <v/>
      </c>
      <c r="Z41" s="152">
        <f>W41-X41-Y41</f>
        <v/>
      </c>
      <c r="AA41" s="152">
        <f>IF(AD40&lt;=0.005,0,AD40*(1+AA$6))</f>
        <v/>
      </c>
      <c r="AB41" s="152">
        <f>MIN(AA41,AA$7)</f>
        <v/>
      </c>
      <c r="AC41" s="152">
        <f>MAX(0,MIN(AA41-AB41,AQ41-(E41+I41+M41+Q41+U41+Y41)))</f>
        <v/>
      </c>
      <c r="AD41" s="152">
        <f>AA41-AB41-AC41</f>
        <v/>
      </c>
      <c r="AE41" s="152">
        <f>IF(AH40&lt;=0.005,0,AH40*(1+AE$6))</f>
        <v/>
      </c>
      <c r="AF41" s="152">
        <f>MIN(AE41,AE$7)</f>
        <v/>
      </c>
      <c r="AG41" s="152">
        <f>MAX(0,MIN(AE41-AF41,AQ41-(E41+I41+M41+Q41+U41+Y41+AC41)))</f>
        <v/>
      </c>
      <c r="AH41" s="152">
        <f>AE41-AF41-AG41</f>
        <v/>
      </c>
      <c r="AI41" s="152">
        <f>IF(AL40&lt;=0.005,0,AL40*(1+AI$6))</f>
        <v/>
      </c>
      <c r="AJ41" s="152">
        <f>MIN(AI41,AI$7)</f>
        <v/>
      </c>
      <c r="AK41" s="152">
        <f>MAX(0,MIN(AI41-AJ41,AQ41-(E41+I41+M41+Q41+U41+Y41+AC41+AG41)))</f>
        <v/>
      </c>
      <c r="AL41" s="152">
        <f>AI41-AJ41-AK41</f>
        <v/>
      </c>
      <c r="AM41" s="152">
        <f>IF(AP40&lt;=0.005,0,AP40*(1+AM$6))</f>
        <v/>
      </c>
      <c r="AN41" s="152">
        <f>MIN(AM41,AM$7)</f>
        <v/>
      </c>
      <c r="AO41" s="152">
        <f>MAX(0,MIN(AM41-AN41,AQ41-(E41+I41+M41+Q41+U41+Y41+AC41+AG41+AK41)))</f>
        <v/>
      </c>
      <c r="AP41" s="152">
        <f>AM41-AN41-AO41</f>
        <v/>
      </c>
      <c r="AQ41" s="152">
        <f>'Debt Payoff'!$C$8-SUM(D41,H41,L41,P41,T41,X41,AB41,AF41,AJ41,AN41)</f>
        <v/>
      </c>
      <c r="AR41" s="152">
        <f>SUM(D41,H41,L41,P41,T41,X41,AB41,AF41,AJ41,AN41)+SUM(E41,I41,M41,Q41,U41,Y41,AC41,AG41,AK41,AO41)</f>
        <v/>
      </c>
      <c r="AS41" s="152">
        <f>SUM(F41,J41,N41,R41,V41,Z41,AD41,AH41,AL41,AP41)</f>
        <v/>
      </c>
      <c r="AT41" s="152">
        <f>IF(B41&gt;AS$6,NA(),B41)</f>
        <v/>
      </c>
      <c r="AU41" s="152">
        <f>IF(B41&gt;AS$6,NA(),AS41)</f>
        <v/>
      </c>
      <c r="AV41" s="152" t="n"/>
      <c r="AW41" s="152" t="n">
        <v>30</v>
      </c>
      <c r="AX41" s="152">
        <f>IF(BA40&lt;=0.005,0,BA40*(1+AX$6))</f>
        <v/>
      </c>
      <c r="AY41" s="152">
        <f>MIN(AX41,AX$7)</f>
        <v/>
      </c>
      <c r="AZ41" s="152">
        <f>MAX(0,MIN(AX41-AY41,CL41))</f>
        <v/>
      </c>
      <c r="BA41" s="152">
        <f>AX41-AY41-AZ41</f>
        <v/>
      </c>
      <c r="BB41" s="152">
        <f>IF(BE40&lt;=0.005,0,BE40*(1+BB$6))</f>
        <v/>
      </c>
      <c r="BC41" s="152">
        <f>MIN(BB41,BB$7)</f>
        <v/>
      </c>
      <c r="BD41" s="152">
        <f>MAX(0,MIN(BB41-BC41,CL41-(AZ41)))</f>
        <v/>
      </c>
      <c r="BE41" s="152">
        <f>BB41-BC41-BD41</f>
        <v/>
      </c>
      <c r="BF41" s="152">
        <f>IF(BI40&lt;=0.005,0,BI40*(1+BF$6))</f>
        <v/>
      </c>
      <c r="BG41" s="152">
        <f>MIN(BF41,BF$7)</f>
        <v/>
      </c>
      <c r="BH41" s="152">
        <f>MAX(0,MIN(BF41-BG41,CL41-(AZ41+BD41)))</f>
        <v/>
      </c>
      <c r="BI41" s="152">
        <f>BF41-BG41-BH41</f>
        <v/>
      </c>
      <c r="BJ41" s="152">
        <f>IF(BM40&lt;=0.005,0,BM40*(1+BJ$6))</f>
        <v/>
      </c>
      <c r="BK41" s="152">
        <f>MIN(BJ41,BJ$7)</f>
        <v/>
      </c>
      <c r="BL41" s="152">
        <f>MAX(0,MIN(BJ41-BK41,CL41-(AZ41+BD41+BH41)))</f>
        <v/>
      </c>
      <c r="BM41" s="152">
        <f>BJ41-BK41-BL41</f>
        <v/>
      </c>
      <c r="BN41" s="152">
        <f>IF(BQ40&lt;=0.005,0,BQ40*(1+BN$6))</f>
        <v/>
      </c>
      <c r="BO41" s="152">
        <f>MIN(BN41,BN$7)</f>
        <v/>
      </c>
      <c r="BP41" s="152">
        <f>MAX(0,MIN(BN41-BO41,CL41-(AZ41+BD41+BH41+BL41)))</f>
        <v/>
      </c>
      <c r="BQ41" s="152">
        <f>BN41-BO41-BP41</f>
        <v/>
      </c>
      <c r="BR41" s="152">
        <f>IF(BU40&lt;=0.005,0,BU40*(1+BR$6))</f>
        <v/>
      </c>
      <c r="BS41" s="152">
        <f>MIN(BR41,BR$7)</f>
        <v/>
      </c>
      <c r="BT41" s="152">
        <f>MAX(0,MIN(BR41-BS41,CL41-(AZ41+BD41+BH41+BL41+BP41)))</f>
        <v/>
      </c>
      <c r="BU41" s="152">
        <f>BR41-BS41-BT41</f>
        <v/>
      </c>
      <c r="BV41" s="152">
        <f>IF(BY40&lt;=0.005,0,BY40*(1+BV$6))</f>
        <v/>
      </c>
      <c r="BW41" s="152">
        <f>MIN(BV41,BV$7)</f>
        <v/>
      </c>
      <c r="BX41" s="152">
        <f>MAX(0,MIN(BV41-BW41,CL41-(AZ41+BD41+BH41+BL41+BP41+BT41)))</f>
        <v/>
      </c>
      <c r="BY41" s="152">
        <f>BV41-BW41-BX41</f>
        <v/>
      </c>
      <c r="BZ41" s="152">
        <f>IF(CC40&lt;=0.005,0,CC40*(1+BZ$6))</f>
        <v/>
      </c>
      <c r="CA41" s="152">
        <f>MIN(BZ41,BZ$7)</f>
        <v/>
      </c>
      <c r="CB41" s="152">
        <f>MAX(0,MIN(BZ41-CA41,CL41-(AZ41+BD41+BH41+BL41+BP41+BT41+BX41)))</f>
        <v/>
      </c>
      <c r="CC41" s="152">
        <f>BZ41-CA41-CB41</f>
        <v/>
      </c>
      <c r="CD41" s="152">
        <f>IF(CG40&lt;=0.005,0,CG40*(1+CD$6))</f>
        <v/>
      </c>
      <c r="CE41" s="152">
        <f>MIN(CD41,CD$7)</f>
        <v/>
      </c>
      <c r="CF41" s="152">
        <f>MAX(0,MIN(CD41-CE41,CL41-(AZ41+BD41+BH41+BL41+BP41+BT41+BX41+CB41)))</f>
        <v/>
      </c>
      <c r="CG41" s="152">
        <f>CD41-CE41-CF41</f>
        <v/>
      </c>
      <c r="CH41" s="152">
        <f>IF(CK40&lt;=0.005,0,CK40*(1+CH$6))</f>
        <v/>
      </c>
      <c r="CI41" s="152">
        <f>MIN(CH41,CH$7)</f>
        <v/>
      </c>
      <c r="CJ41" s="152">
        <f>MAX(0,MIN(CH41-CI41,CL41-(AZ41+BD41+BH41+BL41+BP41+BT41+BX41+CB41+CF41)))</f>
        <v/>
      </c>
      <c r="CK41" s="152">
        <f>CH41-CI41-CJ41</f>
        <v/>
      </c>
      <c r="CL41" s="152">
        <f>'Debt Payoff'!$C$8-SUM(AY41,BC41,BG41,BK41,BO41,BS41,BW41,CA41,CE41,CI41)</f>
        <v/>
      </c>
      <c r="CM41" s="152">
        <f>SUM(AY41,BC41,BG41,BK41,BO41,BS41,BW41,CA41,CE41,CI41)+SUM(AZ41,BD41,BH41,BL41,BP41,BT41,BX41,CB41,CF41,CJ41)</f>
        <v/>
      </c>
      <c r="CN41" s="152">
        <f>SUM(BA41,BE41,BI41,BM41,BQ41,BU41,BY41,CC41,CG41,CK41)</f>
        <v/>
      </c>
      <c r="CO41" s="152">
        <f>IF(AW41&gt;CN$6,NA(),AW41)</f>
        <v/>
      </c>
      <c r="CP41" s="152">
        <f>IF(AW41&gt;CN$6,NA(),CN41)</f>
        <v/>
      </c>
    </row>
    <row r="42">
      <c r="B42" s="152" t="n">
        <v>31</v>
      </c>
      <c r="C42" s="152">
        <f>IF(F41&lt;=0.005,0,F41*(1+C$6))</f>
        <v/>
      </c>
      <c r="D42" s="152">
        <f>MIN(C42,C$7)</f>
        <v/>
      </c>
      <c r="E42" s="152">
        <f>MAX(0,MIN(C42-D42,AQ42))</f>
        <v/>
      </c>
      <c r="F42" s="152">
        <f>C42-D42-E42</f>
        <v/>
      </c>
      <c r="G42" s="152">
        <f>IF(J41&lt;=0.005,0,J41*(1+G$6))</f>
        <v/>
      </c>
      <c r="H42" s="152">
        <f>MIN(G42,G$7)</f>
        <v/>
      </c>
      <c r="I42" s="152">
        <f>MAX(0,MIN(G42-H42,AQ42-(E42)))</f>
        <v/>
      </c>
      <c r="J42" s="152">
        <f>G42-H42-I42</f>
        <v/>
      </c>
      <c r="K42" s="152">
        <f>IF(N41&lt;=0.005,0,N41*(1+K$6))</f>
        <v/>
      </c>
      <c r="L42" s="152">
        <f>MIN(K42,K$7)</f>
        <v/>
      </c>
      <c r="M42" s="152">
        <f>MAX(0,MIN(K42-L42,AQ42-(E42+I42)))</f>
        <v/>
      </c>
      <c r="N42" s="152">
        <f>K42-L42-M42</f>
        <v/>
      </c>
      <c r="O42" s="152">
        <f>IF(R41&lt;=0.005,0,R41*(1+O$6))</f>
        <v/>
      </c>
      <c r="P42" s="152">
        <f>MIN(O42,O$7)</f>
        <v/>
      </c>
      <c r="Q42" s="152">
        <f>MAX(0,MIN(O42-P42,AQ42-(E42+I42+M42)))</f>
        <v/>
      </c>
      <c r="R42" s="152">
        <f>O42-P42-Q42</f>
        <v/>
      </c>
      <c r="S42" s="152">
        <f>IF(V41&lt;=0.005,0,V41*(1+S$6))</f>
        <v/>
      </c>
      <c r="T42" s="152">
        <f>MIN(S42,S$7)</f>
        <v/>
      </c>
      <c r="U42" s="152">
        <f>MAX(0,MIN(S42-T42,AQ42-(E42+I42+M42+Q42)))</f>
        <v/>
      </c>
      <c r="V42" s="152">
        <f>S42-T42-U42</f>
        <v/>
      </c>
      <c r="W42" s="152">
        <f>IF(Z41&lt;=0.005,0,Z41*(1+W$6))</f>
        <v/>
      </c>
      <c r="X42" s="152">
        <f>MIN(W42,W$7)</f>
        <v/>
      </c>
      <c r="Y42" s="152">
        <f>MAX(0,MIN(W42-X42,AQ42-(E42+I42+M42+Q42+U42)))</f>
        <v/>
      </c>
      <c r="Z42" s="152">
        <f>W42-X42-Y42</f>
        <v/>
      </c>
      <c r="AA42" s="152">
        <f>IF(AD41&lt;=0.005,0,AD41*(1+AA$6))</f>
        <v/>
      </c>
      <c r="AB42" s="152">
        <f>MIN(AA42,AA$7)</f>
        <v/>
      </c>
      <c r="AC42" s="152">
        <f>MAX(0,MIN(AA42-AB42,AQ42-(E42+I42+M42+Q42+U42+Y42)))</f>
        <v/>
      </c>
      <c r="AD42" s="152">
        <f>AA42-AB42-AC42</f>
        <v/>
      </c>
      <c r="AE42" s="152">
        <f>IF(AH41&lt;=0.005,0,AH41*(1+AE$6))</f>
        <v/>
      </c>
      <c r="AF42" s="152">
        <f>MIN(AE42,AE$7)</f>
        <v/>
      </c>
      <c r="AG42" s="152">
        <f>MAX(0,MIN(AE42-AF42,AQ42-(E42+I42+M42+Q42+U42+Y42+AC42)))</f>
        <v/>
      </c>
      <c r="AH42" s="152">
        <f>AE42-AF42-AG42</f>
        <v/>
      </c>
      <c r="AI42" s="152">
        <f>IF(AL41&lt;=0.005,0,AL41*(1+AI$6))</f>
        <v/>
      </c>
      <c r="AJ42" s="152">
        <f>MIN(AI42,AI$7)</f>
        <v/>
      </c>
      <c r="AK42" s="152">
        <f>MAX(0,MIN(AI42-AJ42,AQ42-(E42+I42+M42+Q42+U42+Y42+AC42+AG42)))</f>
        <v/>
      </c>
      <c r="AL42" s="152">
        <f>AI42-AJ42-AK42</f>
        <v/>
      </c>
      <c r="AM42" s="152">
        <f>IF(AP41&lt;=0.005,0,AP41*(1+AM$6))</f>
        <v/>
      </c>
      <c r="AN42" s="152">
        <f>MIN(AM42,AM$7)</f>
        <v/>
      </c>
      <c r="AO42" s="152">
        <f>MAX(0,MIN(AM42-AN42,AQ42-(E42+I42+M42+Q42+U42+Y42+AC42+AG42+AK42)))</f>
        <v/>
      </c>
      <c r="AP42" s="152">
        <f>AM42-AN42-AO42</f>
        <v/>
      </c>
      <c r="AQ42" s="152">
        <f>'Debt Payoff'!$C$8-SUM(D42,H42,L42,P42,T42,X42,AB42,AF42,AJ42,AN42)</f>
        <v/>
      </c>
      <c r="AR42" s="152">
        <f>SUM(D42,H42,L42,P42,T42,X42,AB42,AF42,AJ42,AN42)+SUM(E42,I42,M42,Q42,U42,Y42,AC42,AG42,AK42,AO42)</f>
        <v/>
      </c>
      <c r="AS42" s="152">
        <f>SUM(F42,J42,N42,R42,V42,Z42,AD42,AH42,AL42,AP42)</f>
        <v/>
      </c>
      <c r="AT42" s="152">
        <f>IF(B42&gt;AS$6,NA(),B42)</f>
        <v/>
      </c>
      <c r="AU42" s="152">
        <f>IF(B42&gt;AS$6,NA(),AS42)</f>
        <v/>
      </c>
      <c r="AV42" s="152" t="n"/>
      <c r="AW42" s="152" t="n">
        <v>31</v>
      </c>
      <c r="AX42" s="152">
        <f>IF(BA41&lt;=0.005,0,BA41*(1+AX$6))</f>
        <v/>
      </c>
      <c r="AY42" s="152">
        <f>MIN(AX42,AX$7)</f>
        <v/>
      </c>
      <c r="AZ42" s="152">
        <f>MAX(0,MIN(AX42-AY42,CL42))</f>
        <v/>
      </c>
      <c r="BA42" s="152">
        <f>AX42-AY42-AZ42</f>
        <v/>
      </c>
      <c r="BB42" s="152">
        <f>IF(BE41&lt;=0.005,0,BE41*(1+BB$6))</f>
        <v/>
      </c>
      <c r="BC42" s="152">
        <f>MIN(BB42,BB$7)</f>
        <v/>
      </c>
      <c r="BD42" s="152">
        <f>MAX(0,MIN(BB42-BC42,CL42-(AZ42)))</f>
        <v/>
      </c>
      <c r="BE42" s="152">
        <f>BB42-BC42-BD42</f>
        <v/>
      </c>
      <c r="BF42" s="152">
        <f>IF(BI41&lt;=0.005,0,BI41*(1+BF$6))</f>
        <v/>
      </c>
      <c r="BG42" s="152">
        <f>MIN(BF42,BF$7)</f>
        <v/>
      </c>
      <c r="BH42" s="152">
        <f>MAX(0,MIN(BF42-BG42,CL42-(AZ42+BD42)))</f>
        <v/>
      </c>
      <c r="BI42" s="152">
        <f>BF42-BG42-BH42</f>
        <v/>
      </c>
      <c r="BJ42" s="152">
        <f>IF(BM41&lt;=0.005,0,BM41*(1+BJ$6))</f>
        <v/>
      </c>
      <c r="BK42" s="152">
        <f>MIN(BJ42,BJ$7)</f>
        <v/>
      </c>
      <c r="BL42" s="152">
        <f>MAX(0,MIN(BJ42-BK42,CL42-(AZ42+BD42+BH42)))</f>
        <v/>
      </c>
      <c r="BM42" s="152">
        <f>BJ42-BK42-BL42</f>
        <v/>
      </c>
      <c r="BN42" s="152">
        <f>IF(BQ41&lt;=0.005,0,BQ41*(1+BN$6))</f>
        <v/>
      </c>
      <c r="BO42" s="152">
        <f>MIN(BN42,BN$7)</f>
        <v/>
      </c>
      <c r="BP42" s="152">
        <f>MAX(0,MIN(BN42-BO42,CL42-(AZ42+BD42+BH42+BL42)))</f>
        <v/>
      </c>
      <c r="BQ42" s="152">
        <f>BN42-BO42-BP42</f>
        <v/>
      </c>
      <c r="BR42" s="152">
        <f>IF(BU41&lt;=0.005,0,BU41*(1+BR$6))</f>
        <v/>
      </c>
      <c r="BS42" s="152">
        <f>MIN(BR42,BR$7)</f>
        <v/>
      </c>
      <c r="BT42" s="152">
        <f>MAX(0,MIN(BR42-BS42,CL42-(AZ42+BD42+BH42+BL42+BP42)))</f>
        <v/>
      </c>
      <c r="BU42" s="152">
        <f>BR42-BS42-BT42</f>
        <v/>
      </c>
      <c r="BV42" s="152">
        <f>IF(BY41&lt;=0.005,0,BY41*(1+BV$6))</f>
        <v/>
      </c>
      <c r="BW42" s="152">
        <f>MIN(BV42,BV$7)</f>
        <v/>
      </c>
      <c r="BX42" s="152">
        <f>MAX(0,MIN(BV42-BW42,CL42-(AZ42+BD42+BH42+BL42+BP42+BT42)))</f>
        <v/>
      </c>
      <c r="BY42" s="152">
        <f>BV42-BW42-BX42</f>
        <v/>
      </c>
      <c r="BZ42" s="152">
        <f>IF(CC41&lt;=0.005,0,CC41*(1+BZ$6))</f>
        <v/>
      </c>
      <c r="CA42" s="152">
        <f>MIN(BZ42,BZ$7)</f>
        <v/>
      </c>
      <c r="CB42" s="152">
        <f>MAX(0,MIN(BZ42-CA42,CL42-(AZ42+BD42+BH42+BL42+BP42+BT42+BX42)))</f>
        <v/>
      </c>
      <c r="CC42" s="152">
        <f>BZ42-CA42-CB42</f>
        <v/>
      </c>
      <c r="CD42" s="152">
        <f>IF(CG41&lt;=0.005,0,CG41*(1+CD$6))</f>
        <v/>
      </c>
      <c r="CE42" s="152">
        <f>MIN(CD42,CD$7)</f>
        <v/>
      </c>
      <c r="CF42" s="152">
        <f>MAX(0,MIN(CD42-CE42,CL42-(AZ42+BD42+BH42+BL42+BP42+BT42+BX42+CB42)))</f>
        <v/>
      </c>
      <c r="CG42" s="152">
        <f>CD42-CE42-CF42</f>
        <v/>
      </c>
      <c r="CH42" s="152">
        <f>IF(CK41&lt;=0.005,0,CK41*(1+CH$6))</f>
        <v/>
      </c>
      <c r="CI42" s="152">
        <f>MIN(CH42,CH$7)</f>
        <v/>
      </c>
      <c r="CJ42" s="152">
        <f>MAX(0,MIN(CH42-CI42,CL42-(AZ42+BD42+BH42+BL42+BP42+BT42+BX42+CB42+CF42)))</f>
        <v/>
      </c>
      <c r="CK42" s="152">
        <f>CH42-CI42-CJ42</f>
        <v/>
      </c>
      <c r="CL42" s="152">
        <f>'Debt Payoff'!$C$8-SUM(AY42,BC42,BG42,BK42,BO42,BS42,BW42,CA42,CE42,CI42)</f>
        <v/>
      </c>
      <c r="CM42" s="152">
        <f>SUM(AY42,BC42,BG42,BK42,BO42,BS42,BW42,CA42,CE42,CI42)+SUM(AZ42,BD42,BH42,BL42,BP42,BT42,BX42,CB42,CF42,CJ42)</f>
        <v/>
      </c>
      <c r="CN42" s="152">
        <f>SUM(BA42,BE42,BI42,BM42,BQ42,BU42,BY42,CC42,CG42,CK42)</f>
        <v/>
      </c>
      <c r="CO42" s="152">
        <f>IF(AW42&gt;CN$6,NA(),AW42)</f>
        <v/>
      </c>
      <c r="CP42" s="152">
        <f>IF(AW42&gt;CN$6,NA(),CN42)</f>
        <v/>
      </c>
    </row>
    <row r="43">
      <c r="B43" s="152" t="n">
        <v>32</v>
      </c>
      <c r="C43" s="152">
        <f>IF(F42&lt;=0.005,0,F42*(1+C$6))</f>
        <v/>
      </c>
      <c r="D43" s="152">
        <f>MIN(C43,C$7)</f>
        <v/>
      </c>
      <c r="E43" s="152">
        <f>MAX(0,MIN(C43-D43,AQ43))</f>
        <v/>
      </c>
      <c r="F43" s="152">
        <f>C43-D43-E43</f>
        <v/>
      </c>
      <c r="G43" s="152">
        <f>IF(J42&lt;=0.005,0,J42*(1+G$6))</f>
        <v/>
      </c>
      <c r="H43" s="152">
        <f>MIN(G43,G$7)</f>
        <v/>
      </c>
      <c r="I43" s="152">
        <f>MAX(0,MIN(G43-H43,AQ43-(E43)))</f>
        <v/>
      </c>
      <c r="J43" s="152">
        <f>G43-H43-I43</f>
        <v/>
      </c>
      <c r="K43" s="152">
        <f>IF(N42&lt;=0.005,0,N42*(1+K$6))</f>
        <v/>
      </c>
      <c r="L43" s="152">
        <f>MIN(K43,K$7)</f>
        <v/>
      </c>
      <c r="M43" s="152">
        <f>MAX(0,MIN(K43-L43,AQ43-(E43+I43)))</f>
        <v/>
      </c>
      <c r="N43" s="152">
        <f>K43-L43-M43</f>
        <v/>
      </c>
      <c r="O43" s="152">
        <f>IF(R42&lt;=0.005,0,R42*(1+O$6))</f>
        <v/>
      </c>
      <c r="P43" s="152">
        <f>MIN(O43,O$7)</f>
        <v/>
      </c>
      <c r="Q43" s="152">
        <f>MAX(0,MIN(O43-P43,AQ43-(E43+I43+M43)))</f>
        <v/>
      </c>
      <c r="R43" s="152">
        <f>O43-P43-Q43</f>
        <v/>
      </c>
      <c r="S43" s="152">
        <f>IF(V42&lt;=0.005,0,V42*(1+S$6))</f>
        <v/>
      </c>
      <c r="T43" s="152">
        <f>MIN(S43,S$7)</f>
        <v/>
      </c>
      <c r="U43" s="152">
        <f>MAX(0,MIN(S43-T43,AQ43-(E43+I43+M43+Q43)))</f>
        <v/>
      </c>
      <c r="V43" s="152">
        <f>S43-T43-U43</f>
        <v/>
      </c>
      <c r="W43" s="152">
        <f>IF(Z42&lt;=0.005,0,Z42*(1+W$6))</f>
        <v/>
      </c>
      <c r="X43" s="152">
        <f>MIN(W43,W$7)</f>
        <v/>
      </c>
      <c r="Y43" s="152">
        <f>MAX(0,MIN(W43-X43,AQ43-(E43+I43+M43+Q43+U43)))</f>
        <v/>
      </c>
      <c r="Z43" s="152">
        <f>W43-X43-Y43</f>
        <v/>
      </c>
      <c r="AA43" s="152">
        <f>IF(AD42&lt;=0.005,0,AD42*(1+AA$6))</f>
        <v/>
      </c>
      <c r="AB43" s="152">
        <f>MIN(AA43,AA$7)</f>
        <v/>
      </c>
      <c r="AC43" s="152">
        <f>MAX(0,MIN(AA43-AB43,AQ43-(E43+I43+M43+Q43+U43+Y43)))</f>
        <v/>
      </c>
      <c r="AD43" s="152">
        <f>AA43-AB43-AC43</f>
        <v/>
      </c>
      <c r="AE43" s="152">
        <f>IF(AH42&lt;=0.005,0,AH42*(1+AE$6))</f>
        <v/>
      </c>
      <c r="AF43" s="152">
        <f>MIN(AE43,AE$7)</f>
        <v/>
      </c>
      <c r="AG43" s="152">
        <f>MAX(0,MIN(AE43-AF43,AQ43-(E43+I43+M43+Q43+U43+Y43+AC43)))</f>
        <v/>
      </c>
      <c r="AH43" s="152">
        <f>AE43-AF43-AG43</f>
        <v/>
      </c>
      <c r="AI43" s="152">
        <f>IF(AL42&lt;=0.005,0,AL42*(1+AI$6))</f>
        <v/>
      </c>
      <c r="AJ43" s="152">
        <f>MIN(AI43,AI$7)</f>
        <v/>
      </c>
      <c r="AK43" s="152">
        <f>MAX(0,MIN(AI43-AJ43,AQ43-(E43+I43+M43+Q43+U43+Y43+AC43+AG43)))</f>
        <v/>
      </c>
      <c r="AL43" s="152">
        <f>AI43-AJ43-AK43</f>
        <v/>
      </c>
      <c r="AM43" s="152">
        <f>IF(AP42&lt;=0.005,0,AP42*(1+AM$6))</f>
        <v/>
      </c>
      <c r="AN43" s="152">
        <f>MIN(AM43,AM$7)</f>
        <v/>
      </c>
      <c r="AO43" s="152">
        <f>MAX(0,MIN(AM43-AN43,AQ43-(E43+I43+M43+Q43+U43+Y43+AC43+AG43+AK43)))</f>
        <v/>
      </c>
      <c r="AP43" s="152">
        <f>AM43-AN43-AO43</f>
        <v/>
      </c>
      <c r="AQ43" s="152">
        <f>'Debt Payoff'!$C$8-SUM(D43,H43,L43,P43,T43,X43,AB43,AF43,AJ43,AN43)</f>
        <v/>
      </c>
      <c r="AR43" s="152">
        <f>SUM(D43,H43,L43,P43,T43,X43,AB43,AF43,AJ43,AN43)+SUM(E43,I43,M43,Q43,U43,Y43,AC43,AG43,AK43,AO43)</f>
        <v/>
      </c>
      <c r="AS43" s="152">
        <f>SUM(F43,J43,N43,R43,V43,Z43,AD43,AH43,AL43,AP43)</f>
        <v/>
      </c>
      <c r="AT43" s="152">
        <f>IF(B43&gt;AS$6,NA(),B43)</f>
        <v/>
      </c>
      <c r="AU43" s="152">
        <f>IF(B43&gt;AS$6,NA(),AS43)</f>
        <v/>
      </c>
      <c r="AV43" s="152" t="n"/>
      <c r="AW43" s="152" t="n">
        <v>32</v>
      </c>
      <c r="AX43" s="152">
        <f>IF(BA42&lt;=0.005,0,BA42*(1+AX$6))</f>
        <v/>
      </c>
      <c r="AY43" s="152">
        <f>MIN(AX43,AX$7)</f>
        <v/>
      </c>
      <c r="AZ43" s="152">
        <f>MAX(0,MIN(AX43-AY43,CL43))</f>
        <v/>
      </c>
      <c r="BA43" s="152">
        <f>AX43-AY43-AZ43</f>
        <v/>
      </c>
      <c r="BB43" s="152">
        <f>IF(BE42&lt;=0.005,0,BE42*(1+BB$6))</f>
        <v/>
      </c>
      <c r="BC43" s="152">
        <f>MIN(BB43,BB$7)</f>
        <v/>
      </c>
      <c r="BD43" s="152">
        <f>MAX(0,MIN(BB43-BC43,CL43-(AZ43)))</f>
        <v/>
      </c>
      <c r="BE43" s="152">
        <f>BB43-BC43-BD43</f>
        <v/>
      </c>
      <c r="BF43" s="152">
        <f>IF(BI42&lt;=0.005,0,BI42*(1+BF$6))</f>
        <v/>
      </c>
      <c r="BG43" s="152">
        <f>MIN(BF43,BF$7)</f>
        <v/>
      </c>
      <c r="BH43" s="152">
        <f>MAX(0,MIN(BF43-BG43,CL43-(AZ43+BD43)))</f>
        <v/>
      </c>
      <c r="BI43" s="152">
        <f>BF43-BG43-BH43</f>
        <v/>
      </c>
      <c r="BJ43" s="152">
        <f>IF(BM42&lt;=0.005,0,BM42*(1+BJ$6))</f>
        <v/>
      </c>
      <c r="BK43" s="152">
        <f>MIN(BJ43,BJ$7)</f>
        <v/>
      </c>
      <c r="BL43" s="152">
        <f>MAX(0,MIN(BJ43-BK43,CL43-(AZ43+BD43+BH43)))</f>
        <v/>
      </c>
      <c r="BM43" s="152">
        <f>BJ43-BK43-BL43</f>
        <v/>
      </c>
      <c r="BN43" s="152">
        <f>IF(BQ42&lt;=0.005,0,BQ42*(1+BN$6))</f>
        <v/>
      </c>
      <c r="BO43" s="152">
        <f>MIN(BN43,BN$7)</f>
        <v/>
      </c>
      <c r="BP43" s="152">
        <f>MAX(0,MIN(BN43-BO43,CL43-(AZ43+BD43+BH43+BL43)))</f>
        <v/>
      </c>
      <c r="BQ43" s="152">
        <f>BN43-BO43-BP43</f>
        <v/>
      </c>
      <c r="BR43" s="152">
        <f>IF(BU42&lt;=0.005,0,BU42*(1+BR$6))</f>
        <v/>
      </c>
      <c r="BS43" s="152">
        <f>MIN(BR43,BR$7)</f>
        <v/>
      </c>
      <c r="BT43" s="152">
        <f>MAX(0,MIN(BR43-BS43,CL43-(AZ43+BD43+BH43+BL43+BP43)))</f>
        <v/>
      </c>
      <c r="BU43" s="152">
        <f>BR43-BS43-BT43</f>
        <v/>
      </c>
      <c r="BV43" s="152">
        <f>IF(BY42&lt;=0.005,0,BY42*(1+BV$6))</f>
        <v/>
      </c>
      <c r="BW43" s="152">
        <f>MIN(BV43,BV$7)</f>
        <v/>
      </c>
      <c r="BX43" s="152">
        <f>MAX(0,MIN(BV43-BW43,CL43-(AZ43+BD43+BH43+BL43+BP43+BT43)))</f>
        <v/>
      </c>
      <c r="BY43" s="152">
        <f>BV43-BW43-BX43</f>
        <v/>
      </c>
      <c r="BZ43" s="152">
        <f>IF(CC42&lt;=0.005,0,CC42*(1+BZ$6))</f>
        <v/>
      </c>
      <c r="CA43" s="152">
        <f>MIN(BZ43,BZ$7)</f>
        <v/>
      </c>
      <c r="CB43" s="152">
        <f>MAX(0,MIN(BZ43-CA43,CL43-(AZ43+BD43+BH43+BL43+BP43+BT43+BX43)))</f>
        <v/>
      </c>
      <c r="CC43" s="152">
        <f>BZ43-CA43-CB43</f>
        <v/>
      </c>
      <c r="CD43" s="152">
        <f>IF(CG42&lt;=0.005,0,CG42*(1+CD$6))</f>
        <v/>
      </c>
      <c r="CE43" s="152">
        <f>MIN(CD43,CD$7)</f>
        <v/>
      </c>
      <c r="CF43" s="152">
        <f>MAX(0,MIN(CD43-CE43,CL43-(AZ43+BD43+BH43+BL43+BP43+BT43+BX43+CB43)))</f>
        <v/>
      </c>
      <c r="CG43" s="152">
        <f>CD43-CE43-CF43</f>
        <v/>
      </c>
      <c r="CH43" s="152">
        <f>IF(CK42&lt;=0.005,0,CK42*(1+CH$6))</f>
        <v/>
      </c>
      <c r="CI43" s="152">
        <f>MIN(CH43,CH$7)</f>
        <v/>
      </c>
      <c r="CJ43" s="152">
        <f>MAX(0,MIN(CH43-CI43,CL43-(AZ43+BD43+BH43+BL43+BP43+BT43+BX43+CB43+CF43)))</f>
        <v/>
      </c>
      <c r="CK43" s="152">
        <f>CH43-CI43-CJ43</f>
        <v/>
      </c>
      <c r="CL43" s="152">
        <f>'Debt Payoff'!$C$8-SUM(AY43,BC43,BG43,BK43,BO43,BS43,BW43,CA43,CE43,CI43)</f>
        <v/>
      </c>
      <c r="CM43" s="152">
        <f>SUM(AY43,BC43,BG43,BK43,BO43,BS43,BW43,CA43,CE43,CI43)+SUM(AZ43,BD43,BH43,BL43,BP43,BT43,BX43,CB43,CF43,CJ43)</f>
        <v/>
      </c>
      <c r="CN43" s="152">
        <f>SUM(BA43,BE43,BI43,BM43,BQ43,BU43,BY43,CC43,CG43,CK43)</f>
        <v/>
      </c>
      <c r="CO43" s="152">
        <f>IF(AW43&gt;CN$6,NA(),AW43)</f>
        <v/>
      </c>
      <c r="CP43" s="152">
        <f>IF(AW43&gt;CN$6,NA(),CN43)</f>
        <v/>
      </c>
    </row>
    <row r="44">
      <c r="B44" s="152" t="n">
        <v>33</v>
      </c>
      <c r="C44" s="152">
        <f>IF(F43&lt;=0.005,0,F43*(1+C$6))</f>
        <v/>
      </c>
      <c r="D44" s="152">
        <f>MIN(C44,C$7)</f>
        <v/>
      </c>
      <c r="E44" s="152">
        <f>MAX(0,MIN(C44-D44,AQ44))</f>
        <v/>
      </c>
      <c r="F44" s="152">
        <f>C44-D44-E44</f>
        <v/>
      </c>
      <c r="G44" s="152">
        <f>IF(J43&lt;=0.005,0,J43*(1+G$6))</f>
        <v/>
      </c>
      <c r="H44" s="152">
        <f>MIN(G44,G$7)</f>
        <v/>
      </c>
      <c r="I44" s="152">
        <f>MAX(0,MIN(G44-H44,AQ44-(E44)))</f>
        <v/>
      </c>
      <c r="J44" s="152">
        <f>G44-H44-I44</f>
        <v/>
      </c>
      <c r="K44" s="152">
        <f>IF(N43&lt;=0.005,0,N43*(1+K$6))</f>
        <v/>
      </c>
      <c r="L44" s="152">
        <f>MIN(K44,K$7)</f>
        <v/>
      </c>
      <c r="M44" s="152">
        <f>MAX(0,MIN(K44-L44,AQ44-(E44+I44)))</f>
        <v/>
      </c>
      <c r="N44" s="152">
        <f>K44-L44-M44</f>
        <v/>
      </c>
      <c r="O44" s="152">
        <f>IF(R43&lt;=0.005,0,R43*(1+O$6))</f>
        <v/>
      </c>
      <c r="P44" s="152">
        <f>MIN(O44,O$7)</f>
        <v/>
      </c>
      <c r="Q44" s="152">
        <f>MAX(0,MIN(O44-P44,AQ44-(E44+I44+M44)))</f>
        <v/>
      </c>
      <c r="R44" s="152">
        <f>O44-P44-Q44</f>
        <v/>
      </c>
      <c r="S44" s="152">
        <f>IF(V43&lt;=0.005,0,V43*(1+S$6))</f>
        <v/>
      </c>
      <c r="T44" s="152">
        <f>MIN(S44,S$7)</f>
        <v/>
      </c>
      <c r="U44" s="152">
        <f>MAX(0,MIN(S44-T44,AQ44-(E44+I44+M44+Q44)))</f>
        <v/>
      </c>
      <c r="V44" s="152">
        <f>S44-T44-U44</f>
        <v/>
      </c>
      <c r="W44" s="152">
        <f>IF(Z43&lt;=0.005,0,Z43*(1+W$6))</f>
        <v/>
      </c>
      <c r="X44" s="152">
        <f>MIN(W44,W$7)</f>
        <v/>
      </c>
      <c r="Y44" s="152">
        <f>MAX(0,MIN(W44-X44,AQ44-(E44+I44+M44+Q44+U44)))</f>
        <v/>
      </c>
      <c r="Z44" s="152">
        <f>W44-X44-Y44</f>
        <v/>
      </c>
      <c r="AA44" s="152">
        <f>IF(AD43&lt;=0.005,0,AD43*(1+AA$6))</f>
        <v/>
      </c>
      <c r="AB44" s="152">
        <f>MIN(AA44,AA$7)</f>
        <v/>
      </c>
      <c r="AC44" s="152">
        <f>MAX(0,MIN(AA44-AB44,AQ44-(E44+I44+M44+Q44+U44+Y44)))</f>
        <v/>
      </c>
      <c r="AD44" s="152">
        <f>AA44-AB44-AC44</f>
        <v/>
      </c>
      <c r="AE44" s="152">
        <f>IF(AH43&lt;=0.005,0,AH43*(1+AE$6))</f>
        <v/>
      </c>
      <c r="AF44" s="152">
        <f>MIN(AE44,AE$7)</f>
        <v/>
      </c>
      <c r="AG44" s="152">
        <f>MAX(0,MIN(AE44-AF44,AQ44-(E44+I44+M44+Q44+U44+Y44+AC44)))</f>
        <v/>
      </c>
      <c r="AH44" s="152">
        <f>AE44-AF44-AG44</f>
        <v/>
      </c>
      <c r="AI44" s="152">
        <f>IF(AL43&lt;=0.005,0,AL43*(1+AI$6))</f>
        <v/>
      </c>
      <c r="AJ44" s="152">
        <f>MIN(AI44,AI$7)</f>
        <v/>
      </c>
      <c r="AK44" s="152">
        <f>MAX(0,MIN(AI44-AJ44,AQ44-(E44+I44+M44+Q44+U44+Y44+AC44+AG44)))</f>
        <v/>
      </c>
      <c r="AL44" s="152">
        <f>AI44-AJ44-AK44</f>
        <v/>
      </c>
      <c r="AM44" s="152">
        <f>IF(AP43&lt;=0.005,0,AP43*(1+AM$6))</f>
        <v/>
      </c>
      <c r="AN44" s="152">
        <f>MIN(AM44,AM$7)</f>
        <v/>
      </c>
      <c r="AO44" s="152">
        <f>MAX(0,MIN(AM44-AN44,AQ44-(E44+I44+M44+Q44+U44+Y44+AC44+AG44+AK44)))</f>
        <v/>
      </c>
      <c r="AP44" s="152">
        <f>AM44-AN44-AO44</f>
        <v/>
      </c>
      <c r="AQ44" s="152">
        <f>'Debt Payoff'!$C$8-SUM(D44,H44,L44,P44,T44,X44,AB44,AF44,AJ44,AN44)</f>
        <v/>
      </c>
      <c r="AR44" s="152">
        <f>SUM(D44,H44,L44,P44,T44,X44,AB44,AF44,AJ44,AN44)+SUM(E44,I44,M44,Q44,U44,Y44,AC44,AG44,AK44,AO44)</f>
        <v/>
      </c>
      <c r="AS44" s="152">
        <f>SUM(F44,J44,N44,R44,V44,Z44,AD44,AH44,AL44,AP44)</f>
        <v/>
      </c>
      <c r="AT44" s="152">
        <f>IF(B44&gt;AS$6,NA(),B44)</f>
        <v/>
      </c>
      <c r="AU44" s="152">
        <f>IF(B44&gt;AS$6,NA(),AS44)</f>
        <v/>
      </c>
      <c r="AV44" s="152" t="n"/>
      <c r="AW44" s="152" t="n">
        <v>33</v>
      </c>
      <c r="AX44" s="152">
        <f>IF(BA43&lt;=0.005,0,BA43*(1+AX$6))</f>
        <v/>
      </c>
      <c r="AY44" s="152">
        <f>MIN(AX44,AX$7)</f>
        <v/>
      </c>
      <c r="AZ44" s="152">
        <f>MAX(0,MIN(AX44-AY44,CL44))</f>
        <v/>
      </c>
      <c r="BA44" s="152">
        <f>AX44-AY44-AZ44</f>
        <v/>
      </c>
      <c r="BB44" s="152">
        <f>IF(BE43&lt;=0.005,0,BE43*(1+BB$6))</f>
        <v/>
      </c>
      <c r="BC44" s="152">
        <f>MIN(BB44,BB$7)</f>
        <v/>
      </c>
      <c r="BD44" s="152">
        <f>MAX(0,MIN(BB44-BC44,CL44-(AZ44)))</f>
        <v/>
      </c>
      <c r="BE44" s="152">
        <f>BB44-BC44-BD44</f>
        <v/>
      </c>
      <c r="BF44" s="152">
        <f>IF(BI43&lt;=0.005,0,BI43*(1+BF$6))</f>
        <v/>
      </c>
      <c r="BG44" s="152">
        <f>MIN(BF44,BF$7)</f>
        <v/>
      </c>
      <c r="BH44" s="152">
        <f>MAX(0,MIN(BF44-BG44,CL44-(AZ44+BD44)))</f>
        <v/>
      </c>
      <c r="BI44" s="152">
        <f>BF44-BG44-BH44</f>
        <v/>
      </c>
      <c r="BJ44" s="152">
        <f>IF(BM43&lt;=0.005,0,BM43*(1+BJ$6))</f>
        <v/>
      </c>
      <c r="BK44" s="152">
        <f>MIN(BJ44,BJ$7)</f>
        <v/>
      </c>
      <c r="BL44" s="152">
        <f>MAX(0,MIN(BJ44-BK44,CL44-(AZ44+BD44+BH44)))</f>
        <v/>
      </c>
      <c r="BM44" s="152">
        <f>BJ44-BK44-BL44</f>
        <v/>
      </c>
      <c r="BN44" s="152">
        <f>IF(BQ43&lt;=0.005,0,BQ43*(1+BN$6))</f>
        <v/>
      </c>
      <c r="BO44" s="152">
        <f>MIN(BN44,BN$7)</f>
        <v/>
      </c>
      <c r="BP44" s="152">
        <f>MAX(0,MIN(BN44-BO44,CL44-(AZ44+BD44+BH44+BL44)))</f>
        <v/>
      </c>
      <c r="BQ44" s="152">
        <f>BN44-BO44-BP44</f>
        <v/>
      </c>
      <c r="BR44" s="152">
        <f>IF(BU43&lt;=0.005,0,BU43*(1+BR$6))</f>
        <v/>
      </c>
      <c r="BS44" s="152">
        <f>MIN(BR44,BR$7)</f>
        <v/>
      </c>
      <c r="BT44" s="152">
        <f>MAX(0,MIN(BR44-BS44,CL44-(AZ44+BD44+BH44+BL44+BP44)))</f>
        <v/>
      </c>
      <c r="BU44" s="152">
        <f>BR44-BS44-BT44</f>
        <v/>
      </c>
      <c r="BV44" s="152">
        <f>IF(BY43&lt;=0.005,0,BY43*(1+BV$6))</f>
        <v/>
      </c>
      <c r="BW44" s="152">
        <f>MIN(BV44,BV$7)</f>
        <v/>
      </c>
      <c r="BX44" s="152">
        <f>MAX(0,MIN(BV44-BW44,CL44-(AZ44+BD44+BH44+BL44+BP44+BT44)))</f>
        <v/>
      </c>
      <c r="BY44" s="152">
        <f>BV44-BW44-BX44</f>
        <v/>
      </c>
      <c r="BZ44" s="152">
        <f>IF(CC43&lt;=0.005,0,CC43*(1+BZ$6))</f>
        <v/>
      </c>
      <c r="CA44" s="152">
        <f>MIN(BZ44,BZ$7)</f>
        <v/>
      </c>
      <c r="CB44" s="152">
        <f>MAX(0,MIN(BZ44-CA44,CL44-(AZ44+BD44+BH44+BL44+BP44+BT44+BX44)))</f>
        <v/>
      </c>
      <c r="CC44" s="152">
        <f>BZ44-CA44-CB44</f>
        <v/>
      </c>
      <c r="CD44" s="152">
        <f>IF(CG43&lt;=0.005,0,CG43*(1+CD$6))</f>
        <v/>
      </c>
      <c r="CE44" s="152">
        <f>MIN(CD44,CD$7)</f>
        <v/>
      </c>
      <c r="CF44" s="152">
        <f>MAX(0,MIN(CD44-CE44,CL44-(AZ44+BD44+BH44+BL44+BP44+BT44+BX44+CB44)))</f>
        <v/>
      </c>
      <c r="CG44" s="152">
        <f>CD44-CE44-CF44</f>
        <v/>
      </c>
      <c r="CH44" s="152">
        <f>IF(CK43&lt;=0.005,0,CK43*(1+CH$6))</f>
        <v/>
      </c>
      <c r="CI44" s="152">
        <f>MIN(CH44,CH$7)</f>
        <v/>
      </c>
      <c r="CJ44" s="152">
        <f>MAX(0,MIN(CH44-CI44,CL44-(AZ44+BD44+BH44+BL44+BP44+BT44+BX44+CB44+CF44)))</f>
        <v/>
      </c>
      <c r="CK44" s="152">
        <f>CH44-CI44-CJ44</f>
        <v/>
      </c>
      <c r="CL44" s="152">
        <f>'Debt Payoff'!$C$8-SUM(AY44,BC44,BG44,BK44,BO44,BS44,BW44,CA44,CE44,CI44)</f>
        <v/>
      </c>
      <c r="CM44" s="152">
        <f>SUM(AY44,BC44,BG44,BK44,BO44,BS44,BW44,CA44,CE44,CI44)+SUM(AZ44,BD44,BH44,BL44,BP44,BT44,BX44,CB44,CF44,CJ44)</f>
        <v/>
      </c>
      <c r="CN44" s="152">
        <f>SUM(BA44,BE44,BI44,BM44,BQ44,BU44,BY44,CC44,CG44,CK44)</f>
        <v/>
      </c>
      <c r="CO44" s="152">
        <f>IF(AW44&gt;CN$6,NA(),AW44)</f>
        <v/>
      </c>
      <c r="CP44" s="152">
        <f>IF(AW44&gt;CN$6,NA(),CN44)</f>
        <v/>
      </c>
    </row>
    <row r="45">
      <c r="B45" s="152" t="n">
        <v>34</v>
      </c>
      <c r="C45" s="152">
        <f>IF(F44&lt;=0.005,0,F44*(1+C$6))</f>
        <v/>
      </c>
      <c r="D45" s="152">
        <f>MIN(C45,C$7)</f>
        <v/>
      </c>
      <c r="E45" s="152">
        <f>MAX(0,MIN(C45-D45,AQ45))</f>
        <v/>
      </c>
      <c r="F45" s="152">
        <f>C45-D45-E45</f>
        <v/>
      </c>
      <c r="G45" s="152">
        <f>IF(J44&lt;=0.005,0,J44*(1+G$6))</f>
        <v/>
      </c>
      <c r="H45" s="152">
        <f>MIN(G45,G$7)</f>
        <v/>
      </c>
      <c r="I45" s="152">
        <f>MAX(0,MIN(G45-H45,AQ45-(E45)))</f>
        <v/>
      </c>
      <c r="J45" s="152">
        <f>G45-H45-I45</f>
        <v/>
      </c>
      <c r="K45" s="152">
        <f>IF(N44&lt;=0.005,0,N44*(1+K$6))</f>
        <v/>
      </c>
      <c r="L45" s="152">
        <f>MIN(K45,K$7)</f>
        <v/>
      </c>
      <c r="M45" s="152">
        <f>MAX(0,MIN(K45-L45,AQ45-(E45+I45)))</f>
        <v/>
      </c>
      <c r="N45" s="152">
        <f>K45-L45-M45</f>
        <v/>
      </c>
      <c r="O45" s="152">
        <f>IF(R44&lt;=0.005,0,R44*(1+O$6))</f>
        <v/>
      </c>
      <c r="P45" s="152">
        <f>MIN(O45,O$7)</f>
        <v/>
      </c>
      <c r="Q45" s="152">
        <f>MAX(0,MIN(O45-P45,AQ45-(E45+I45+M45)))</f>
        <v/>
      </c>
      <c r="R45" s="152">
        <f>O45-P45-Q45</f>
        <v/>
      </c>
      <c r="S45" s="152">
        <f>IF(V44&lt;=0.005,0,V44*(1+S$6))</f>
        <v/>
      </c>
      <c r="T45" s="152">
        <f>MIN(S45,S$7)</f>
        <v/>
      </c>
      <c r="U45" s="152">
        <f>MAX(0,MIN(S45-T45,AQ45-(E45+I45+M45+Q45)))</f>
        <v/>
      </c>
      <c r="V45" s="152">
        <f>S45-T45-U45</f>
        <v/>
      </c>
      <c r="W45" s="152">
        <f>IF(Z44&lt;=0.005,0,Z44*(1+W$6))</f>
        <v/>
      </c>
      <c r="X45" s="152">
        <f>MIN(W45,W$7)</f>
        <v/>
      </c>
      <c r="Y45" s="152">
        <f>MAX(0,MIN(W45-X45,AQ45-(E45+I45+M45+Q45+U45)))</f>
        <v/>
      </c>
      <c r="Z45" s="152">
        <f>W45-X45-Y45</f>
        <v/>
      </c>
      <c r="AA45" s="152">
        <f>IF(AD44&lt;=0.005,0,AD44*(1+AA$6))</f>
        <v/>
      </c>
      <c r="AB45" s="152">
        <f>MIN(AA45,AA$7)</f>
        <v/>
      </c>
      <c r="AC45" s="152">
        <f>MAX(0,MIN(AA45-AB45,AQ45-(E45+I45+M45+Q45+U45+Y45)))</f>
        <v/>
      </c>
      <c r="AD45" s="152">
        <f>AA45-AB45-AC45</f>
        <v/>
      </c>
      <c r="AE45" s="152">
        <f>IF(AH44&lt;=0.005,0,AH44*(1+AE$6))</f>
        <v/>
      </c>
      <c r="AF45" s="152">
        <f>MIN(AE45,AE$7)</f>
        <v/>
      </c>
      <c r="AG45" s="152">
        <f>MAX(0,MIN(AE45-AF45,AQ45-(E45+I45+M45+Q45+U45+Y45+AC45)))</f>
        <v/>
      </c>
      <c r="AH45" s="152">
        <f>AE45-AF45-AG45</f>
        <v/>
      </c>
      <c r="AI45" s="152">
        <f>IF(AL44&lt;=0.005,0,AL44*(1+AI$6))</f>
        <v/>
      </c>
      <c r="AJ45" s="152">
        <f>MIN(AI45,AI$7)</f>
        <v/>
      </c>
      <c r="AK45" s="152">
        <f>MAX(0,MIN(AI45-AJ45,AQ45-(E45+I45+M45+Q45+U45+Y45+AC45+AG45)))</f>
        <v/>
      </c>
      <c r="AL45" s="152">
        <f>AI45-AJ45-AK45</f>
        <v/>
      </c>
      <c r="AM45" s="152">
        <f>IF(AP44&lt;=0.005,0,AP44*(1+AM$6))</f>
        <v/>
      </c>
      <c r="AN45" s="152">
        <f>MIN(AM45,AM$7)</f>
        <v/>
      </c>
      <c r="AO45" s="152">
        <f>MAX(0,MIN(AM45-AN45,AQ45-(E45+I45+M45+Q45+U45+Y45+AC45+AG45+AK45)))</f>
        <v/>
      </c>
      <c r="AP45" s="152">
        <f>AM45-AN45-AO45</f>
        <v/>
      </c>
      <c r="AQ45" s="152">
        <f>'Debt Payoff'!$C$8-SUM(D45,H45,L45,P45,T45,X45,AB45,AF45,AJ45,AN45)</f>
        <v/>
      </c>
      <c r="AR45" s="152">
        <f>SUM(D45,H45,L45,P45,T45,X45,AB45,AF45,AJ45,AN45)+SUM(E45,I45,M45,Q45,U45,Y45,AC45,AG45,AK45,AO45)</f>
        <v/>
      </c>
      <c r="AS45" s="152">
        <f>SUM(F45,J45,N45,R45,V45,Z45,AD45,AH45,AL45,AP45)</f>
        <v/>
      </c>
      <c r="AT45" s="152">
        <f>IF(B45&gt;AS$6,NA(),B45)</f>
        <v/>
      </c>
      <c r="AU45" s="152">
        <f>IF(B45&gt;AS$6,NA(),AS45)</f>
        <v/>
      </c>
      <c r="AV45" s="152" t="n"/>
      <c r="AW45" s="152" t="n">
        <v>34</v>
      </c>
      <c r="AX45" s="152">
        <f>IF(BA44&lt;=0.005,0,BA44*(1+AX$6))</f>
        <v/>
      </c>
      <c r="AY45" s="152">
        <f>MIN(AX45,AX$7)</f>
        <v/>
      </c>
      <c r="AZ45" s="152">
        <f>MAX(0,MIN(AX45-AY45,CL45))</f>
        <v/>
      </c>
      <c r="BA45" s="152">
        <f>AX45-AY45-AZ45</f>
        <v/>
      </c>
      <c r="BB45" s="152">
        <f>IF(BE44&lt;=0.005,0,BE44*(1+BB$6))</f>
        <v/>
      </c>
      <c r="BC45" s="152">
        <f>MIN(BB45,BB$7)</f>
        <v/>
      </c>
      <c r="BD45" s="152">
        <f>MAX(0,MIN(BB45-BC45,CL45-(AZ45)))</f>
        <v/>
      </c>
      <c r="BE45" s="152">
        <f>BB45-BC45-BD45</f>
        <v/>
      </c>
      <c r="BF45" s="152">
        <f>IF(BI44&lt;=0.005,0,BI44*(1+BF$6))</f>
        <v/>
      </c>
      <c r="BG45" s="152">
        <f>MIN(BF45,BF$7)</f>
        <v/>
      </c>
      <c r="BH45" s="152">
        <f>MAX(0,MIN(BF45-BG45,CL45-(AZ45+BD45)))</f>
        <v/>
      </c>
      <c r="BI45" s="152">
        <f>BF45-BG45-BH45</f>
        <v/>
      </c>
      <c r="BJ45" s="152">
        <f>IF(BM44&lt;=0.005,0,BM44*(1+BJ$6))</f>
        <v/>
      </c>
      <c r="BK45" s="152">
        <f>MIN(BJ45,BJ$7)</f>
        <v/>
      </c>
      <c r="BL45" s="152">
        <f>MAX(0,MIN(BJ45-BK45,CL45-(AZ45+BD45+BH45)))</f>
        <v/>
      </c>
      <c r="BM45" s="152">
        <f>BJ45-BK45-BL45</f>
        <v/>
      </c>
      <c r="BN45" s="152">
        <f>IF(BQ44&lt;=0.005,0,BQ44*(1+BN$6))</f>
        <v/>
      </c>
      <c r="BO45" s="152">
        <f>MIN(BN45,BN$7)</f>
        <v/>
      </c>
      <c r="BP45" s="152">
        <f>MAX(0,MIN(BN45-BO45,CL45-(AZ45+BD45+BH45+BL45)))</f>
        <v/>
      </c>
      <c r="BQ45" s="152">
        <f>BN45-BO45-BP45</f>
        <v/>
      </c>
      <c r="BR45" s="152">
        <f>IF(BU44&lt;=0.005,0,BU44*(1+BR$6))</f>
        <v/>
      </c>
      <c r="BS45" s="152">
        <f>MIN(BR45,BR$7)</f>
        <v/>
      </c>
      <c r="BT45" s="152">
        <f>MAX(0,MIN(BR45-BS45,CL45-(AZ45+BD45+BH45+BL45+BP45)))</f>
        <v/>
      </c>
      <c r="BU45" s="152">
        <f>BR45-BS45-BT45</f>
        <v/>
      </c>
      <c r="BV45" s="152">
        <f>IF(BY44&lt;=0.005,0,BY44*(1+BV$6))</f>
        <v/>
      </c>
      <c r="BW45" s="152">
        <f>MIN(BV45,BV$7)</f>
        <v/>
      </c>
      <c r="BX45" s="152">
        <f>MAX(0,MIN(BV45-BW45,CL45-(AZ45+BD45+BH45+BL45+BP45+BT45)))</f>
        <v/>
      </c>
      <c r="BY45" s="152">
        <f>BV45-BW45-BX45</f>
        <v/>
      </c>
      <c r="BZ45" s="152">
        <f>IF(CC44&lt;=0.005,0,CC44*(1+BZ$6))</f>
        <v/>
      </c>
      <c r="CA45" s="152">
        <f>MIN(BZ45,BZ$7)</f>
        <v/>
      </c>
      <c r="CB45" s="152">
        <f>MAX(0,MIN(BZ45-CA45,CL45-(AZ45+BD45+BH45+BL45+BP45+BT45+BX45)))</f>
        <v/>
      </c>
      <c r="CC45" s="152">
        <f>BZ45-CA45-CB45</f>
        <v/>
      </c>
      <c r="CD45" s="152">
        <f>IF(CG44&lt;=0.005,0,CG44*(1+CD$6))</f>
        <v/>
      </c>
      <c r="CE45" s="152">
        <f>MIN(CD45,CD$7)</f>
        <v/>
      </c>
      <c r="CF45" s="152">
        <f>MAX(0,MIN(CD45-CE45,CL45-(AZ45+BD45+BH45+BL45+BP45+BT45+BX45+CB45)))</f>
        <v/>
      </c>
      <c r="CG45" s="152">
        <f>CD45-CE45-CF45</f>
        <v/>
      </c>
      <c r="CH45" s="152">
        <f>IF(CK44&lt;=0.005,0,CK44*(1+CH$6))</f>
        <v/>
      </c>
      <c r="CI45" s="152">
        <f>MIN(CH45,CH$7)</f>
        <v/>
      </c>
      <c r="CJ45" s="152">
        <f>MAX(0,MIN(CH45-CI45,CL45-(AZ45+BD45+BH45+BL45+BP45+BT45+BX45+CB45+CF45)))</f>
        <v/>
      </c>
      <c r="CK45" s="152">
        <f>CH45-CI45-CJ45</f>
        <v/>
      </c>
      <c r="CL45" s="152">
        <f>'Debt Payoff'!$C$8-SUM(AY45,BC45,BG45,BK45,BO45,BS45,BW45,CA45,CE45,CI45)</f>
        <v/>
      </c>
      <c r="CM45" s="152">
        <f>SUM(AY45,BC45,BG45,BK45,BO45,BS45,BW45,CA45,CE45,CI45)+SUM(AZ45,BD45,BH45,BL45,BP45,BT45,BX45,CB45,CF45,CJ45)</f>
        <v/>
      </c>
      <c r="CN45" s="152">
        <f>SUM(BA45,BE45,BI45,BM45,BQ45,BU45,BY45,CC45,CG45,CK45)</f>
        <v/>
      </c>
      <c r="CO45" s="152">
        <f>IF(AW45&gt;CN$6,NA(),AW45)</f>
        <v/>
      </c>
      <c r="CP45" s="152">
        <f>IF(AW45&gt;CN$6,NA(),CN45)</f>
        <v/>
      </c>
    </row>
    <row r="46">
      <c r="B46" s="152" t="n">
        <v>35</v>
      </c>
      <c r="C46" s="152">
        <f>IF(F45&lt;=0.005,0,F45*(1+C$6))</f>
        <v/>
      </c>
      <c r="D46" s="152">
        <f>MIN(C46,C$7)</f>
        <v/>
      </c>
      <c r="E46" s="152">
        <f>MAX(0,MIN(C46-D46,AQ46))</f>
        <v/>
      </c>
      <c r="F46" s="152">
        <f>C46-D46-E46</f>
        <v/>
      </c>
      <c r="G46" s="152">
        <f>IF(J45&lt;=0.005,0,J45*(1+G$6))</f>
        <v/>
      </c>
      <c r="H46" s="152">
        <f>MIN(G46,G$7)</f>
        <v/>
      </c>
      <c r="I46" s="152">
        <f>MAX(0,MIN(G46-H46,AQ46-(E46)))</f>
        <v/>
      </c>
      <c r="J46" s="152">
        <f>G46-H46-I46</f>
        <v/>
      </c>
      <c r="K46" s="152">
        <f>IF(N45&lt;=0.005,0,N45*(1+K$6))</f>
        <v/>
      </c>
      <c r="L46" s="152">
        <f>MIN(K46,K$7)</f>
        <v/>
      </c>
      <c r="M46" s="152">
        <f>MAX(0,MIN(K46-L46,AQ46-(E46+I46)))</f>
        <v/>
      </c>
      <c r="N46" s="152">
        <f>K46-L46-M46</f>
        <v/>
      </c>
      <c r="O46" s="152">
        <f>IF(R45&lt;=0.005,0,R45*(1+O$6))</f>
        <v/>
      </c>
      <c r="P46" s="152">
        <f>MIN(O46,O$7)</f>
        <v/>
      </c>
      <c r="Q46" s="152">
        <f>MAX(0,MIN(O46-P46,AQ46-(E46+I46+M46)))</f>
        <v/>
      </c>
      <c r="R46" s="152">
        <f>O46-P46-Q46</f>
        <v/>
      </c>
      <c r="S46" s="152">
        <f>IF(V45&lt;=0.005,0,V45*(1+S$6))</f>
        <v/>
      </c>
      <c r="T46" s="152">
        <f>MIN(S46,S$7)</f>
        <v/>
      </c>
      <c r="U46" s="152">
        <f>MAX(0,MIN(S46-T46,AQ46-(E46+I46+M46+Q46)))</f>
        <v/>
      </c>
      <c r="V46" s="152">
        <f>S46-T46-U46</f>
        <v/>
      </c>
      <c r="W46" s="152">
        <f>IF(Z45&lt;=0.005,0,Z45*(1+W$6))</f>
        <v/>
      </c>
      <c r="X46" s="152">
        <f>MIN(W46,W$7)</f>
        <v/>
      </c>
      <c r="Y46" s="152">
        <f>MAX(0,MIN(W46-X46,AQ46-(E46+I46+M46+Q46+U46)))</f>
        <v/>
      </c>
      <c r="Z46" s="152">
        <f>W46-X46-Y46</f>
        <v/>
      </c>
      <c r="AA46" s="152">
        <f>IF(AD45&lt;=0.005,0,AD45*(1+AA$6))</f>
        <v/>
      </c>
      <c r="AB46" s="152">
        <f>MIN(AA46,AA$7)</f>
        <v/>
      </c>
      <c r="AC46" s="152">
        <f>MAX(0,MIN(AA46-AB46,AQ46-(E46+I46+M46+Q46+U46+Y46)))</f>
        <v/>
      </c>
      <c r="AD46" s="152">
        <f>AA46-AB46-AC46</f>
        <v/>
      </c>
      <c r="AE46" s="152">
        <f>IF(AH45&lt;=0.005,0,AH45*(1+AE$6))</f>
        <v/>
      </c>
      <c r="AF46" s="152">
        <f>MIN(AE46,AE$7)</f>
        <v/>
      </c>
      <c r="AG46" s="152">
        <f>MAX(0,MIN(AE46-AF46,AQ46-(E46+I46+M46+Q46+U46+Y46+AC46)))</f>
        <v/>
      </c>
      <c r="AH46" s="152">
        <f>AE46-AF46-AG46</f>
        <v/>
      </c>
      <c r="AI46" s="152">
        <f>IF(AL45&lt;=0.005,0,AL45*(1+AI$6))</f>
        <v/>
      </c>
      <c r="AJ46" s="152">
        <f>MIN(AI46,AI$7)</f>
        <v/>
      </c>
      <c r="AK46" s="152">
        <f>MAX(0,MIN(AI46-AJ46,AQ46-(E46+I46+M46+Q46+U46+Y46+AC46+AG46)))</f>
        <v/>
      </c>
      <c r="AL46" s="152">
        <f>AI46-AJ46-AK46</f>
        <v/>
      </c>
      <c r="AM46" s="152">
        <f>IF(AP45&lt;=0.005,0,AP45*(1+AM$6))</f>
        <v/>
      </c>
      <c r="AN46" s="152">
        <f>MIN(AM46,AM$7)</f>
        <v/>
      </c>
      <c r="AO46" s="152">
        <f>MAX(0,MIN(AM46-AN46,AQ46-(E46+I46+M46+Q46+U46+Y46+AC46+AG46+AK46)))</f>
        <v/>
      </c>
      <c r="AP46" s="152">
        <f>AM46-AN46-AO46</f>
        <v/>
      </c>
      <c r="AQ46" s="152">
        <f>'Debt Payoff'!$C$8-SUM(D46,H46,L46,P46,T46,X46,AB46,AF46,AJ46,AN46)</f>
        <v/>
      </c>
      <c r="AR46" s="152">
        <f>SUM(D46,H46,L46,P46,T46,X46,AB46,AF46,AJ46,AN46)+SUM(E46,I46,M46,Q46,U46,Y46,AC46,AG46,AK46,AO46)</f>
        <v/>
      </c>
      <c r="AS46" s="152">
        <f>SUM(F46,J46,N46,R46,V46,Z46,AD46,AH46,AL46,AP46)</f>
        <v/>
      </c>
      <c r="AT46" s="152">
        <f>IF(B46&gt;AS$6,NA(),B46)</f>
        <v/>
      </c>
      <c r="AU46" s="152">
        <f>IF(B46&gt;AS$6,NA(),AS46)</f>
        <v/>
      </c>
      <c r="AV46" s="152" t="n"/>
      <c r="AW46" s="152" t="n">
        <v>35</v>
      </c>
      <c r="AX46" s="152">
        <f>IF(BA45&lt;=0.005,0,BA45*(1+AX$6))</f>
        <v/>
      </c>
      <c r="AY46" s="152">
        <f>MIN(AX46,AX$7)</f>
        <v/>
      </c>
      <c r="AZ46" s="152">
        <f>MAX(0,MIN(AX46-AY46,CL46))</f>
        <v/>
      </c>
      <c r="BA46" s="152">
        <f>AX46-AY46-AZ46</f>
        <v/>
      </c>
      <c r="BB46" s="152">
        <f>IF(BE45&lt;=0.005,0,BE45*(1+BB$6))</f>
        <v/>
      </c>
      <c r="BC46" s="152">
        <f>MIN(BB46,BB$7)</f>
        <v/>
      </c>
      <c r="BD46" s="152">
        <f>MAX(0,MIN(BB46-BC46,CL46-(AZ46)))</f>
        <v/>
      </c>
      <c r="BE46" s="152">
        <f>BB46-BC46-BD46</f>
        <v/>
      </c>
      <c r="BF46" s="152">
        <f>IF(BI45&lt;=0.005,0,BI45*(1+BF$6))</f>
        <v/>
      </c>
      <c r="BG46" s="152">
        <f>MIN(BF46,BF$7)</f>
        <v/>
      </c>
      <c r="BH46" s="152">
        <f>MAX(0,MIN(BF46-BG46,CL46-(AZ46+BD46)))</f>
        <v/>
      </c>
      <c r="BI46" s="152">
        <f>BF46-BG46-BH46</f>
        <v/>
      </c>
      <c r="BJ46" s="152">
        <f>IF(BM45&lt;=0.005,0,BM45*(1+BJ$6))</f>
        <v/>
      </c>
      <c r="BK46" s="152">
        <f>MIN(BJ46,BJ$7)</f>
        <v/>
      </c>
      <c r="BL46" s="152">
        <f>MAX(0,MIN(BJ46-BK46,CL46-(AZ46+BD46+BH46)))</f>
        <v/>
      </c>
      <c r="BM46" s="152">
        <f>BJ46-BK46-BL46</f>
        <v/>
      </c>
      <c r="BN46" s="152">
        <f>IF(BQ45&lt;=0.005,0,BQ45*(1+BN$6))</f>
        <v/>
      </c>
      <c r="BO46" s="152">
        <f>MIN(BN46,BN$7)</f>
        <v/>
      </c>
      <c r="BP46" s="152">
        <f>MAX(0,MIN(BN46-BO46,CL46-(AZ46+BD46+BH46+BL46)))</f>
        <v/>
      </c>
      <c r="BQ46" s="152">
        <f>BN46-BO46-BP46</f>
        <v/>
      </c>
      <c r="BR46" s="152">
        <f>IF(BU45&lt;=0.005,0,BU45*(1+BR$6))</f>
        <v/>
      </c>
      <c r="BS46" s="152">
        <f>MIN(BR46,BR$7)</f>
        <v/>
      </c>
      <c r="BT46" s="152">
        <f>MAX(0,MIN(BR46-BS46,CL46-(AZ46+BD46+BH46+BL46+BP46)))</f>
        <v/>
      </c>
      <c r="BU46" s="152">
        <f>BR46-BS46-BT46</f>
        <v/>
      </c>
      <c r="BV46" s="152">
        <f>IF(BY45&lt;=0.005,0,BY45*(1+BV$6))</f>
        <v/>
      </c>
      <c r="BW46" s="152">
        <f>MIN(BV46,BV$7)</f>
        <v/>
      </c>
      <c r="BX46" s="152">
        <f>MAX(0,MIN(BV46-BW46,CL46-(AZ46+BD46+BH46+BL46+BP46+BT46)))</f>
        <v/>
      </c>
      <c r="BY46" s="152">
        <f>BV46-BW46-BX46</f>
        <v/>
      </c>
      <c r="BZ46" s="152">
        <f>IF(CC45&lt;=0.005,0,CC45*(1+BZ$6))</f>
        <v/>
      </c>
      <c r="CA46" s="152">
        <f>MIN(BZ46,BZ$7)</f>
        <v/>
      </c>
      <c r="CB46" s="152">
        <f>MAX(0,MIN(BZ46-CA46,CL46-(AZ46+BD46+BH46+BL46+BP46+BT46+BX46)))</f>
        <v/>
      </c>
      <c r="CC46" s="152">
        <f>BZ46-CA46-CB46</f>
        <v/>
      </c>
      <c r="CD46" s="152">
        <f>IF(CG45&lt;=0.005,0,CG45*(1+CD$6))</f>
        <v/>
      </c>
      <c r="CE46" s="152">
        <f>MIN(CD46,CD$7)</f>
        <v/>
      </c>
      <c r="CF46" s="152">
        <f>MAX(0,MIN(CD46-CE46,CL46-(AZ46+BD46+BH46+BL46+BP46+BT46+BX46+CB46)))</f>
        <v/>
      </c>
      <c r="CG46" s="152">
        <f>CD46-CE46-CF46</f>
        <v/>
      </c>
      <c r="CH46" s="152">
        <f>IF(CK45&lt;=0.005,0,CK45*(1+CH$6))</f>
        <v/>
      </c>
      <c r="CI46" s="152">
        <f>MIN(CH46,CH$7)</f>
        <v/>
      </c>
      <c r="CJ46" s="152">
        <f>MAX(0,MIN(CH46-CI46,CL46-(AZ46+BD46+BH46+BL46+BP46+BT46+BX46+CB46+CF46)))</f>
        <v/>
      </c>
      <c r="CK46" s="152">
        <f>CH46-CI46-CJ46</f>
        <v/>
      </c>
      <c r="CL46" s="152">
        <f>'Debt Payoff'!$C$8-SUM(AY46,BC46,BG46,BK46,BO46,BS46,BW46,CA46,CE46,CI46)</f>
        <v/>
      </c>
      <c r="CM46" s="152">
        <f>SUM(AY46,BC46,BG46,BK46,BO46,BS46,BW46,CA46,CE46,CI46)+SUM(AZ46,BD46,BH46,BL46,BP46,BT46,BX46,CB46,CF46,CJ46)</f>
        <v/>
      </c>
      <c r="CN46" s="152">
        <f>SUM(BA46,BE46,BI46,BM46,BQ46,BU46,BY46,CC46,CG46,CK46)</f>
        <v/>
      </c>
      <c r="CO46" s="152">
        <f>IF(AW46&gt;CN$6,NA(),AW46)</f>
        <v/>
      </c>
      <c r="CP46" s="152">
        <f>IF(AW46&gt;CN$6,NA(),CN46)</f>
        <v/>
      </c>
    </row>
    <row r="47">
      <c r="B47" s="152" t="n">
        <v>36</v>
      </c>
      <c r="C47" s="152">
        <f>IF(F46&lt;=0.005,0,F46*(1+C$6))</f>
        <v/>
      </c>
      <c r="D47" s="152">
        <f>MIN(C47,C$7)</f>
        <v/>
      </c>
      <c r="E47" s="152">
        <f>MAX(0,MIN(C47-D47,AQ47))</f>
        <v/>
      </c>
      <c r="F47" s="152">
        <f>C47-D47-E47</f>
        <v/>
      </c>
      <c r="G47" s="152">
        <f>IF(J46&lt;=0.005,0,J46*(1+G$6))</f>
        <v/>
      </c>
      <c r="H47" s="152">
        <f>MIN(G47,G$7)</f>
        <v/>
      </c>
      <c r="I47" s="152">
        <f>MAX(0,MIN(G47-H47,AQ47-(E47)))</f>
        <v/>
      </c>
      <c r="J47" s="152">
        <f>G47-H47-I47</f>
        <v/>
      </c>
      <c r="K47" s="152">
        <f>IF(N46&lt;=0.005,0,N46*(1+K$6))</f>
        <v/>
      </c>
      <c r="L47" s="152">
        <f>MIN(K47,K$7)</f>
        <v/>
      </c>
      <c r="M47" s="152">
        <f>MAX(0,MIN(K47-L47,AQ47-(E47+I47)))</f>
        <v/>
      </c>
      <c r="N47" s="152">
        <f>K47-L47-M47</f>
        <v/>
      </c>
      <c r="O47" s="152">
        <f>IF(R46&lt;=0.005,0,R46*(1+O$6))</f>
        <v/>
      </c>
      <c r="P47" s="152">
        <f>MIN(O47,O$7)</f>
        <v/>
      </c>
      <c r="Q47" s="152">
        <f>MAX(0,MIN(O47-P47,AQ47-(E47+I47+M47)))</f>
        <v/>
      </c>
      <c r="R47" s="152">
        <f>O47-P47-Q47</f>
        <v/>
      </c>
      <c r="S47" s="152">
        <f>IF(V46&lt;=0.005,0,V46*(1+S$6))</f>
        <v/>
      </c>
      <c r="T47" s="152">
        <f>MIN(S47,S$7)</f>
        <v/>
      </c>
      <c r="U47" s="152">
        <f>MAX(0,MIN(S47-T47,AQ47-(E47+I47+M47+Q47)))</f>
        <v/>
      </c>
      <c r="V47" s="152">
        <f>S47-T47-U47</f>
        <v/>
      </c>
      <c r="W47" s="152">
        <f>IF(Z46&lt;=0.005,0,Z46*(1+W$6))</f>
        <v/>
      </c>
      <c r="X47" s="152">
        <f>MIN(W47,W$7)</f>
        <v/>
      </c>
      <c r="Y47" s="152">
        <f>MAX(0,MIN(W47-X47,AQ47-(E47+I47+M47+Q47+U47)))</f>
        <v/>
      </c>
      <c r="Z47" s="152">
        <f>W47-X47-Y47</f>
        <v/>
      </c>
      <c r="AA47" s="152">
        <f>IF(AD46&lt;=0.005,0,AD46*(1+AA$6))</f>
        <v/>
      </c>
      <c r="AB47" s="152">
        <f>MIN(AA47,AA$7)</f>
        <v/>
      </c>
      <c r="AC47" s="152">
        <f>MAX(0,MIN(AA47-AB47,AQ47-(E47+I47+M47+Q47+U47+Y47)))</f>
        <v/>
      </c>
      <c r="AD47" s="152">
        <f>AA47-AB47-AC47</f>
        <v/>
      </c>
      <c r="AE47" s="152">
        <f>IF(AH46&lt;=0.005,0,AH46*(1+AE$6))</f>
        <v/>
      </c>
      <c r="AF47" s="152">
        <f>MIN(AE47,AE$7)</f>
        <v/>
      </c>
      <c r="AG47" s="152">
        <f>MAX(0,MIN(AE47-AF47,AQ47-(E47+I47+M47+Q47+U47+Y47+AC47)))</f>
        <v/>
      </c>
      <c r="AH47" s="152">
        <f>AE47-AF47-AG47</f>
        <v/>
      </c>
      <c r="AI47" s="152">
        <f>IF(AL46&lt;=0.005,0,AL46*(1+AI$6))</f>
        <v/>
      </c>
      <c r="AJ47" s="152">
        <f>MIN(AI47,AI$7)</f>
        <v/>
      </c>
      <c r="AK47" s="152">
        <f>MAX(0,MIN(AI47-AJ47,AQ47-(E47+I47+M47+Q47+U47+Y47+AC47+AG47)))</f>
        <v/>
      </c>
      <c r="AL47" s="152">
        <f>AI47-AJ47-AK47</f>
        <v/>
      </c>
      <c r="AM47" s="152">
        <f>IF(AP46&lt;=0.005,0,AP46*(1+AM$6))</f>
        <v/>
      </c>
      <c r="AN47" s="152">
        <f>MIN(AM47,AM$7)</f>
        <v/>
      </c>
      <c r="AO47" s="152">
        <f>MAX(0,MIN(AM47-AN47,AQ47-(E47+I47+M47+Q47+U47+Y47+AC47+AG47+AK47)))</f>
        <v/>
      </c>
      <c r="AP47" s="152">
        <f>AM47-AN47-AO47</f>
        <v/>
      </c>
      <c r="AQ47" s="152">
        <f>'Debt Payoff'!$C$8-SUM(D47,H47,L47,P47,T47,X47,AB47,AF47,AJ47,AN47)</f>
        <v/>
      </c>
      <c r="AR47" s="152">
        <f>SUM(D47,H47,L47,P47,T47,X47,AB47,AF47,AJ47,AN47)+SUM(E47,I47,M47,Q47,U47,Y47,AC47,AG47,AK47,AO47)</f>
        <v/>
      </c>
      <c r="AS47" s="152">
        <f>SUM(F47,J47,N47,R47,V47,Z47,AD47,AH47,AL47,AP47)</f>
        <v/>
      </c>
      <c r="AT47" s="152">
        <f>IF(B47&gt;AS$6,NA(),B47)</f>
        <v/>
      </c>
      <c r="AU47" s="152">
        <f>IF(B47&gt;AS$6,NA(),AS47)</f>
        <v/>
      </c>
      <c r="AV47" s="152" t="n"/>
      <c r="AW47" s="152" t="n">
        <v>36</v>
      </c>
      <c r="AX47" s="152">
        <f>IF(BA46&lt;=0.005,0,BA46*(1+AX$6))</f>
        <v/>
      </c>
      <c r="AY47" s="152">
        <f>MIN(AX47,AX$7)</f>
        <v/>
      </c>
      <c r="AZ47" s="152">
        <f>MAX(0,MIN(AX47-AY47,CL47))</f>
        <v/>
      </c>
      <c r="BA47" s="152">
        <f>AX47-AY47-AZ47</f>
        <v/>
      </c>
      <c r="BB47" s="152">
        <f>IF(BE46&lt;=0.005,0,BE46*(1+BB$6))</f>
        <v/>
      </c>
      <c r="BC47" s="152">
        <f>MIN(BB47,BB$7)</f>
        <v/>
      </c>
      <c r="BD47" s="152">
        <f>MAX(0,MIN(BB47-BC47,CL47-(AZ47)))</f>
        <v/>
      </c>
      <c r="BE47" s="152">
        <f>BB47-BC47-BD47</f>
        <v/>
      </c>
      <c r="BF47" s="152">
        <f>IF(BI46&lt;=0.005,0,BI46*(1+BF$6))</f>
        <v/>
      </c>
      <c r="BG47" s="152">
        <f>MIN(BF47,BF$7)</f>
        <v/>
      </c>
      <c r="BH47" s="152">
        <f>MAX(0,MIN(BF47-BG47,CL47-(AZ47+BD47)))</f>
        <v/>
      </c>
      <c r="BI47" s="152">
        <f>BF47-BG47-BH47</f>
        <v/>
      </c>
      <c r="BJ47" s="152">
        <f>IF(BM46&lt;=0.005,0,BM46*(1+BJ$6))</f>
        <v/>
      </c>
      <c r="BK47" s="152">
        <f>MIN(BJ47,BJ$7)</f>
        <v/>
      </c>
      <c r="BL47" s="152">
        <f>MAX(0,MIN(BJ47-BK47,CL47-(AZ47+BD47+BH47)))</f>
        <v/>
      </c>
      <c r="BM47" s="152">
        <f>BJ47-BK47-BL47</f>
        <v/>
      </c>
      <c r="BN47" s="152">
        <f>IF(BQ46&lt;=0.005,0,BQ46*(1+BN$6))</f>
        <v/>
      </c>
      <c r="BO47" s="152">
        <f>MIN(BN47,BN$7)</f>
        <v/>
      </c>
      <c r="BP47" s="152">
        <f>MAX(0,MIN(BN47-BO47,CL47-(AZ47+BD47+BH47+BL47)))</f>
        <v/>
      </c>
      <c r="BQ47" s="152">
        <f>BN47-BO47-BP47</f>
        <v/>
      </c>
      <c r="BR47" s="152">
        <f>IF(BU46&lt;=0.005,0,BU46*(1+BR$6))</f>
        <v/>
      </c>
      <c r="BS47" s="152">
        <f>MIN(BR47,BR$7)</f>
        <v/>
      </c>
      <c r="BT47" s="152">
        <f>MAX(0,MIN(BR47-BS47,CL47-(AZ47+BD47+BH47+BL47+BP47)))</f>
        <v/>
      </c>
      <c r="BU47" s="152">
        <f>BR47-BS47-BT47</f>
        <v/>
      </c>
      <c r="BV47" s="152">
        <f>IF(BY46&lt;=0.005,0,BY46*(1+BV$6))</f>
        <v/>
      </c>
      <c r="BW47" s="152">
        <f>MIN(BV47,BV$7)</f>
        <v/>
      </c>
      <c r="BX47" s="152">
        <f>MAX(0,MIN(BV47-BW47,CL47-(AZ47+BD47+BH47+BL47+BP47+BT47)))</f>
        <v/>
      </c>
      <c r="BY47" s="152">
        <f>BV47-BW47-BX47</f>
        <v/>
      </c>
      <c r="BZ47" s="152">
        <f>IF(CC46&lt;=0.005,0,CC46*(1+BZ$6))</f>
        <v/>
      </c>
      <c r="CA47" s="152">
        <f>MIN(BZ47,BZ$7)</f>
        <v/>
      </c>
      <c r="CB47" s="152">
        <f>MAX(0,MIN(BZ47-CA47,CL47-(AZ47+BD47+BH47+BL47+BP47+BT47+BX47)))</f>
        <v/>
      </c>
      <c r="CC47" s="152">
        <f>BZ47-CA47-CB47</f>
        <v/>
      </c>
      <c r="CD47" s="152">
        <f>IF(CG46&lt;=0.005,0,CG46*(1+CD$6))</f>
        <v/>
      </c>
      <c r="CE47" s="152">
        <f>MIN(CD47,CD$7)</f>
        <v/>
      </c>
      <c r="CF47" s="152">
        <f>MAX(0,MIN(CD47-CE47,CL47-(AZ47+BD47+BH47+BL47+BP47+BT47+BX47+CB47)))</f>
        <v/>
      </c>
      <c r="CG47" s="152">
        <f>CD47-CE47-CF47</f>
        <v/>
      </c>
      <c r="CH47" s="152">
        <f>IF(CK46&lt;=0.005,0,CK46*(1+CH$6))</f>
        <v/>
      </c>
      <c r="CI47" s="152">
        <f>MIN(CH47,CH$7)</f>
        <v/>
      </c>
      <c r="CJ47" s="152">
        <f>MAX(0,MIN(CH47-CI47,CL47-(AZ47+BD47+BH47+BL47+BP47+BT47+BX47+CB47+CF47)))</f>
        <v/>
      </c>
      <c r="CK47" s="152">
        <f>CH47-CI47-CJ47</f>
        <v/>
      </c>
      <c r="CL47" s="152">
        <f>'Debt Payoff'!$C$8-SUM(AY47,BC47,BG47,BK47,BO47,BS47,BW47,CA47,CE47,CI47)</f>
        <v/>
      </c>
      <c r="CM47" s="152">
        <f>SUM(AY47,BC47,BG47,BK47,BO47,BS47,BW47,CA47,CE47,CI47)+SUM(AZ47,BD47,BH47,BL47,BP47,BT47,BX47,CB47,CF47,CJ47)</f>
        <v/>
      </c>
      <c r="CN47" s="152">
        <f>SUM(BA47,BE47,BI47,BM47,BQ47,BU47,BY47,CC47,CG47,CK47)</f>
        <v/>
      </c>
      <c r="CO47" s="152">
        <f>IF(AW47&gt;CN$6,NA(),AW47)</f>
        <v/>
      </c>
      <c r="CP47" s="152">
        <f>IF(AW47&gt;CN$6,NA(),CN47)</f>
        <v/>
      </c>
    </row>
    <row r="48">
      <c r="B48" s="152" t="n">
        <v>37</v>
      </c>
      <c r="C48" s="152">
        <f>IF(F47&lt;=0.005,0,F47*(1+C$6))</f>
        <v/>
      </c>
      <c r="D48" s="152">
        <f>MIN(C48,C$7)</f>
        <v/>
      </c>
      <c r="E48" s="152">
        <f>MAX(0,MIN(C48-D48,AQ48))</f>
        <v/>
      </c>
      <c r="F48" s="152">
        <f>C48-D48-E48</f>
        <v/>
      </c>
      <c r="G48" s="152">
        <f>IF(J47&lt;=0.005,0,J47*(1+G$6))</f>
        <v/>
      </c>
      <c r="H48" s="152">
        <f>MIN(G48,G$7)</f>
        <v/>
      </c>
      <c r="I48" s="152">
        <f>MAX(0,MIN(G48-H48,AQ48-(E48)))</f>
        <v/>
      </c>
      <c r="J48" s="152">
        <f>G48-H48-I48</f>
        <v/>
      </c>
      <c r="K48" s="152">
        <f>IF(N47&lt;=0.005,0,N47*(1+K$6))</f>
        <v/>
      </c>
      <c r="L48" s="152">
        <f>MIN(K48,K$7)</f>
        <v/>
      </c>
      <c r="M48" s="152">
        <f>MAX(0,MIN(K48-L48,AQ48-(E48+I48)))</f>
        <v/>
      </c>
      <c r="N48" s="152">
        <f>K48-L48-M48</f>
        <v/>
      </c>
      <c r="O48" s="152">
        <f>IF(R47&lt;=0.005,0,R47*(1+O$6))</f>
        <v/>
      </c>
      <c r="P48" s="152">
        <f>MIN(O48,O$7)</f>
        <v/>
      </c>
      <c r="Q48" s="152">
        <f>MAX(0,MIN(O48-P48,AQ48-(E48+I48+M48)))</f>
        <v/>
      </c>
      <c r="R48" s="152">
        <f>O48-P48-Q48</f>
        <v/>
      </c>
      <c r="S48" s="152">
        <f>IF(V47&lt;=0.005,0,V47*(1+S$6))</f>
        <v/>
      </c>
      <c r="T48" s="152">
        <f>MIN(S48,S$7)</f>
        <v/>
      </c>
      <c r="U48" s="152">
        <f>MAX(0,MIN(S48-T48,AQ48-(E48+I48+M48+Q48)))</f>
        <v/>
      </c>
      <c r="V48" s="152">
        <f>S48-T48-U48</f>
        <v/>
      </c>
      <c r="W48" s="152">
        <f>IF(Z47&lt;=0.005,0,Z47*(1+W$6))</f>
        <v/>
      </c>
      <c r="X48" s="152">
        <f>MIN(W48,W$7)</f>
        <v/>
      </c>
      <c r="Y48" s="152">
        <f>MAX(0,MIN(W48-X48,AQ48-(E48+I48+M48+Q48+U48)))</f>
        <v/>
      </c>
      <c r="Z48" s="152">
        <f>W48-X48-Y48</f>
        <v/>
      </c>
      <c r="AA48" s="152">
        <f>IF(AD47&lt;=0.005,0,AD47*(1+AA$6))</f>
        <v/>
      </c>
      <c r="AB48" s="152">
        <f>MIN(AA48,AA$7)</f>
        <v/>
      </c>
      <c r="AC48" s="152">
        <f>MAX(0,MIN(AA48-AB48,AQ48-(E48+I48+M48+Q48+U48+Y48)))</f>
        <v/>
      </c>
      <c r="AD48" s="152">
        <f>AA48-AB48-AC48</f>
        <v/>
      </c>
      <c r="AE48" s="152">
        <f>IF(AH47&lt;=0.005,0,AH47*(1+AE$6))</f>
        <v/>
      </c>
      <c r="AF48" s="152">
        <f>MIN(AE48,AE$7)</f>
        <v/>
      </c>
      <c r="AG48" s="152">
        <f>MAX(0,MIN(AE48-AF48,AQ48-(E48+I48+M48+Q48+U48+Y48+AC48)))</f>
        <v/>
      </c>
      <c r="AH48" s="152">
        <f>AE48-AF48-AG48</f>
        <v/>
      </c>
      <c r="AI48" s="152">
        <f>IF(AL47&lt;=0.005,0,AL47*(1+AI$6))</f>
        <v/>
      </c>
      <c r="AJ48" s="152">
        <f>MIN(AI48,AI$7)</f>
        <v/>
      </c>
      <c r="AK48" s="152">
        <f>MAX(0,MIN(AI48-AJ48,AQ48-(E48+I48+M48+Q48+U48+Y48+AC48+AG48)))</f>
        <v/>
      </c>
      <c r="AL48" s="152">
        <f>AI48-AJ48-AK48</f>
        <v/>
      </c>
      <c r="AM48" s="152">
        <f>IF(AP47&lt;=0.005,0,AP47*(1+AM$6))</f>
        <v/>
      </c>
      <c r="AN48" s="152">
        <f>MIN(AM48,AM$7)</f>
        <v/>
      </c>
      <c r="AO48" s="152">
        <f>MAX(0,MIN(AM48-AN48,AQ48-(E48+I48+M48+Q48+U48+Y48+AC48+AG48+AK48)))</f>
        <v/>
      </c>
      <c r="AP48" s="152">
        <f>AM48-AN48-AO48</f>
        <v/>
      </c>
      <c r="AQ48" s="152">
        <f>'Debt Payoff'!$C$8-SUM(D48,H48,L48,P48,T48,X48,AB48,AF48,AJ48,AN48)</f>
        <v/>
      </c>
      <c r="AR48" s="152">
        <f>SUM(D48,H48,L48,P48,T48,X48,AB48,AF48,AJ48,AN48)+SUM(E48,I48,M48,Q48,U48,Y48,AC48,AG48,AK48,AO48)</f>
        <v/>
      </c>
      <c r="AS48" s="152">
        <f>SUM(F48,J48,N48,R48,V48,Z48,AD48,AH48,AL48,AP48)</f>
        <v/>
      </c>
      <c r="AT48" s="152">
        <f>IF(B48&gt;AS$6,NA(),B48)</f>
        <v/>
      </c>
      <c r="AU48" s="152">
        <f>IF(B48&gt;AS$6,NA(),AS48)</f>
        <v/>
      </c>
      <c r="AV48" s="152" t="n"/>
      <c r="AW48" s="152" t="n">
        <v>37</v>
      </c>
      <c r="AX48" s="152">
        <f>IF(BA47&lt;=0.005,0,BA47*(1+AX$6))</f>
        <v/>
      </c>
      <c r="AY48" s="152">
        <f>MIN(AX48,AX$7)</f>
        <v/>
      </c>
      <c r="AZ48" s="152">
        <f>MAX(0,MIN(AX48-AY48,CL48))</f>
        <v/>
      </c>
      <c r="BA48" s="152">
        <f>AX48-AY48-AZ48</f>
        <v/>
      </c>
      <c r="BB48" s="152">
        <f>IF(BE47&lt;=0.005,0,BE47*(1+BB$6))</f>
        <v/>
      </c>
      <c r="BC48" s="152">
        <f>MIN(BB48,BB$7)</f>
        <v/>
      </c>
      <c r="BD48" s="152">
        <f>MAX(0,MIN(BB48-BC48,CL48-(AZ48)))</f>
        <v/>
      </c>
      <c r="BE48" s="152">
        <f>BB48-BC48-BD48</f>
        <v/>
      </c>
      <c r="BF48" s="152">
        <f>IF(BI47&lt;=0.005,0,BI47*(1+BF$6))</f>
        <v/>
      </c>
      <c r="BG48" s="152">
        <f>MIN(BF48,BF$7)</f>
        <v/>
      </c>
      <c r="BH48" s="152">
        <f>MAX(0,MIN(BF48-BG48,CL48-(AZ48+BD48)))</f>
        <v/>
      </c>
      <c r="BI48" s="152">
        <f>BF48-BG48-BH48</f>
        <v/>
      </c>
      <c r="BJ48" s="152">
        <f>IF(BM47&lt;=0.005,0,BM47*(1+BJ$6))</f>
        <v/>
      </c>
      <c r="BK48" s="152">
        <f>MIN(BJ48,BJ$7)</f>
        <v/>
      </c>
      <c r="BL48" s="152">
        <f>MAX(0,MIN(BJ48-BK48,CL48-(AZ48+BD48+BH48)))</f>
        <v/>
      </c>
      <c r="BM48" s="152">
        <f>BJ48-BK48-BL48</f>
        <v/>
      </c>
      <c r="BN48" s="152">
        <f>IF(BQ47&lt;=0.005,0,BQ47*(1+BN$6))</f>
        <v/>
      </c>
      <c r="BO48" s="152">
        <f>MIN(BN48,BN$7)</f>
        <v/>
      </c>
      <c r="BP48" s="152">
        <f>MAX(0,MIN(BN48-BO48,CL48-(AZ48+BD48+BH48+BL48)))</f>
        <v/>
      </c>
      <c r="BQ48" s="152">
        <f>BN48-BO48-BP48</f>
        <v/>
      </c>
      <c r="BR48" s="152">
        <f>IF(BU47&lt;=0.005,0,BU47*(1+BR$6))</f>
        <v/>
      </c>
      <c r="BS48" s="152">
        <f>MIN(BR48,BR$7)</f>
        <v/>
      </c>
      <c r="BT48" s="152">
        <f>MAX(0,MIN(BR48-BS48,CL48-(AZ48+BD48+BH48+BL48+BP48)))</f>
        <v/>
      </c>
      <c r="BU48" s="152">
        <f>BR48-BS48-BT48</f>
        <v/>
      </c>
      <c r="BV48" s="152">
        <f>IF(BY47&lt;=0.005,0,BY47*(1+BV$6))</f>
        <v/>
      </c>
      <c r="BW48" s="152">
        <f>MIN(BV48,BV$7)</f>
        <v/>
      </c>
      <c r="BX48" s="152">
        <f>MAX(0,MIN(BV48-BW48,CL48-(AZ48+BD48+BH48+BL48+BP48+BT48)))</f>
        <v/>
      </c>
      <c r="BY48" s="152">
        <f>BV48-BW48-BX48</f>
        <v/>
      </c>
      <c r="BZ48" s="152">
        <f>IF(CC47&lt;=0.005,0,CC47*(1+BZ$6))</f>
        <v/>
      </c>
      <c r="CA48" s="152">
        <f>MIN(BZ48,BZ$7)</f>
        <v/>
      </c>
      <c r="CB48" s="152">
        <f>MAX(0,MIN(BZ48-CA48,CL48-(AZ48+BD48+BH48+BL48+BP48+BT48+BX48)))</f>
        <v/>
      </c>
      <c r="CC48" s="152">
        <f>BZ48-CA48-CB48</f>
        <v/>
      </c>
      <c r="CD48" s="152">
        <f>IF(CG47&lt;=0.005,0,CG47*(1+CD$6))</f>
        <v/>
      </c>
      <c r="CE48" s="152">
        <f>MIN(CD48,CD$7)</f>
        <v/>
      </c>
      <c r="CF48" s="152">
        <f>MAX(0,MIN(CD48-CE48,CL48-(AZ48+BD48+BH48+BL48+BP48+BT48+BX48+CB48)))</f>
        <v/>
      </c>
      <c r="CG48" s="152">
        <f>CD48-CE48-CF48</f>
        <v/>
      </c>
      <c r="CH48" s="152">
        <f>IF(CK47&lt;=0.005,0,CK47*(1+CH$6))</f>
        <v/>
      </c>
      <c r="CI48" s="152">
        <f>MIN(CH48,CH$7)</f>
        <v/>
      </c>
      <c r="CJ48" s="152">
        <f>MAX(0,MIN(CH48-CI48,CL48-(AZ48+BD48+BH48+BL48+BP48+BT48+BX48+CB48+CF48)))</f>
        <v/>
      </c>
      <c r="CK48" s="152">
        <f>CH48-CI48-CJ48</f>
        <v/>
      </c>
      <c r="CL48" s="152">
        <f>'Debt Payoff'!$C$8-SUM(AY48,BC48,BG48,BK48,BO48,BS48,BW48,CA48,CE48,CI48)</f>
        <v/>
      </c>
      <c r="CM48" s="152">
        <f>SUM(AY48,BC48,BG48,BK48,BO48,BS48,BW48,CA48,CE48,CI48)+SUM(AZ48,BD48,BH48,BL48,BP48,BT48,BX48,CB48,CF48,CJ48)</f>
        <v/>
      </c>
      <c r="CN48" s="152">
        <f>SUM(BA48,BE48,BI48,BM48,BQ48,BU48,BY48,CC48,CG48,CK48)</f>
        <v/>
      </c>
      <c r="CO48" s="152">
        <f>IF(AW48&gt;CN$6,NA(),AW48)</f>
        <v/>
      </c>
      <c r="CP48" s="152">
        <f>IF(AW48&gt;CN$6,NA(),CN48)</f>
        <v/>
      </c>
    </row>
    <row r="49">
      <c r="B49" s="152" t="n">
        <v>38</v>
      </c>
      <c r="C49" s="152">
        <f>IF(F48&lt;=0.005,0,F48*(1+C$6))</f>
        <v/>
      </c>
      <c r="D49" s="152">
        <f>MIN(C49,C$7)</f>
        <v/>
      </c>
      <c r="E49" s="152">
        <f>MAX(0,MIN(C49-D49,AQ49))</f>
        <v/>
      </c>
      <c r="F49" s="152">
        <f>C49-D49-E49</f>
        <v/>
      </c>
      <c r="G49" s="152">
        <f>IF(J48&lt;=0.005,0,J48*(1+G$6))</f>
        <v/>
      </c>
      <c r="H49" s="152">
        <f>MIN(G49,G$7)</f>
        <v/>
      </c>
      <c r="I49" s="152">
        <f>MAX(0,MIN(G49-H49,AQ49-(E49)))</f>
        <v/>
      </c>
      <c r="J49" s="152">
        <f>G49-H49-I49</f>
        <v/>
      </c>
      <c r="K49" s="152">
        <f>IF(N48&lt;=0.005,0,N48*(1+K$6))</f>
        <v/>
      </c>
      <c r="L49" s="152">
        <f>MIN(K49,K$7)</f>
        <v/>
      </c>
      <c r="M49" s="152">
        <f>MAX(0,MIN(K49-L49,AQ49-(E49+I49)))</f>
        <v/>
      </c>
      <c r="N49" s="152">
        <f>K49-L49-M49</f>
        <v/>
      </c>
      <c r="O49" s="152">
        <f>IF(R48&lt;=0.005,0,R48*(1+O$6))</f>
        <v/>
      </c>
      <c r="P49" s="152">
        <f>MIN(O49,O$7)</f>
        <v/>
      </c>
      <c r="Q49" s="152">
        <f>MAX(0,MIN(O49-P49,AQ49-(E49+I49+M49)))</f>
        <v/>
      </c>
      <c r="R49" s="152">
        <f>O49-P49-Q49</f>
        <v/>
      </c>
      <c r="S49" s="152">
        <f>IF(V48&lt;=0.005,0,V48*(1+S$6))</f>
        <v/>
      </c>
      <c r="T49" s="152">
        <f>MIN(S49,S$7)</f>
        <v/>
      </c>
      <c r="U49" s="152">
        <f>MAX(0,MIN(S49-T49,AQ49-(E49+I49+M49+Q49)))</f>
        <v/>
      </c>
      <c r="V49" s="152">
        <f>S49-T49-U49</f>
        <v/>
      </c>
      <c r="W49" s="152">
        <f>IF(Z48&lt;=0.005,0,Z48*(1+W$6))</f>
        <v/>
      </c>
      <c r="X49" s="152">
        <f>MIN(W49,W$7)</f>
        <v/>
      </c>
      <c r="Y49" s="152">
        <f>MAX(0,MIN(W49-X49,AQ49-(E49+I49+M49+Q49+U49)))</f>
        <v/>
      </c>
      <c r="Z49" s="152">
        <f>W49-X49-Y49</f>
        <v/>
      </c>
      <c r="AA49" s="152">
        <f>IF(AD48&lt;=0.005,0,AD48*(1+AA$6))</f>
        <v/>
      </c>
      <c r="AB49" s="152">
        <f>MIN(AA49,AA$7)</f>
        <v/>
      </c>
      <c r="AC49" s="152">
        <f>MAX(0,MIN(AA49-AB49,AQ49-(E49+I49+M49+Q49+U49+Y49)))</f>
        <v/>
      </c>
      <c r="AD49" s="152">
        <f>AA49-AB49-AC49</f>
        <v/>
      </c>
      <c r="AE49" s="152">
        <f>IF(AH48&lt;=0.005,0,AH48*(1+AE$6))</f>
        <v/>
      </c>
      <c r="AF49" s="152">
        <f>MIN(AE49,AE$7)</f>
        <v/>
      </c>
      <c r="AG49" s="152">
        <f>MAX(0,MIN(AE49-AF49,AQ49-(E49+I49+M49+Q49+U49+Y49+AC49)))</f>
        <v/>
      </c>
      <c r="AH49" s="152">
        <f>AE49-AF49-AG49</f>
        <v/>
      </c>
      <c r="AI49" s="152">
        <f>IF(AL48&lt;=0.005,0,AL48*(1+AI$6))</f>
        <v/>
      </c>
      <c r="AJ49" s="152">
        <f>MIN(AI49,AI$7)</f>
        <v/>
      </c>
      <c r="AK49" s="152">
        <f>MAX(0,MIN(AI49-AJ49,AQ49-(E49+I49+M49+Q49+U49+Y49+AC49+AG49)))</f>
        <v/>
      </c>
      <c r="AL49" s="152">
        <f>AI49-AJ49-AK49</f>
        <v/>
      </c>
      <c r="AM49" s="152">
        <f>IF(AP48&lt;=0.005,0,AP48*(1+AM$6))</f>
        <v/>
      </c>
      <c r="AN49" s="152">
        <f>MIN(AM49,AM$7)</f>
        <v/>
      </c>
      <c r="AO49" s="152">
        <f>MAX(0,MIN(AM49-AN49,AQ49-(E49+I49+M49+Q49+U49+Y49+AC49+AG49+AK49)))</f>
        <v/>
      </c>
      <c r="AP49" s="152">
        <f>AM49-AN49-AO49</f>
        <v/>
      </c>
      <c r="AQ49" s="152">
        <f>'Debt Payoff'!$C$8-SUM(D49,H49,L49,P49,T49,X49,AB49,AF49,AJ49,AN49)</f>
        <v/>
      </c>
      <c r="AR49" s="152">
        <f>SUM(D49,H49,L49,P49,T49,X49,AB49,AF49,AJ49,AN49)+SUM(E49,I49,M49,Q49,U49,Y49,AC49,AG49,AK49,AO49)</f>
        <v/>
      </c>
      <c r="AS49" s="152">
        <f>SUM(F49,J49,N49,R49,V49,Z49,AD49,AH49,AL49,AP49)</f>
        <v/>
      </c>
      <c r="AT49" s="152">
        <f>IF(B49&gt;AS$6,NA(),B49)</f>
        <v/>
      </c>
      <c r="AU49" s="152">
        <f>IF(B49&gt;AS$6,NA(),AS49)</f>
        <v/>
      </c>
      <c r="AV49" s="152" t="n"/>
      <c r="AW49" s="152" t="n">
        <v>38</v>
      </c>
      <c r="AX49" s="152">
        <f>IF(BA48&lt;=0.005,0,BA48*(1+AX$6))</f>
        <v/>
      </c>
      <c r="AY49" s="152">
        <f>MIN(AX49,AX$7)</f>
        <v/>
      </c>
      <c r="AZ49" s="152">
        <f>MAX(0,MIN(AX49-AY49,CL49))</f>
        <v/>
      </c>
      <c r="BA49" s="152">
        <f>AX49-AY49-AZ49</f>
        <v/>
      </c>
      <c r="BB49" s="152">
        <f>IF(BE48&lt;=0.005,0,BE48*(1+BB$6))</f>
        <v/>
      </c>
      <c r="BC49" s="152">
        <f>MIN(BB49,BB$7)</f>
        <v/>
      </c>
      <c r="BD49" s="152">
        <f>MAX(0,MIN(BB49-BC49,CL49-(AZ49)))</f>
        <v/>
      </c>
      <c r="BE49" s="152">
        <f>BB49-BC49-BD49</f>
        <v/>
      </c>
      <c r="BF49" s="152">
        <f>IF(BI48&lt;=0.005,0,BI48*(1+BF$6))</f>
        <v/>
      </c>
      <c r="BG49" s="152">
        <f>MIN(BF49,BF$7)</f>
        <v/>
      </c>
      <c r="BH49" s="152">
        <f>MAX(0,MIN(BF49-BG49,CL49-(AZ49+BD49)))</f>
        <v/>
      </c>
      <c r="BI49" s="152">
        <f>BF49-BG49-BH49</f>
        <v/>
      </c>
      <c r="BJ49" s="152">
        <f>IF(BM48&lt;=0.005,0,BM48*(1+BJ$6))</f>
        <v/>
      </c>
      <c r="BK49" s="152">
        <f>MIN(BJ49,BJ$7)</f>
        <v/>
      </c>
      <c r="BL49" s="152">
        <f>MAX(0,MIN(BJ49-BK49,CL49-(AZ49+BD49+BH49)))</f>
        <v/>
      </c>
      <c r="BM49" s="152">
        <f>BJ49-BK49-BL49</f>
        <v/>
      </c>
      <c r="BN49" s="152">
        <f>IF(BQ48&lt;=0.005,0,BQ48*(1+BN$6))</f>
        <v/>
      </c>
      <c r="BO49" s="152">
        <f>MIN(BN49,BN$7)</f>
        <v/>
      </c>
      <c r="BP49" s="152">
        <f>MAX(0,MIN(BN49-BO49,CL49-(AZ49+BD49+BH49+BL49)))</f>
        <v/>
      </c>
      <c r="BQ49" s="152">
        <f>BN49-BO49-BP49</f>
        <v/>
      </c>
      <c r="BR49" s="152">
        <f>IF(BU48&lt;=0.005,0,BU48*(1+BR$6))</f>
        <v/>
      </c>
      <c r="BS49" s="152">
        <f>MIN(BR49,BR$7)</f>
        <v/>
      </c>
      <c r="BT49" s="152">
        <f>MAX(0,MIN(BR49-BS49,CL49-(AZ49+BD49+BH49+BL49+BP49)))</f>
        <v/>
      </c>
      <c r="BU49" s="152">
        <f>BR49-BS49-BT49</f>
        <v/>
      </c>
      <c r="BV49" s="152">
        <f>IF(BY48&lt;=0.005,0,BY48*(1+BV$6))</f>
        <v/>
      </c>
      <c r="BW49" s="152">
        <f>MIN(BV49,BV$7)</f>
        <v/>
      </c>
      <c r="BX49" s="152">
        <f>MAX(0,MIN(BV49-BW49,CL49-(AZ49+BD49+BH49+BL49+BP49+BT49)))</f>
        <v/>
      </c>
      <c r="BY49" s="152">
        <f>BV49-BW49-BX49</f>
        <v/>
      </c>
      <c r="BZ49" s="152">
        <f>IF(CC48&lt;=0.005,0,CC48*(1+BZ$6))</f>
        <v/>
      </c>
      <c r="CA49" s="152">
        <f>MIN(BZ49,BZ$7)</f>
        <v/>
      </c>
      <c r="CB49" s="152">
        <f>MAX(0,MIN(BZ49-CA49,CL49-(AZ49+BD49+BH49+BL49+BP49+BT49+BX49)))</f>
        <v/>
      </c>
      <c r="CC49" s="152">
        <f>BZ49-CA49-CB49</f>
        <v/>
      </c>
      <c r="CD49" s="152">
        <f>IF(CG48&lt;=0.005,0,CG48*(1+CD$6))</f>
        <v/>
      </c>
      <c r="CE49" s="152">
        <f>MIN(CD49,CD$7)</f>
        <v/>
      </c>
      <c r="CF49" s="152">
        <f>MAX(0,MIN(CD49-CE49,CL49-(AZ49+BD49+BH49+BL49+BP49+BT49+BX49+CB49)))</f>
        <v/>
      </c>
      <c r="CG49" s="152">
        <f>CD49-CE49-CF49</f>
        <v/>
      </c>
      <c r="CH49" s="152">
        <f>IF(CK48&lt;=0.005,0,CK48*(1+CH$6))</f>
        <v/>
      </c>
      <c r="CI49" s="152">
        <f>MIN(CH49,CH$7)</f>
        <v/>
      </c>
      <c r="CJ49" s="152">
        <f>MAX(0,MIN(CH49-CI49,CL49-(AZ49+BD49+BH49+BL49+BP49+BT49+BX49+CB49+CF49)))</f>
        <v/>
      </c>
      <c r="CK49" s="152">
        <f>CH49-CI49-CJ49</f>
        <v/>
      </c>
      <c r="CL49" s="152">
        <f>'Debt Payoff'!$C$8-SUM(AY49,BC49,BG49,BK49,BO49,BS49,BW49,CA49,CE49,CI49)</f>
        <v/>
      </c>
      <c r="CM49" s="152">
        <f>SUM(AY49,BC49,BG49,BK49,BO49,BS49,BW49,CA49,CE49,CI49)+SUM(AZ49,BD49,BH49,BL49,BP49,BT49,BX49,CB49,CF49,CJ49)</f>
        <v/>
      </c>
      <c r="CN49" s="152">
        <f>SUM(BA49,BE49,BI49,BM49,BQ49,BU49,BY49,CC49,CG49,CK49)</f>
        <v/>
      </c>
      <c r="CO49" s="152">
        <f>IF(AW49&gt;CN$6,NA(),AW49)</f>
        <v/>
      </c>
      <c r="CP49" s="152">
        <f>IF(AW49&gt;CN$6,NA(),CN49)</f>
        <v/>
      </c>
    </row>
    <row r="50">
      <c r="B50" s="152" t="n">
        <v>39</v>
      </c>
      <c r="C50" s="152">
        <f>IF(F49&lt;=0.005,0,F49*(1+C$6))</f>
        <v/>
      </c>
      <c r="D50" s="152">
        <f>MIN(C50,C$7)</f>
        <v/>
      </c>
      <c r="E50" s="152">
        <f>MAX(0,MIN(C50-D50,AQ50))</f>
        <v/>
      </c>
      <c r="F50" s="152">
        <f>C50-D50-E50</f>
        <v/>
      </c>
      <c r="G50" s="152">
        <f>IF(J49&lt;=0.005,0,J49*(1+G$6))</f>
        <v/>
      </c>
      <c r="H50" s="152">
        <f>MIN(G50,G$7)</f>
        <v/>
      </c>
      <c r="I50" s="152">
        <f>MAX(0,MIN(G50-H50,AQ50-(E50)))</f>
        <v/>
      </c>
      <c r="J50" s="152">
        <f>G50-H50-I50</f>
        <v/>
      </c>
      <c r="K50" s="152">
        <f>IF(N49&lt;=0.005,0,N49*(1+K$6))</f>
        <v/>
      </c>
      <c r="L50" s="152">
        <f>MIN(K50,K$7)</f>
        <v/>
      </c>
      <c r="M50" s="152">
        <f>MAX(0,MIN(K50-L50,AQ50-(E50+I50)))</f>
        <v/>
      </c>
      <c r="N50" s="152">
        <f>K50-L50-M50</f>
        <v/>
      </c>
      <c r="O50" s="152">
        <f>IF(R49&lt;=0.005,0,R49*(1+O$6))</f>
        <v/>
      </c>
      <c r="P50" s="152">
        <f>MIN(O50,O$7)</f>
        <v/>
      </c>
      <c r="Q50" s="152">
        <f>MAX(0,MIN(O50-P50,AQ50-(E50+I50+M50)))</f>
        <v/>
      </c>
      <c r="R50" s="152">
        <f>O50-P50-Q50</f>
        <v/>
      </c>
      <c r="S50" s="152">
        <f>IF(V49&lt;=0.005,0,V49*(1+S$6))</f>
        <v/>
      </c>
      <c r="T50" s="152">
        <f>MIN(S50,S$7)</f>
        <v/>
      </c>
      <c r="U50" s="152">
        <f>MAX(0,MIN(S50-T50,AQ50-(E50+I50+M50+Q50)))</f>
        <v/>
      </c>
      <c r="V50" s="152">
        <f>S50-T50-U50</f>
        <v/>
      </c>
      <c r="W50" s="152">
        <f>IF(Z49&lt;=0.005,0,Z49*(1+W$6))</f>
        <v/>
      </c>
      <c r="X50" s="152">
        <f>MIN(W50,W$7)</f>
        <v/>
      </c>
      <c r="Y50" s="152">
        <f>MAX(0,MIN(W50-X50,AQ50-(E50+I50+M50+Q50+U50)))</f>
        <v/>
      </c>
      <c r="Z50" s="152">
        <f>W50-X50-Y50</f>
        <v/>
      </c>
      <c r="AA50" s="152">
        <f>IF(AD49&lt;=0.005,0,AD49*(1+AA$6))</f>
        <v/>
      </c>
      <c r="AB50" s="152">
        <f>MIN(AA50,AA$7)</f>
        <v/>
      </c>
      <c r="AC50" s="152">
        <f>MAX(0,MIN(AA50-AB50,AQ50-(E50+I50+M50+Q50+U50+Y50)))</f>
        <v/>
      </c>
      <c r="AD50" s="152">
        <f>AA50-AB50-AC50</f>
        <v/>
      </c>
      <c r="AE50" s="152">
        <f>IF(AH49&lt;=0.005,0,AH49*(1+AE$6))</f>
        <v/>
      </c>
      <c r="AF50" s="152">
        <f>MIN(AE50,AE$7)</f>
        <v/>
      </c>
      <c r="AG50" s="152">
        <f>MAX(0,MIN(AE50-AF50,AQ50-(E50+I50+M50+Q50+U50+Y50+AC50)))</f>
        <v/>
      </c>
      <c r="AH50" s="152">
        <f>AE50-AF50-AG50</f>
        <v/>
      </c>
      <c r="AI50" s="152">
        <f>IF(AL49&lt;=0.005,0,AL49*(1+AI$6))</f>
        <v/>
      </c>
      <c r="AJ50" s="152">
        <f>MIN(AI50,AI$7)</f>
        <v/>
      </c>
      <c r="AK50" s="152">
        <f>MAX(0,MIN(AI50-AJ50,AQ50-(E50+I50+M50+Q50+U50+Y50+AC50+AG50)))</f>
        <v/>
      </c>
      <c r="AL50" s="152">
        <f>AI50-AJ50-AK50</f>
        <v/>
      </c>
      <c r="AM50" s="152">
        <f>IF(AP49&lt;=0.005,0,AP49*(1+AM$6))</f>
        <v/>
      </c>
      <c r="AN50" s="152">
        <f>MIN(AM50,AM$7)</f>
        <v/>
      </c>
      <c r="AO50" s="152">
        <f>MAX(0,MIN(AM50-AN50,AQ50-(E50+I50+M50+Q50+U50+Y50+AC50+AG50+AK50)))</f>
        <v/>
      </c>
      <c r="AP50" s="152">
        <f>AM50-AN50-AO50</f>
        <v/>
      </c>
      <c r="AQ50" s="152">
        <f>'Debt Payoff'!$C$8-SUM(D50,H50,L50,P50,T50,X50,AB50,AF50,AJ50,AN50)</f>
        <v/>
      </c>
      <c r="AR50" s="152">
        <f>SUM(D50,H50,L50,P50,T50,X50,AB50,AF50,AJ50,AN50)+SUM(E50,I50,M50,Q50,U50,Y50,AC50,AG50,AK50,AO50)</f>
        <v/>
      </c>
      <c r="AS50" s="152">
        <f>SUM(F50,J50,N50,R50,V50,Z50,AD50,AH50,AL50,AP50)</f>
        <v/>
      </c>
      <c r="AT50" s="152">
        <f>IF(B50&gt;AS$6,NA(),B50)</f>
        <v/>
      </c>
      <c r="AU50" s="152">
        <f>IF(B50&gt;AS$6,NA(),AS50)</f>
        <v/>
      </c>
      <c r="AV50" s="152" t="n"/>
      <c r="AW50" s="152" t="n">
        <v>39</v>
      </c>
      <c r="AX50" s="152">
        <f>IF(BA49&lt;=0.005,0,BA49*(1+AX$6))</f>
        <v/>
      </c>
      <c r="AY50" s="152">
        <f>MIN(AX50,AX$7)</f>
        <v/>
      </c>
      <c r="AZ50" s="152">
        <f>MAX(0,MIN(AX50-AY50,CL50))</f>
        <v/>
      </c>
      <c r="BA50" s="152">
        <f>AX50-AY50-AZ50</f>
        <v/>
      </c>
      <c r="BB50" s="152">
        <f>IF(BE49&lt;=0.005,0,BE49*(1+BB$6))</f>
        <v/>
      </c>
      <c r="BC50" s="152">
        <f>MIN(BB50,BB$7)</f>
        <v/>
      </c>
      <c r="BD50" s="152">
        <f>MAX(0,MIN(BB50-BC50,CL50-(AZ50)))</f>
        <v/>
      </c>
      <c r="BE50" s="152">
        <f>BB50-BC50-BD50</f>
        <v/>
      </c>
      <c r="BF50" s="152">
        <f>IF(BI49&lt;=0.005,0,BI49*(1+BF$6))</f>
        <v/>
      </c>
      <c r="BG50" s="152">
        <f>MIN(BF50,BF$7)</f>
        <v/>
      </c>
      <c r="BH50" s="152">
        <f>MAX(0,MIN(BF50-BG50,CL50-(AZ50+BD50)))</f>
        <v/>
      </c>
      <c r="BI50" s="152">
        <f>BF50-BG50-BH50</f>
        <v/>
      </c>
      <c r="BJ50" s="152">
        <f>IF(BM49&lt;=0.005,0,BM49*(1+BJ$6))</f>
        <v/>
      </c>
      <c r="BK50" s="152">
        <f>MIN(BJ50,BJ$7)</f>
        <v/>
      </c>
      <c r="BL50" s="152">
        <f>MAX(0,MIN(BJ50-BK50,CL50-(AZ50+BD50+BH50)))</f>
        <v/>
      </c>
      <c r="BM50" s="152">
        <f>BJ50-BK50-BL50</f>
        <v/>
      </c>
      <c r="BN50" s="152">
        <f>IF(BQ49&lt;=0.005,0,BQ49*(1+BN$6))</f>
        <v/>
      </c>
      <c r="BO50" s="152">
        <f>MIN(BN50,BN$7)</f>
        <v/>
      </c>
      <c r="BP50" s="152">
        <f>MAX(0,MIN(BN50-BO50,CL50-(AZ50+BD50+BH50+BL50)))</f>
        <v/>
      </c>
      <c r="BQ50" s="152">
        <f>BN50-BO50-BP50</f>
        <v/>
      </c>
      <c r="BR50" s="152">
        <f>IF(BU49&lt;=0.005,0,BU49*(1+BR$6))</f>
        <v/>
      </c>
      <c r="BS50" s="152">
        <f>MIN(BR50,BR$7)</f>
        <v/>
      </c>
      <c r="BT50" s="152">
        <f>MAX(0,MIN(BR50-BS50,CL50-(AZ50+BD50+BH50+BL50+BP50)))</f>
        <v/>
      </c>
      <c r="BU50" s="152">
        <f>BR50-BS50-BT50</f>
        <v/>
      </c>
      <c r="BV50" s="152">
        <f>IF(BY49&lt;=0.005,0,BY49*(1+BV$6))</f>
        <v/>
      </c>
      <c r="BW50" s="152">
        <f>MIN(BV50,BV$7)</f>
        <v/>
      </c>
      <c r="BX50" s="152">
        <f>MAX(0,MIN(BV50-BW50,CL50-(AZ50+BD50+BH50+BL50+BP50+BT50)))</f>
        <v/>
      </c>
      <c r="BY50" s="152">
        <f>BV50-BW50-BX50</f>
        <v/>
      </c>
      <c r="BZ50" s="152">
        <f>IF(CC49&lt;=0.005,0,CC49*(1+BZ$6))</f>
        <v/>
      </c>
      <c r="CA50" s="152">
        <f>MIN(BZ50,BZ$7)</f>
        <v/>
      </c>
      <c r="CB50" s="152">
        <f>MAX(0,MIN(BZ50-CA50,CL50-(AZ50+BD50+BH50+BL50+BP50+BT50+BX50)))</f>
        <v/>
      </c>
      <c r="CC50" s="152">
        <f>BZ50-CA50-CB50</f>
        <v/>
      </c>
      <c r="CD50" s="152">
        <f>IF(CG49&lt;=0.005,0,CG49*(1+CD$6))</f>
        <v/>
      </c>
      <c r="CE50" s="152">
        <f>MIN(CD50,CD$7)</f>
        <v/>
      </c>
      <c r="CF50" s="152">
        <f>MAX(0,MIN(CD50-CE50,CL50-(AZ50+BD50+BH50+BL50+BP50+BT50+BX50+CB50)))</f>
        <v/>
      </c>
      <c r="CG50" s="152">
        <f>CD50-CE50-CF50</f>
        <v/>
      </c>
      <c r="CH50" s="152">
        <f>IF(CK49&lt;=0.005,0,CK49*(1+CH$6))</f>
        <v/>
      </c>
      <c r="CI50" s="152">
        <f>MIN(CH50,CH$7)</f>
        <v/>
      </c>
      <c r="CJ50" s="152">
        <f>MAX(0,MIN(CH50-CI50,CL50-(AZ50+BD50+BH50+BL50+BP50+BT50+BX50+CB50+CF50)))</f>
        <v/>
      </c>
      <c r="CK50" s="152">
        <f>CH50-CI50-CJ50</f>
        <v/>
      </c>
      <c r="CL50" s="152">
        <f>'Debt Payoff'!$C$8-SUM(AY50,BC50,BG50,BK50,BO50,BS50,BW50,CA50,CE50,CI50)</f>
        <v/>
      </c>
      <c r="CM50" s="152">
        <f>SUM(AY50,BC50,BG50,BK50,BO50,BS50,BW50,CA50,CE50,CI50)+SUM(AZ50,BD50,BH50,BL50,BP50,BT50,BX50,CB50,CF50,CJ50)</f>
        <v/>
      </c>
      <c r="CN50" s="152">
        <f>SUM(BA50,BE50,BI50,BM50,BQ50,BU50,BY50,CC50,CG50,CK50)</f>
        <v/>
      </c>
      <c r="CO50" s="152">
        <f>IF(AW50&gt;CN$6,NA(),AW50)</f>
        <v/>
      </c>
      <c r="CP50" s="152">
        <f>IF(AW50&gt;CN$6,NA(),CN50)</f>
        <v/>
      </c>
    </row>
    <row r="51">
      <c r="B51" s="152" t="n">
        <v>40</v>
      </c>
      <c r="C51" s="152">
        <f>IF(F50&lt;=0.005,0,F50*(1+C$6))</f>
        <v/>
      </c>
      <c r="D51" s="152">
        <f>MIN(C51,C$7)</f>
        <v/>
      </c>
      <c r="E51" s="152">
        <f>MAX(0,MIN(C51-D51,AQ51))</f>
        <v/>
      </c>
      <c r="F51" s="152">
        <f>C51-D51-E51</f>
        <v/>
      </c>
      <c r="G51" s="152">
        <f>IF(J50&lt;=0.005,0,J50*(1+G$6))</f>
        <v/>
      </c>
      <c r="H51" s="152">
        <f>MIN(G51,G$7)</f>
        <v/>
      </c>
      <c r="I51" s="152">
        <f>MAX(0,MIN(G51-H51,AQ51-(E51)))</f>
        <v/>
      </c>
      <c r="J51" s="152">
        <f>G51-H51-I51</f>
        <v/>
      </c>
      <c r="K51" s="152">
        <f>IF(N50&lt;=0.005,0,N50*(1+K$6))</f>
        <v/>
      </c>
      <c r="L51" s="152">
        <f>MIN(K51,K$7)</f>
        <v/>
      </c>
      <c r="M51" s="152">
        <f>MAX(0,MIN(K51-L51,AQ51-(E51+I51)))</f>
        <v/>
      </c>
      <c r="N51" s="152">
        <f>K51-L51-M51</f>
        <v/>
      </c>
      <c r="O51" s="152">
        <f>IF(R50&lt;=0.005,0,R50*(1+O$6))</f>
        <v/>
      </c>
      <c r="P51" s="152">
        <f>MIN(O51,O$7)</f>
        <v/>
      </c>
      <c r="Q51" s="152">
        <f>MAX(0,MIN(O51-P51,AQ51-(E51+I51+M51)))</f>
        <v/>
      </c>
      <c r="R51" s="152">
        <f>O51-P51-Q51</f>
        <v/>
      </c>
      <c r="S51" s="152">
        <f>IF(V50&lt;=0.005,0,V50*(1+S$6))</f>
        <v/>
      </c>
      <c r="T51" s="152">
        <f>MIN(S51,S$7)</f>
        <v/>
      </c>
      <c r="U51" s="152">
        <f>MAX(0,MIN(S51-T51,AQ51-(E51+I51+M51+Q51)))</f>
        <v/>
      </c>
      <c r="V51" s="152">
        <f>S51-T51-U51</f>
        <v/>
      </c>
      <c r="W51" s="152">
        <f>IF(Z50&lt;=0.005,0,Z50*(1+W$6))</f>
        <v/>
      </c>
      <c r="X51" s="152">
        <f>MIN(W51,W$7)</f>
        <v/>
      </c>
      <c r="Y51" s="152">
        <f>MAX(0,MIN(W51-X51,AQ51-(E51+I51+M51+Q51+U51)))</f>
        <v/>
      </c>
      <c r="Z51" s="152">
        <f>W51-X51-Y51</f>
        <v/>
      </c>
      <c r="AA51" s="152">
        <f>IF(AD50&lt;=0.005,0,AD50*(1+AA$6))</f>
        <v/>
      </c>
      <c r="AB51" s="152">
        <f>MIN(AA51,AA$7)</f>
        <v/>
      </c>
      <c r="AC51" s="152">
        <f>MAX(0,MIN(AA51-AB51,AQ51-(E51+I51+M51+Q51+U51+Y51)))</f>
        <v/>
      </c>
      <c r="AD51" s="152">
        <f>AA51-AB51-AC51</f>
        <v/>
      </c>
      <c r="AE51" s="152">
        <f>IF(AH50&lt;=0.005,0,AH50*(1+AE$6))</f>
        <v/>
      </c>
      <c r="AF51" s="152">
        <f>MIN(AE51,AE$7)</f>
        <v/>
      </c>
      <c r="AG51" s="152">
        <f>MAX(0,MIN(AE51-AF51,AQ51-(E51+I51+M51+Q51+U51+Y51+AC51)))</f>
        <v/>
      </c>
      <c r="AH51" s="152">
        <f>AE51-AF51-AG51</f>
        <v/>
      </c>
      <c r="AI51" s="152">
        <f>IF(AL50&lt;=0.005,0,AL50*(1+AI$6))</f>
        <v/>
      </c>
      <c r="AJ51" s="152">
        <f>MIN(AI51,AI$7)</f>
        <v/>
      </c>
      <c r="AK51" s="152">
        <f>MAX(0,MIN(AI51-AJ51,AQ51-(E51+I51+M51+Q51+U51+Y51+AC51+AG51)))</f>
        <v/>
      </c>
      <c r="AL51" s="152">
        <f>AI51-AJ51-AK51</f>
        <v/>
      </c>
      <c r="AM51" s="152">
        <f>IF(AP50&lt;=0.005,0,AP50*(1+AM$6))</f>
        <v/>
      </c>
      <c r="AN51" s="152">
        <f>MIN(AM51,AM$7)</f>
        <v/>
      </c>
      <c r="AO51" s="152">
        <f>MAX(0,MIN(AM51-AN51,AQ51-(E51+I51+M51+Q51+U51+Y51+AC51+AG51+AK51)))</f>
        <v/>
      </c>
      <c r="AP51" s="152">
        <f>AM51-AN51-AO51</f>
        <v/>
      </c>
      <c r="AQ51" s="152">
        <f>'Debt Payoff'!$C$8-SUM(D51,H51,L51,P51,T51,X51,AB51,AF51,AJ51,AN51)</f>
        <v/>
      </c>
      <c r="AR51" s="152">
        <f>SUM(D51,H51,L51,P51,T51,X51,AB51,AF51,AJ51,AN51)+SUM(E51,I51,M51,Q51,U51,Y51,AC51,AG51,AK51,AO51)</f>
        <v/>
      </c>
      <c r="AS51" s="152">
        <f>SUM(F51,J51,N51,R51,V51,Z51,AD51,AH51,AL51,AP51)</f>
        <v/>
      </c>
      <c r="AT51" s="152">
        <f>IF(B51&gt;AS$6,NA(),B51)</f>
        <v/>
      </c>
      <c r="AU51" s="152">
        <f>IF(B51&gt;AS$6,NA(),AS51)</f>
        <v/>
      </c>
      <c r="AV51" s="152" t="n"/>
      <c r="AW51" s="152" t="n">
        <v>40</v>
      </c>
      <c r="AX51" s="152">
        <f>IF(BA50&lt;=0.005,0,BA50*(1+AX$6))</f>
        <v/>
      </c>
      <c r="AY51" s="152">
        <f>MIN(AX51,AX$7)</f>
        <v/>
      </c>
      <c r="AZ51" s="152">
        <f>MAX(0,MIN(AX51-AY51,CL51))</f>
        <v/>
      </c>
      <c r="BA51" s="152">
        <f>AX51-AY51-AZ51</f>
        <v/>
      </c>
      <c r="BB51" s="152">
        <f>IF(BE50&lt;=0.005,0,BE50*(1+BB$6))</f>
        <v/>
      </c>
      <c r="BC51" s="152">
        <f>MIN(BB51,BB$7)</f>
        <v/>
      </c>
      <c r="BD51" s="152">
        <f>MAX(0,MIN(BB51-BC51,CL51-(AZ51)))</f>
        <v/>
      </c>
      <c r="BE51" s="152">
        <f>BB51-BC51-BD51</f>
        <v/>
      </c>
      <c r="BF51" s="152">
        <f>IF(BI50&lt;=0.005,0,BI50*(1+BF$6))</f>
        <v/>
      </c>
      <c r="BG51" s="152">
        <f>MIN(BF51,BF$7)</f>
        <v/>
      </c>
      <c r="BH51" s="152">
        <f>MAX(0,MIN(BF51-BG51,CL51-(AZ51+BD51)))</f>
        <v/>
      </c>
      <c r="BI51" s="152">
        <f>BF51-BG51-BH51</f>
        <v/>
      </c>
      <c r="BJ51" s="152">
        <f>IF(BM50&lt;=0.005,0,BM50*(1+BJ$6))</f>
        <v/>
      </c>
      <c r="BK51" s="152">
        <f>MIN(BJ51,BJ$7)</f>
        <v/>
      </c>
      <c r="BL51" s="152">
        <f>MAX(0,MIN(BJ51-BK51,CL51-(AZ51+BD51+BH51)))</f>
        <v/>
      </c>
      <c r="BM51" s="152">
        <f>BJ51-BK51-BL51</f>
        <v/>
      </c>
      <c r="BN51" s="152">
        <f>IF(BQ50&lt;=0.005,0,BQ50*(1+BN$6))</f>
        <v/>
      </c>
      <c r="BO51" s="152">
        <f>MIN(BN51,BN$7)</f>
        <v/>
      </c>
      <c r="BP51" s="152">
        <f>MAX(0,MIN(BN51-BO51,CL51-(AZ51+BD51+BH51+BL51)))</f>
        <v/>
      </c>
      <c r="BQ51" s="152">
        <f>BN51-BO51-BP51</f>
        <v/>
      </c>
      <c r="BR51" s="152">
        <f>IF(BU50&lt;=0.005,0,BU50*(1+BR$6))</f>
        <v/>
      </c>
      <c r="BS51" s="152">
        <f>MIN(BR51,BR$7)</f>
        <v/>
      </c>
      <c r="BT51" s="152">
        <f>MAX(0,MIN(BR51-BS51,CL51-(AZ51+BD51+BH51+BL51+BP51)))</f>
        <v/>
      </c>
      <c r="BU51" s="152">
        <f>BR51-BS51-BT51</f>
        <v/>
      </c>
      <c r="BV51" s="152">
        <f>IF(BY50&lt;=0.005,0,BY50*(1+BV$6))</f>
        <v/>
      </c>
      <c r="BW51" s="152">
        <f>MIN(BV51,BV$7)</f>
        <v/>
      </c>
      <c r="BX51" s="152">
        <f>MAX(0,MIN(BV51-BW51,CL51-(AZ51+BD51+BH51+BL51+BP51+BT51)))</f>
        <v/>
      </c>
      <c r="BY51" s="152">
        <f>BV51-BW51-BX51</f>
        <v/>
      </c>
      <c r="BZ51" s="152">
        <f>IF(CC50&lt;=0.005,0,CC50*(1+BZ$6))</f>
        <v/>
      </c>
      <c r="CA51" s="152">
        <f>MIN(BZ51,BZ$7)</f>
        <v/>
      </c>
      <c r="CB51" s="152">
        <f>MAX(0,MIN(BZ51-CA51,CL51-(AZ51+BD51+BH51+BL51+BP51+BT51+BX51)))</f>
        <v/>
      </c>
      <c r="CC51" s="152">
        <f>BZ51-CA51-CB51</f>
        <v/>
      </c>
      <c r="CD51" s="152">
        <f>IF(CG50&lt;=0.005,0,CG50*(1+CD$6))</f>
        <v/>
      </c>
      <c r="CE51" s="152">
        <f>MIN(CD51,CD$7)</f>
        <v/>
      </c>
      <c r="CF51" s="152">
        <f>MAX(0,MIN(CD51-CE51,CL51-(AZ51+BD51+BH51+BL51+BP51+BT51+BX51+CB51)))</f>
        <v/>
      </c>
      <c r="CG51" s="152">
        <f>CD51-CE51-CF51</f>
        <v/>
      </c>
      <c r="CH51" s="152">
        <f>IF(CK50&lt;=0.005,0,CK50*(1+CH$6))</f>
        <v/>
      </c>
      <c r="CI51" s="152">
        <f>MIN(CH51,CH$7)</f>
        <v/>
      </c>
      <c r="CJ51" s="152">
        <f>MAX(0,MIN(CH51-CI51,CL51-(AZ51+BD51+BH51+BL51+BP51+BT51+BX51+CB51+CF51)))</f>
        <v/>
      </c>
      <c r="CK51" s="152">
        <f>CH51-CI51-CJ51</f>
        <v/>
      </c>
      <c r="CL51" s="152">
        <f>'Debt Payoff'!$C$8-SUM(AY51,BC51,BG51,BK51,BO51,BS51,BW51,CA51,CE51,CI51)</f>
        <v/>
      </c>
      <c r="CM51" s="152">
        <f>SUM(AY51,BC51,BG51,BK51,BO51,BS51,BW51,CA51,CE51,CI51)+SUM(AZ51,BD51,BH51,BL51,BP51,BT51,BX51,CB51,CF51,CJ51)</f>
        <v/>
      </c>
      <c r="CN51" s="152">
        <f>SUM(BA51,BE51,BI51,BM51,BQ51,BU51,BY51,CC51,CG51,CK51)</f>
        <v/>
      </c>
      <c r="CO51" s="152">
        <f>IF(AW51&gt;CN$6,NA(),AW51)</f>
        <v/>
      </c>
      <c r="CP51" s="152">
        <f>IF(AW51&gt;CN$6,NA(),CN51)</f>
        <v/>
      </c>
    </row>
    <row r="52">
      <c r="B52" s="152" t="n">
        <v>41</v>
      </c>
      <c r="C52" s="152">
        <f>IF(F51&lt;=0.005,0,F51*(1+C$6))</f>
        <v/>
      </c>
      <c r="D52" s="152">
        <f>MIN(C52,C$7)</f>
        <v/>
      </c>
      <c r="E52" s="152">
        <f>MAX(0,MIN(C52-D52,AQ52))</f>
        <v/>
      </c>
      <c r="F52" s="152">
        <f>C52-D52-E52</f>
        <v/>
      </c>
      <c r="G52" s="152">
        <f>IF(J51&lt;=0.005,0,J51*(1+G$6))</f>
        <v/>
      </c>
      <c r="H52" s="152">
        <f>MIN(G52,G$7)</f>
        <v/>
      </c>
      <c r="I52" s="152">
        <f>MAX(0,MIN(G52-H52,AQ52-(E52)))</f>
        <v/>
      </c>
      <c r="J52" s="152">
        <f>G52-H52-I52</f>
        <v/>
      </c>
      <c r="K52" s="152">
        <f>IF(N51&lt;=0.005,0,N51*(1+K$6))</f>
        <v/>
      </c>
      <c r="L52" s="152">
        <f>MIN(K52,K$7)</f>
        <v/>
      </c>
      <c r="M52" s="152">
        <f>MAX(0,MIN(K52-L52,AQ52-(E52+I52)))</f>
        <v/>
      </c>
      <c r="N52" s="152">
        <f>K52-L52-M52</f>
        <v/>
      </c>
      <c r="O52" s="152">
        <f>IF(R51&lt;=0.005,0,R51*(1+O$6))</f>
        <v/>
      </c>
      <c r="P52" s="152">
        <f>MIN(O52,O$7)</f>
        <v/>
      </c>
      <c r="Q52" s="152">
        <f>MAX(0,MIN(O52-P52,AQ52-(E52+I52+M52)))</f>
        <v/>
      </c>
      <c r="R52" s="152">
        <f>O52-P52-Q52</f>
        <v/>
      </c>
      <c r="S52" s="152">
        <f>IF(V51&lt;=0.005,0,V51*(1+S$6))</f>
        <v/>
      </c>
      <c r="T52" s="152">
        <f>MIN(S52,S$7)</f>
        <v/>
      </c>
      <c r="U52" s="152">
        <f>MAX(0,MIN(S52-T52,AQ52-(E52+I52+M52+Q52)))</f>
        <v/>
      </c>
      <c r="V52" s="152">
        <f>S52-T52-U52</f>
        <v/>
      </c>
      <c r="W52" s="152">
        <f>IF(Z51&lt;=0.005,0,Z51*(1+W$6))</f>
        <v/>
      </c>
      <c r="X52" s="152">
        <f>MIN(W52,W$7)</f>
        <v/>
      </c>
      <c r="Y52" s="152">
        <f>MAX(0,MIN(W52-X52,AQ52-(E52+I52+M52+Q52+U52)))</f>
        <v/>
      </c>
      <c r="Z52" s="152">
        <f>W52-X52-Y52</f>
        <v/>
      </c>
      <c r="AA52" s="152">
        <f>IF(AD51&lt;=0.005,0,AD51*(1+AA$6))</f>
        <v/>
      </c>
      <c r="AB52" s="152">
        <f>MIN(AA52,AA$7)</f>
        <v/>
      </c>
      <c r="AC52" s="152">
        <f>MAX(0,MIN(AA52-AB52,AQ52-(E52+I52+M52+Q52+U52+Y52)))</f>
        <v/>
      </c>
      <c r="AD52" s="152">
        <f>AA52-AB52-AC52</f>
        <v/>
      </c>
      <c r="AE52" s="152">
        <f>IF(AH51&lt;=0.005,0,AH51*(1+AE$6))</f>
        <v/>
      </c>
      <c r="AF52" s="152">
        <f>MIN(AE52,AE$7)</f>
        <v/>
      </c>
      <c r="AG52" s="152">
        <f>MAX(0,MIN(AE52-AF52,AQ52-(E52+I52+M52+Q52+U52+Y52+AC52)))</f>
        <v/>
      </c>
      <c r="AH52" s="152">
        <f>AE52-AF52-AG52</f>
        <v/>
      </c>
      <c r="AI52" s="152">
        <f>IF(AL51&lt;=0.005,0,AL51*(1+AI$6))</f>
        <v/>
      </c>
      <c r="AJ52" s="152">
        <f>MIN(AI52,AI$7)</f>
        <v/>
      </c>
      <c r="AK52" s="152">
        <f>MAX(0,MIN(AI52-AJ52,AQ52-(E52+I52+M52+Q52+U52+Y52+AC52+AG52)))</f>
        <v/>
      </c>
      <c r="AL52" s="152">
        <f>AI52-AJ52-AK52</f>
        <v/>
      </c>
      <c r="AM52" s="152">
        <f>IF(AP51&lt;=0.005,0,AP51*(1+AM$6))</f>
        <v/>
      </c>
      <c r="AN52" s="152">
        <f>MIN(AM52,AM$7)</f>
        <v/>
      </c>
      <c r="AO52" s="152">
        <f>MAX(0,MIN(AM52-AN52,AQ52-(E52+I52+M52+Q52+U52+Y52+AC52+AG52+AK52)))</f>
        <v/>
      </c>
      <c r="AP52" s="152">
        <f>AM52-AN52-AO52</f>
        <v/>
      </c>
      <c r="AQ52" s="152">
        <f>'Debt Payoff'!$C$8-SUM(D52,H52,L52,P52,T52,X52,AB52,AF52,AJ52,AN52)</f>
        <v/>
      </c>
      <c r="AR52" s="152">
        <f>SUM(D52,H52,L52,P52,T52,X52,AB52,AF52,AJ52,AN52)+SUM(E52,I52,M52,Q52,U52,Y52,AC52,AG52,AK52,AO52)</f>
        <v/>
      </c>
      <c r="AS52" s="152">
        <f>SUM(F52,J52,N52,R52,V52,Z52,AD52,AH52,AL52,AP52)</f>
        <v/>
      </c>
      <c r="AT52" s="152">
        <f>IF(B52&gt;AS$6,NA(),B52)</f>
        <v/>
      </c>
      <c r="AU52" s="152">
        <f>IF(B52&gt;AS$6,NA(),AS52)</f>
        <v/>
      </c>
      <c r="AV52" s="152" t="n"/>
      <c r="AW52" s="152" t="n">
        <v>41</v>
      </c>
      <c r="AX52" s="152">
        <f>IF(BA51&lt;=0.005,0,BA51*(1+AX$6))</f>
        <v/>
      </c>
      <c r="AY52" s="152">
        <f>MIN(AX52,AX$7)</f>
        <v/>
      </c>
      <c r="AZ52" s="152">
        <f>MAX(0,MIN(AX52-AY52,CL52))</f>
        <v/>
      </c>
      <c r="BA52" s="152">
        <f>AX52-AY52-AZ52</f>
        <v/>
      </c>
      <c r="BB52" s="152">
        <f>IF(BE51&lt;=0.005,0,BE51*(1+BB$6))</f>
        <v/>
      </c>
      <c r="BC52" s="152">
        <f>MIN(BB52,BB$7)</f>
        <v/>
      </c>
      <c r="BD52" s="152">
        <f>MAX(0,MIN(BB52-BC52,CL52-(AZ52)))</f>
        <v/>
      </c>
      <c r="BE52" s="152">
        <f>BB52-BC52-BD52</f>
        <v/>
      </c>
      <c r="BF52" s="152">
        <f>IF(BI51&lt;=0.005,0,BI51*(1+BF$6))</f>
        <v/>
      </c>
      <c r="BG52" s="152">
        <f>MIN(BF52,BF$7)</f>
        <v/>
      </c>
      <c r="BH52" s="152">
        <f>MAX(0,MIN(BF52-BG52,CL52-(AZ52+BD52)))</f>
        <v/>
      </c>
      <c r="BI52" s="152">
        <f>BF52-BG52-BH52</f>
        <v/>
      </c>
      <c r="BJ52" s="152">
        <f>IF(BM51&lt;=0.005,0,BM51*(1+BJ$6))</f>
        <v/>
      </c>
      <c r="BK52" s="152">
        <f>MIN(BJ52,BJ$7)</f>
        <v/>
      </c>
      <c r="BL52" s="152">
        <f>MAX(0,MIN(BJ52-BK52,CL52-(AZ52+BD52+BH52)))</f>
        <v/>
      </c>
      <c r="BM52" s="152">
        <f>BJ52-BK52-BL52</f>
        <v/>
      </c>
      <c r="BN52" s="152">
        <f>IF(BQ51&lt;=0.005,0,BQ51*(1+BN$6))</f>
        <v/>
      </c>
      <c r="BO52" s="152">
        <f>MIN(BN52,BN$7)</f>
        <v/>
      </c>
      <c r="BP52" s="152">
        <f>MAX(0,MIN(BN52-BO52,CL52-(AZ52+BD52+BH52+BL52)))</f>
        <v/>
      </c>
      <c r="BQ52" s="152">
        <f>BN52-BO52-BP52</f>
        <v/>
      </c>
      <c r="BR52" s="152">
        <f>IF(BU51&lt;=0.005,0,BU51*(1+BR$6))</f>
        <v/>
      </c>
      <c r="BS52" s="152">
        <f>MIN(BR52,BR$7)</f>
        <v/>
      </c>
      <c r="BT52" s="152">
        <f>MAX(0,MIN(BR52-BS52,CL52-(AZ52+BD52+BH52+BL52+BP52)))</f>
        <v/>
      </c>
      <c r="BU52" s="152">
        <f>BR52-BS52-BT52</f>
        <v/>
      </c>
      <c r="BV52" s="152">
        <f>IF(BY51&lt;=0.005,0,BY51*(1+BV$6))</f>
        <v/>
      </c>
      <c r="BW52" s="152">
        <f>MIN(BV52,BV$7)</f>
        <v/>
      </c>
      <c r="BX52" s="152">
        <f>MAX(0,MIN(BV52-BW52,CL52-(AZ52+BD52+BH52+BL52+BP52+BT52)))</f>
        <v/>
      </c>
      <c r="BY52" s="152">
        <f>BV52-BW52-BX52</f>
        <v/>
      </c>
      <c r="BZ52" s="152">
        <f>IF(CC51&lt;=0.005,0,CC51*(1+BZ$6))</f>
        <v/>
      </c>
      <c r="CA52" s="152">
        <f>MIN(BZ52,BZ$7)</f>
        <v/>
      </c>
      <c r="CB52" s="152">
        <f>MAX(0,MIN(BZ52-CA52,CL52-(AZ52+BD52+BH52+BL52+BP52+BT52+BX52)))</f>
        <v/>
      </c>
      <c r="CC52" s="152">
        <f>BZ52-CA52-CB52</f>
        <v/>
      </c>
      <c r="CD52" s="152">
        <f>IF(CG51&lt;=0.005,0,CG51*(1+CD$6))</f>
        <v/>
      </c>
      <c r="CE52" s="152">
        <f>MIN(CD52,CD$7)</f>
        <v/>
      </c>
      <c r="CF52" s="152">
        <f>MAX(0,MIN(CD52-CE52,CL52-(AZ52+BD52+BH52+BL52+BP52+BT52+BX52+CB52)))</f>
        <v/>
      </c>
      <c r="CG52" s="152">
        <f>CD52-CE52-CF52</f>
        <v/>
      </c>
      <c r="CH52" s="152">
        <f>IF(CK51&lt;=0.005,0,CK51*(1+CH$6))</f>
        <v/>
      </c>
      <c r="CI52" s="152">
        <f>MIN(CH52,CH$7)</f>
        <v/>
      </c>
      <c r="CJ52" s="152">
        <f>MAX(0,MIN(CH52-CI52,CL52-(AZ52+BD52+BH52+BL52+BP52+BT52+BX52+CB52+CF52)))</f>
        <v/>
      </c>
      <c r="CK52" s="152">
        <f>CH52-CI52-CJ52</f>
        <v/>
      </c>
      <c r="CL52" s="152">
        <f>'Debt Payoff'!$C$8-SUM(AY52,BC52,BG52,BK52,BO52,BS52,BW52,CA52,CE52,CI52)</f>
        <v/>
      </c>
      <c r="CM52" s="152">
        <f>SUM(AY52,BC52,BG52,BK52,BO52,BS52,BW52,CA52,CE52,CI52)+SUM(AZ52,BD52,BH52,BL52,BP52,BT52,BX52,CB52,CF52,CJ52)</f>
        <v/>
      </c>
      <c r="CN52" s="152">
        <f>SUM(BA52,BE52,BI52,BM52,BQ52,BU52,BY52,CC52,CG52,CK52)</f>
        <v/>
      </c>
      <c r="CO52" s="152">
        <f>IF(AW52&gt;CN$6,NA(),AW52)</f>
        <v/>
      </c>
      <c r="CP52" s="152">
        <f>IF(AW52&gt;CN$6,NA(),CN52)</f>
        <v/>
      </c>
    </row>
    <row r="53">
      <c r="B53" s="152" t="n">
        <v>42</v>
      </c>
      <c r="C53" s="152">
        <f>IF(F52&lt;=0.005,0,F52*(1+C$6))</f>
        <v/>
      </c>
      <c r="D53" s="152">
        <f>MIN(C53,C$7)</f>
        <v/>
      </c>
      <c r="E53" s="152">
        <f>MAX(0,MIN(C53-D53,AQ53))</f>
        <v/>
      </c>
      <c r="F53" s="152">
        <f>C53-D53-E53</f>
        <v/>
      </c>
      <c r="G53" s="152">
        <f>IF(J52&lt;=0.005,0,J52*(1+G$6))</f>
        <v/>
      </c>
      <c r="H53" s="152">
        <f>MIN(G53,G$7)</f>
        <v/>
      </c>
      <c r="I53" s="152">
        <f>MAX(0,MIN(G53-H53,AQ53-(E53)))</f>
        <v/>
      </c>
      <c r="J53" s="152">
        <f>G53-H53-I53</f>
        <v/>
      </c>
      <c r="K53" s="152">
        <f>IF(N52&lt;=0.005,0,N52*(1+K$6))</f>
        <v/>
      </c>
      <c r="L53" s="152">
        <f>MIN(K53,K$7)</f>
        <v/>
      </c>
      <c r="M53" s="152">
        <f>MAX(0,MIN(K53-L53,AQ53-(E53+I53)))</f>
        <v/>
      </c>
      <c r="N53" s="152">
        <f>K53-L53-M53</f>
        <v/>
      </c>
      <c r="O53" s="152">
        <f>IF(R52&lt;=0.005,0,R52*(1+O$6))</f>
        <v/>
      </c>
      <c r="P53" s="152">
        <f>MIN(O53,O$7)</f>
        <v/>
      </c>
      <c r="Q53" s="152">
        <f>MAX(0,MIN(O53-P53,AQ53-(E53+I53+M53)))</f>
        <v/>
      </c>
      <c r="R53" s="152">
        <f>O53-P53-Q53</f>
        <v/>
      </c>
      <c r="S53" s="152">
        <f>IF(V52&lt;=0.005,0,V52*(1+S$6))</f>
        <v/>
      </c>
      <c r="T53" s="152">
        <f>MIN(S53,S$7)</f>
        <v/>
      </c>
      <c r="U53" s="152">
        <f>MAX(0,MIN(S53-T53,AQ53-(E53+I53+M53+Q53)))</f>
        <v/>
      </c>
      <c r="V53" s="152">
        <f>S53-T53-U53</f>
        <v/>
      </c>
      <c r="W53" s="152">
        <f>IF(Z52&lt;=0.005,0,Z52*(1+W$6))</f>
        <v/>
      </c>
      <c r="X53" s="152">
        <f>MIN(W53,W$7)</f>
        <v/>
      </c>
      <c r="Y53" s="152">
        <f>MAX(0,MIN(W53-X53,AQ53-(E53+I53+M53+Q53+U53)))</f>
        <v/>
      </c>
      <c r="Z53" s="152">
        <f>W53-X53-Y53</f>
        <v/>
      </c>
      <c r="AA53" s="152">
        <f>IF(AD52&lt;=0.005,0,AD52*(1+AA$6))</f>
        <v/>
      </c>
      <c r="AB53" s="152">
        <f>MIN(AA53,AA$7)</f>
        <v/>
      </c>
      <c r="AC53" s="152">
        <f>MAX(0,MIN(AA53-AB53,AQ53-(E53+I53+M53+Q53+U53+Y53)))</f>
        <v/>
      </c>
      <c r="AD53" s="152">
        <f>AA53-AB53-AC53</f>
        <v/>
      </c>
      <c r="AE53" s="152">
        <f>IF(AH52&lt;=0.005,0,AH52*(1+AE$6))</f>
        <v/>
      </c>
      <c r="AF53" s="152">
        <f>MIN(AE53,AE$7)</f>
        <v/>
      </c>
      <c r="AG53" s="152">
        <f>MAX(0,MIN(AE53-AF53,AQ53-(E53+I53+M53+Q53+U53+Y53+AC53)))</f>
        <v/>
      </c>
      <c r="AH53" s="152">
        <f>AE53-AF53-AG53</f>
        <v/>
      </c>
      <c r="AI53" s="152">
        <f>IF(AL52&lt;=0.005,0,AL52*(1+AI$6))</f>
        <v/>
      </c>
      <c r="AJ53" s="152">
        <f>MIN(AI53,AI$7)</f>
        <v/>
      </c>
      <c r="AK53" s="152">
        <f>MAX(0,MIN(AI53-AJ53,AQ53-(E53+I53+M53+Q53+U53+Y53+AC53+AG53)))</f>
        <v/>
      </c>
      <c r="AL53" s="152">
        <f>AI53-AJ53-AK53</f>
        <v/>
      </c>
      <c r="AM53" s="152">
        <f>IF(AP52&lt;=0.005,0,AP52*(1+AM$6))</f>
        <v/>
      </c>
      <c r="AN53" s="152">
        <f>MIN(AM53,AM$7)</f>
        <v/>
      </c>
      <c r="AO53" s="152">
        <f>MAX(0,MIN(AM53-AN53,AQ53-(E53+I53+M53+Q53+U53+Y53+AC53+AG53+AK53)))</f>
        <v/>
      </c>
      <c r="AP53" s="152">
        <f>AM53-AN53-AO53</f>
        <v/>
      </c>
      <c r="AQ53" s="152">
        <f>'Debt Payoff'!$C$8-SUM(D53,H53,L53,P53,T53,X53,AB53,AF53,AJ53,AN53)</f>
        <v/>
      </c>
      <c r="AR53" s="152">
        <f>SUM(D53,H53,L53,P53,T53,X53,AB53,AF53,AJ53,AN53)+SUM(E53,I53,M53,Q53,U53,Y53,AC53,AG53,AK53,AO53)</f>
        <v/>
      </c>
      <c r="AS53" s="152">
        <f>SUM(F53,J53,N53,R53,V53,Z53,AD53,AH53,AL53,AP53)</f>
        <v/>
      </c>
      <c r="AT53" s="152">
        <f>IF(B53&gt;AS$6,NA(),B53)</f>
        <v/>
      </c>
      <c r="AU53" s="152">
        <f>IF(B53&gt;AS$6,NA(),AS53)</f>
        <v/>
      </c>
      <c r="AV53" s="152" t="n"/>
      <c r="AW53" s="152" t="n">
        <v>42</v>
      </c>
      <c r="AX53" s="152">
        <f>IF(BA52&lt;=0.005,0,BA52*(1+AX$6))</f>
        <v/>
      </c>
      <c r="AY53" s="152">
        <f>MIN(AX53,AX$7)</f>
        <v/>
      </c>
      <c r="AZ53" s="152">
        <f>MAX(0,MIN(AX53-AY53,CL53))</f>
        <v/>
      </c>
      <c r="BA53" s="152">
        <f>AX53-AY53-AZ53</f>
        <v/>
      </c>
      <c r="BB53" s="152">
        <f>IF(BE52&lt;=0.005,0,BE52*(1+BB$6))</f>
        <v/>
      </c>
      <c r="BC53" s="152">
        <f>MIN(BB53,BB$7)</f>
        <v/>
      </c>
      <c r="BD53" s="152">
        <f>MAX(0,MIN(BB53-BC53,CL53-(AZ53)))</f>
        <v/>
      </c>
      <c r="BE53" s="152">
        <f>BB53-BC53-BD53</f>
        <v/>
      </c>
      <c r="BF53" s="152">
        <f>IF(BI52&lt;=0.005,0,BI52*(1+BF$6))</f>
        <v/>
      </c>
      <c r="BG53" s="152">
        <f>MIN(BF53,BF$7)</f>
        <v/>
      </c>
      <c r="BH53" s="152">
        <f>MAX(0,MIN(BF53-BG53,CL53-(AZ53+BD53)))</f>
        <v/>
      </c>
      <c r="BI53" s="152">
        <f>BF53-BG53-BH53</f>
        <v/>
      </c>
      <c r="BJ53" s="152">
        <f>IF(BM52&lt;=0.005,0,BM52*(1+BJ$6))</f>
        <v/>
      </c>
      <c r="BK53" s="152">
        <f>MIN(BJ53,BJ$7)</f>
        <v/>
      </c>
      <c r="BL53" s="152">
        <f>MAX(0,MIN(BJ53-BK53,CL53-(AZ53+BD53+BH53)))</f>
        <v/>
      </c>
      <c r="BM53" s="152">
        <f>BJ53-BK53-BL53</f>
        <v/>
      </c>
      <c r="BN53" s="152">
        <f>IF(BQ52&lt;=0.005,0,BQ52*(1+BN$6))</f>
        <v/>
      </c>
      <c r="BO53" s="152">
        <f>MIN(BN53,BN$7)</f>
        <v/>
      </c>
      <c r="BP53" s="152">
        <f>MAX(0,MIN(BN53-BO53,CL53-(AZ53+BD53+BH53+BL53)))</f>
        <v/>
      </c>
      <c r="BQ53" s="152">
        <f>BN53-BO53-BP53</f>
        <v/>
      </c>
      <c r="BR53" s="152">
        <f>IF(BU52&lt;=0.005,0,BU52*(1+BR$6))</f>
        <v/>
      </c>
      <c r="BS53" s="152">
        <f>MIN(BR53,BR$7)</f>
        <v/>
      </c>
      <c r="BT53" s="152">
        <f>MAX(0,MIN(BR53-BS53,CL53-(AZ53+BD53+BH53+BL53+BP53)))</f>
        <v/>
      </c>
      <c r="BU53" s="152">
        <f>BR53-BS53-BT53</f>
        <v/>
      </c>
      <c r="BV53" s="152">
        <f>IF(BY52&lt;=0.005,0,BY52*(1+BV$6))</f>
        <v/>
      </c>
      <c r="BW53" s="152">
        <f>MIN(BV53,BV$7)</f>
        <v/>
      </c>
      <c r="BX53" s="152">
        <f>MAX(0,MIN(BV53-BW53,CL53-(AZ53+BD53+BH53+BL53+BP53+BT53)))</f>
        <v/>
      </c>
      <c r="BY53" s="152">
        <f>BV53-BW53-BX53</f>
        <v/>
      </c>
      <c r="BZ53" s="152">
        <f>IF(CC52&lt;=0.005,0,CC52*(1+BZ$6))</f>
        <v/>
      </c>
      <c r="CA53" s="152">
        <f>MIN(BZ53,BZ$7)</f>
        <v/>
      </c>
      <c r="CB53" s="152">
        <f>MAX(0,MIN(BZ53-CA53,CL53-(AZ53+BD53+BH53+BL53+BP53+BT53+BX53)))</f>
        <v/>
      </c>
      <c r="CC53" s="152">
        <f>BZ53-CA53-CB53</f>
        <v/>
      </c>
      <c r="CD53" s="152">
        <f>IF(CG52&lt;=0.005,0,CG52*(1+CD$6))</f>
        <v/>
      </c>
      <c r="CE53" s="152">
        <f>MIN(CD53,CD$7)</f>
        <v/>
      </c>
      <c r="CF53" s="152">
        <f>MAX(0,MIN(CD53-CE53,CL53-(AZ53+BD53+BH53+BL53+BP53+BT53+BX53+CB53)))</f>
        <v/>
      </c>
      <c r="CG53" s="152">
        <f>CD53-CE53-CF53</f>
        <v/>
      </c>
      <c r="CH53" s="152">
        <f>IF(CK52&lt;=0.005,0,CK52*(1+CH$6))</f>
        <v/>
      </c>
      <c r="CI53" s="152">
        <f>MIN(CH53,CH$7)</f>
        <v/>
      </c>
      <c r="CJ53" s="152">
        <f>MAX(0,MIN(CH53-CI53,CL53-(AZ53+BD53+BH53+BL53+BP53+BT53+BX53+CB53+CF53)))</f>
        <v/>
      </c>
      <c r="CK53" s="152">
        <f>CH53-CI53-CJ53</f>
        <v/>
      </c>
      <c r="CL53" s="152">
        <f>'Debt Payoff'!$C$8-SUM(AY53,BC53,BG53,BK53,BO53,BS53,BW53,CA53,CE53,CI53)</f>
        <v/>
      </c>
      <c r="CM53" s="152">
        <f>SUM(AY53,BC53,BG53,BK53,BO53,BS53,BW53,CA53,CE53,CI53)+SUM(AZ53,BD53,BH53,BL53,BP53,BT53,BX53,CB53,CF53,CJ53)</f>
        <v/>
      </c>
      <c r="CN53" s="152">
        <f>SUM(BA53,BE53,BI53,BM53,BQ53,BU53,BY53,CC53,CG53,CK53)</f>
        <v/>
      </c>
      <c r="CO53" s="152">
        <f>IF(AW53&gt;CN$6,NA(),AW53)</f>
        <v/>
      </c>
      <c r="CP53" s="152">
        <f>IF(AW53&gt;CN$6,NA(),CN53)</f>
        <v/>
      </c>
    </row>
    <row r="54">
      <c r="B54" s="152" t="n">
        <v>43</v>
      </c>
      <c r="C54" s="152">
        <f>IF(F53&lt;=0.005,0,F53*(1+C$6))</f>
        <v/>
      </c>
      <c r="D54" s="152">
        <f>MIN(C54,C$7)</f>
        <v/>
      </c>
      <c r="E54" s="152">
        <f>MAX(0,MIN(C54-D54,AQ54))</f>
        <v/>
      </c>
      <c r="F54" s="152">
        <f>C54-D54-E54</f>
        <v/>
      </c>
      <c r="G54" s="152">
        <f>IF(J53&lt;=0.005,0,J53*(1+G$6))</f>
        <v/>
      </c>
      <c r="H54" s="152">
        <f>MIN(G54,G$7)</f>
        <v/>
      </c>
      <c r="I54" s="152">
        <f>MAX(0,MIN(G54-H54,AQ54-(E54)))</f>
        <v/>
      </c>
      <c r="J54" s="152">
        <f>G54-H54-I54</f>
        <v/>
      </c>
      <c r="K54" s="152">
        <f>IF(N53&lt;=0.005,0,N53*(1+K$6))</f>
        <v/>
      </c>
      <c r="L54" s="152">
        <f>MIN(K54,K$7)</f>
        <v/>
      </c>
      <c r="M54" s="152">
        <f>MAX(0,MIN(K54-L54,AQ54-(E54+I54)))</f>
        <v/>
      </c>
      <c r="N54" s="152">
        <f>K54-L54-M54</f>
        <v/>
      </c>
      <c r="O54" s="152">
        <f>IF(R53&lt;=0.005,0,R53*(1+O$6))</f>
        <v/>
      </c>
      <c r="P54" s="152">
        <f>MIN(O54,O$7)</f>
        <v/>
      </c>
      <c r="Q54" s="152">
        <f>MAX(0,MIN(O54-P54,AQ54-(E54+I54+M54)))</f>
        <v/>
      </c>
      <c r="R54" s="152">
        <f>O54-P54-Q54</f>
        <v/>
      </c>
      <c r="S54" s="152">
        <f>IF(V53&lt;=0.005,0,V53*(1+S$6))</f>
        <v/>
      </c>
      <c r="T54" s="152">
        <f>MIN(S54,S$7)</f>
        <v/>
      </c>
      <c r="U54" s="152">
        <f>MAX(0,MIN(S54-T54,AQ54-(E54+I54+M54+Q54)))</f>
        <v/>
      </c>
      <c r="V54" s="152">
        <f>S54-T54-U54</f>
        <v/>
      </c>
      <c r="W54" s="152">
        <f>IF(Z53&lt;=0.005,0,Z53*(1+W$6))</f>
        <v/>
      </c>
      <c r="X54" s="152">
        <f>MIN(W54,W$7)</f>
        <v/>
      </c>
      <c r="Y54" s="152">
        <f>MAX(0,MIN(W54-X54,AQ54-(E54+I54+M54+Q54+U54)))</f>
        <v/>
      </c>
      <c r="Z54" s="152">
        <f>W54-X54-Y54</f>
        <v/>
      </c>
      <c r="AA54" s="152">
        <f>IF(AD53&lt;=0.005,0,AD53*(1+AA$6))</f>
        <v/>
      </c>
      <c r="AB54" s="152">
        <f>MIN(AA54,AA$7)</f>
        <v/>
      </c>
      <c r="AC54" s="152">
        <f>MAX(0,MIN(AA54-AB54,AQ54-(E54+I54+M54+Q54+U54+Y54)))</f>
        <v/>
      </c>
      <c r="AD54" s="152">
        <f>AA54-AB54-AC54</f>
        <v/>
      </c>
      <c r="AE54" s="152">
        <f>IF(AH53&lt;=0.005,0,AH53*(1+AE$6))</f>
        <v/>
      </c>
      <c r="AF54" s="152">
        <f>MIN(AE54,AE$7)</f>
        <v/>
      </c>
      <c r="AG54" s="152">
        <f>MAX(0,MIN(AE54-AF54,AQ54-(E54+I54+M54+Q54+U54+Y54+AC54)))</f>
        <v/>
      </c>
      <c r="AH54" s="152">
        <f>AE54-AF54-AG54</f>
        <v/>
      </c>
      <c r="AI54" s="152">
        <f>IF(AL53&lt;=0.005,0,AL53*(1+AI$6))</f>
        <v/>
      </c>
      <c r="AJ54" s="152">
        <f>MIN(AI54,AI$7)</f>
        <v/>
      </c>
      <c r="AK54" s="152">
        <f>MAX(0,MIN(AI54-AJ54,AQ54-(E54+I54+M54+Q54+U54+Y54+AC54+AG54)))</f>
        <v/>
      </c>
      <c r="AL54" s="152">
        <f>AI54-AJ54-AK54</f>
        <v/>
      </c>
      <c r="AM54" s="152">
        <f>IF(AP53&lt;=0.005,0,AP53*(1+AM$6))</f>
        <v/>
      </c>
      <c r="AN54" s="152">
        <f>MIN(AM54,AM$7)</f>
        <v/>
      </c>
      <c r="AO54" s="152">
        <f>MAX(0,MIN(AM54-AN54,AQ54-(E54+I54+M54+Q54+U54+Y54+AC54+AG54+AK54)))</f>
        <v/>
      </c>
      <c r="AP54" s="152">
        <f>AM54-AN54-AO54</f>
        <v/>
      </c>
      <c r="AQ54" s="152">
        <f>'Debt Payoff'!$C$8-SUM(D54,H54,L54,P54,T54,X54,AB54,AF54,AJ54,AN54)</f>
        <v/>
      </c>
      <c r="AR54" s="152">
        <f>SUM(D54,H54,L54,P54,T54,X54,AB54,AF54,AJ54,AN54)+SUM(E54,I54,M54,Q54,U54,Y54,AC54,AG54,AK54,AO54)</f>
        <v/>
      </c>
      <c r="AS54" s="152">
        <f>SUM(F54,J54,N54,R54,V54,Z54,AD54,AH54,AL54,AP54)</f>
        <v/>
      </c>
      <c r="AT54" s="152">
        <f>IF(B54&gt;AS$6,NA(),B54)</f>
        <v/>
      </c>
      <c r="AU54" s="152">
        <f>IF(B54&gt;AS$6,NA(),AS54)</f>
        <v/>
      </c>
      <c r="AV54" s="152" t="n"/>
      <c r="AW54" s="152" t="n">
        <v>43</v>
      </c>
      <c r="AX54" s="152">
        <f>IF(BA53&lt;=0.005,0,BA53*(1+AX$6))</f>
        <v/>
      </c>
      <c r="AY54" s="152">
        <f>MIN(AX54,AX$7)</f>
        <v/>
      </c>
      <c r="AZ54" s="152">
        <f>MAX(0,MIN(AX54-AY54,CL54))</f>
        <v/>
      </c>
      <c r="BA54" s="152">
        <f>AX54-AY54-AZ54</f>
        <v/>
      </c>
      <c r="BB54" s="152">
        <f>IF(BE53&lt;=0.005,0,BE53*(1+BB$6))</f>
        <v/>
      </c>
      <c r="BC54" s="152">
        <f>MIN(BB54,BB$7)</f>
        <v/>
      </c>
      <c r="BD54" s="152">
        <f>MAX(0,MIN(BB54-BC54,CL54-(AZ54)))</f>
        <v/>
      </c>
      <c r="BE54" s="152">
        <f>BB54-BC54-BD54</f>
        <v/>
      </c>
      <c r="BF54" s="152">
        <f>IF(BI53&lt;=0.005,0,BI53*(1+BF$6))</f>
        <v/>
      </c>
      <c r="BG54" s="152">
        <f>MIN(BF54,BF$7)</f>
        <v/>
      </c>
      <c r="BH54" s="152">
        <f>MAX(0,MIN(BF54-BG54,CL54-(AZ54+BD54)))</f>
        <v/>
      </c>
      <c r="BI54" s="152">
        <f>BF54-BG54-BH54</f>
        <v/>
      </c>
      <c r="BJ54" s="152">
        <f>IF(BM53&lt;=0.005,0,BM53*(1+BJ$6))</f>
        <v/>
      </c>
      <c r="BK54" s="152">
        <f>MIN(BJ54,BJ$7)</f>
        <v/>
      </c>
      <c r="BL54" s="152">
        <f>MAX(0,MIN(BJ54-BK54,CL54-(AZ54+BD54+BH54)))</f>
        <v/>
      </c>
      <c r="BM54" s="152">
        <f>BJ54-BK54-BL54</f>
        <v/>
      </c>
      <c r="BN54" s="152">
        <f>IF(BQ53&lt;=0.005,0,BQ53*(1+BN$6))</f>
        <v/>
      </c>
      <c r="BO54" s="152">
        <f>MIN(BN54,BN$7)</f>
        <v/>
      </c>
      <c r="BP54" s="152">
        <f>MAX(0,MIN(BN54-BO54,CL54-(AZ54+BD54+BH54+BL54)))</f>
        <v/>
      </c>
      <c r="BQ54" s="152">
        <f>BN54-BO54-BP54</f>
        <v/>
      </c>
      <c r="BR54" s="152">
        <f>IF(BU53&lt;=0.005,0,BU53*(1+BR$6))</f>
        <v/>
      </c>
      <c r="BS54" s="152">
        <f>MIN(BR54,BR$7)</f>
        <v/>
      </c>
      <c r="BT54" s="152">
        <f>MAX(0,MIN(BR54-BS54,CL54-(AZ54+BD54+BH54+BL54+BP54)))</f>
        <v/>
      </c>
      <c r="BU54" s="152">
        <f>BR54-BS54-BT54</f>
        <v/>
      </c>
      <c r="BV54" s="152">
        <f>IF(BY53&lt;=0.005,0,BY53*(1+BV$6))</f>
        <v/>
      </c>
      <c r="BW54" s="152">
        <f>MIN(BV54,BV$7)</f>
        <v/>
      </c>
      <c r="BX54" s="152">
        <f>MAX(0,MIN(BV54-BW54,CL54-(AZ54+BD54+BH54+BL54+BP54+BT54)))</f>
        <v/>
      </c>
      <c r="BY54" s="152">
        <f>BV54-BW54-BX54</f>
        <v/>
      </c>
      <c r="BZ54" s="152">
        <f>IF(CC53&lt;=0.005,0,CC53*(1+BZ$6))</f>
        <v/>
      </c>
      <c r="CA54" s="152">
        <f>MIN(BZ54,BZ$7)</f>
        <v/>
      </c>
      <c r="CB54" s="152">
        <f>MAX(0,MIN(BZ54-CA54,CL54-(AZ54+BD54+BH54+BL54+BP54+BT54+BX54)))</f>
        <v/>
      </c>
      <c r="CC54" s="152">
        <f>BZ54-CA54-CB54</f>
        <v/>
      </c>
      <c r="CD54" s="152">
        <f>IF(CG53&lt;=0.005,0,CG53*(1+CD$6))</f>
        <v/>
      </c>
      <c r="CE54" s="152">
        <f>MIN(CD54,CD$7)</f>
        <v/>
      </c>
      <c r="CF54" s="152">
        <f>MAX(0,MIN(CD54-CE54,CL54-(AZ54+BD54+BH54+BL54+BP54+BT54+BX54+CB54)))</f>
        <v/>
      </c>
      <c r="CG54" s="152">
        <f>CD54-CE54-CF54</f>
        <v/>
      </c>
      <c r="CH54" s="152">
        <f>IF(CK53&lt;=0.005,0,CK53*(1+CH$6))</f>
        <v/>
      </c>
      <c r="CI54" s="152">
        <f>MIN(CH54,CH$7)</f>
        <v/>
      </c>
      <c r="CJ54" s="152">
        <f>MAX(0,MIN(CH54-CI54,CL54-(AZ54+BD54+BH54+BL54+BP54+BT54+BX54+CB54+CF54)))</f>
        <v/>
      </c>
      <c r="CK54" s="152">
        <f>CH54-CI54-CJ54</f>
        <v/>
      </c>
      <c r="CL54" s="152">
        <f>'Debt Payoff'!$C$8-SUM(AY54,BC54,BG54,BK54,BO54,BS54,BW54,CA54,CE54,CI54)</f>
        <v/>
      </c>
      <c r="CM54" s="152">
        <f>SUM(AY54,BC54,BG54,BK54,BO54,BS54,BW54,CA54,CE54,CI54)+SUM(AZ54,BD54,BH54,BL54,BP54,BT54,BX54,CB54,CF54,CJ54)</f>
        <v/>
      </c>
      <c r="CN54" s="152">
        <f>SUM(BA54,BE54,BI54,BM54,BQ54,BU54,BY54,CC54,CG54,CK54)</f>
        <v/>
      </c>
      <c r="CO54" s="152">
        <f>IF(AW54&gt;CN$6,NA(),AW54)</f>
        <v/>
      </c>
      <c r="CP54" s="152">
        <f>IF(AW54&gt;CN$6,NA(),CN54)</f>
        <v/>
      </c>
    </row>
    <row r="55">
      <c r="B55" s="152" t="n">
        <v>44</v>
      </c>
      <c r="C55" s="152">
        <f>IF(F54&lt;=0.005,0,F54*(1+C$6))</f>
        <v/>
      </c>
      <c r="D55" s="152">
        <f>MIN(C55,C$7)</f>
        <v/>
      </c>
      <c r="E55" s="152">
        <f>MAX(0,MIN(C55-D55,AQ55))</f>
        <v/>
      </c>
      <c r="F55" s="152">
        <f>C55-D55-E55</f>
        <v/>
      </c>
      <c r="G55" s="152">
        <f>IF(J54&lt;=0.005,0,J54*(1+G$6))</f>
        <v/>
      </c>
      <c r="H55" s="152">
        <f>MIN(G55,G$7)</f>
        <v/>
      </c>
      <c r="I55" s="152">
        <f>MAX(0,MIN(G55-H55,AQ55-(E55)))</f>
        <v/>
      </c>
      <c r="J55" s="152">
        <f>G55-H55-I55</f>
        <v/>
      </c>
      <c r="K55" s="152">
        <f>IF(N54&lt;=0.005,0,N54*(1+K$6))</f>
        <v/>
      </c>
      <c r="L55" s="152">
        <f>MIN(K55,K$7)</f>
        <v/>
      </c>
      <c r="M55" s="152">
        <f>MAX(0,MIN(K55-L55,AQ55-(E55+I55)))</f>
        <v/>
      </c>
      <c r="N55" s="152">
        <f>K55-L55-M55</f>
        <v/>
      </c>
      <c r="O55" s="152">
        <f>IF(R54&lt;=0.005,0,R54*(1+O$6))</f>
        <v/>
      </c>
      <c r="P55" s="152">
        <f>MIN(O55,O$7)</f>
        <v/>
      </c>
      <c r="Q55" s="152">
        <f>MAX(0,MIN(O55-P55,AQ55-(E55+I55+M55)))</f>
        <v/>
      </c>
      <c r="R55" s="152">
        <f>O55-P55-Q55</f>
        <v/>
      </c>
      <c r="S55" s="152">
        <f>IF(V54&lt;=0.005,0,V54*(1+S$6))</f>
        <v/>
      </c>
      <c r="T55" s="152">
        <f>MIN(S55,S$7)</f>
        <v/>
      </c>
      <c r="U55" s="152">
        <f>MAX(0,MIN(S55-T55,AQ55-(E55+I55+M55+Q55)))</f>
        <v/>
      </c>
      <c r="V55" s="152">
        <f>S55-T55-U55</f>
        <v/>
      </c>
      <c r="W55" s="152">
        <f>IF(Z54&lt;=0.005,0,Z54*(1+W$6))</f>
        <v/>
      </c>
      <c r="X55" s="152">
        <f>MIN(W55,W$7)</f>
        <v/>
      </c>
      <c r="Y55" s="152">
        <f>MAX(0,MIN(W55-X55,AQ55-(E55+I55+M55+Q55+U55)))</f>
        <v/>
      </c>
      <c r="Z55" s="152">
        <f>W55-X55-Y55</f>
        <v/>
      </c>
      <c r="AA55" s="152">
        <f>IF(AD54&lt;=0.005,0,AD54*(1+AA$6))</f>
        <v/>
      </c>
      <c r="AB55" s="152">
        <f>MIN(AA55,AA$7)</f>
        <v/>
      </c>
      <c r="AC55" s="152">
        <f>MAX(0,MIN(AA55-AB55,AQ55-(E55+I55+M55+Q55+U55+Y55)))</f>
        <v/>
      </c>
      <c r="AD55" s="152">
        <f>AA55-AB55-AC55</f>
        <v/>
      </c>
      <c r="AE55" s="152">
        <f>IF(AH54&lt;=0.005,0,AH54*(1+AE$6))</f>
        <v/>
      </c>
      <c r="AF55" s="152">
        <f>MIN(AE55,AE$7)</f>
        <v/>
      </c>
      <c r="AG55" s="152">
        <f>MAX(0,MIN(AE55-AF55,AQ55-(E55+I55+M55+Q55+U55+Y55+AC55)))</f>
        <v/>
      </c>
      <c r="AH55" s="152">
        <f>AE55-AF55-AG55</f>
        <v/>
      </c>
      <c r="AI55" s="152">
        <f>IF(AL54&lt;=0.005,0,AL54*(1+AI$6))</f>
        <v/>
      </c>
      <c r="AJ55" s="152">
        <f>MIN(AI55,AI$7)</f>
        <v/>
      </c>
      <c r="AK55" s="152">
        <f>MAX(0,MIN(AI55-AJ55,AQ55-(E55+I55+M55+Q55+U55+Y55+AC55+AG55)))</f>
        <v/>
      </c>
      <c r="AL55" s="152">
        <f>AI55-AJ55-AK55</f>
        <v/>
      </c>
      <c r="AM55" s="152">
        <f>IF(AP54&lt;=0.005,0,AP54*(1+AM$6))</f>
        <v/>
      </c>
      <c r="AN55" s="152">
        <f>MIN(AM55,AM$7)</f>
        <v/>
      </c>
      <c r="AO55" s="152">
        <f>MAX(0,MIN(AM55-AN55,AQ55-(E55+I55+M55+Q55+U55+Y55+AC55+AG55+AK55)))</f>
        <v/>
      </c>
      <c r="AP55" s="152">
        <f>AM55-AN55-AO55</f>
        <v/>
      </c>
      <c r="AQ55" s="152">
        <f>'Debt Payoff'!$C$8-SUM(D55,H55,L55,P55,T55,X55,AB55,AF55,AJ55,AN55)</f>
        <v/>
      </c>
      <c r="AR55" s="152">
        <f>SUM(D55,H55,L55,P55,T55,X55,AB55,AF55,AJ55,AN55)+SUM(E55,I55,M55,Q55,U55,Y55,AC55,AG55,AK55,AO55)</f>
        <v/>
      </c>
      <c r="AS55" s="152">
        <f>SUM(F55,J55,N55,R55,V55,Z55,AD55,AH55,AL55,AP55)</f>
        <v/>
      </c>
      <c r="AT55" s="152">
        <f>IF(B55&gt;AS$6,NA(),B55)</f>
        <v/>
      </c>
      <c r="AU55" s="152">
        <f>IF(B55&gt;AS$6,NA(),AS55)</f>
        <v/>
      </c>
      <c r="AV55" s="152" t="n"/>
      <c r="AW55" s="152" t="n">
        <v>44</v>
      </c>
      <c r="AX55" s="152">
        <f>IF(BA54&lt;=0.005,0,BA54*(1+AX$6))</f>
        <v/>
      </c>
      <c r="AY55" s="152">
        <f>MIN(AX55,AX$7)</f>
        <v/>
      </c>
      <c r="AZ55" s="152">
        <f>MAX(0,MIN(AX55-AY55,CL55))</f>
        <v/>
      </c>
      <c r="BA55" s="152">
        <f>AX55-AY55-AZ55</f>
        <v/>
      </c>
      <c r="BB55" s="152">
        <f>IF(BE54&lt;=0.005,0,BE54*(1+BB$6))</f>
        <v/>
      </c>
      <c r="BC55" s="152">
        <f>MIN(BB55,BB$7)</f>
        <v/>
      </c>
      <c r="BD55" s="152">
        <f>MAX(0,MIN(BB55-BC55,CL55-(AZ55)))</f>
        <v/>
      </c>
      <c r="BE55" s="152">
        <f>BB55-BC55-BD55</f>
        <v/>
      </c>
      <c r="BF55" s="152">
        <f>IF(BI54&lt;=0.005,0,BI54*(1+BF$6))</f>
        <v/>
      </c>
      <c r="BG55" s="152">
        <f>MIN(BF55,BF$7)</f>
        <v/>
      </c>
      <c r="BH55" s="152">
        <f>MAX(0,MIN(BF55-BG55,CL55-(AZ55+BD55)))</f>
        <v/>
      </c>
      <c r="BI55" s="152">
        <f>BF55-BG55-BH55</f>
        <v/>
      </c>
      <c r="BJ55" s="152">
        <f>IF(BM54&lt;=0.005,0,BM54*(1+BJ$6))</f>
        <v/>
      </c>
      <c r="BK55" s="152">
        <f>MIN(BJ55,BJ$7)</f>
        <v/>
      </c>
      <c r="BL55" s="152">
        <f>MAX(0,MIN(BJ55-BK55,CL55-(AZ55+BD55+BH55)))</f>
        <v/>
      </c>
      <c r="BM55" s="152">
        <f>BJ55-BK55-BL55</f>
        <v/>
      </c>
      <c r="BN55" s="152">
        <f>IF(BQ54&lt;=0.005,0,BQ54*(1+BN$6))</f>
        <v/>
      </c>
      <c r="BO55" s="152">
        <f>MIN(BN55,BN$7)</f>
        <v/>
      </c>
      <c r="BP55" s="152">
        <f>MAX(0,MIN(BN55-BO55,CL55-(AZ55+BD55+BH55+BL55)))</f>
        <v/>
      </c>
      <c r="BQ55" s="152">
        <f>BN55-BO55-BP55</f>
        <v/>
      </c>
      <c r="BR55" s="152">
        <f>IF(BU54&lt;=0.005,0,BU54*(1+BR$6))</f>
        <v/>
      </c>
      <c r="BS55" s="152">
        <f>MIN(BR55,BR$7)</f>
        <v/>
      </c>
      <c r="BT55" s="152">
        <f>MAX(0,MIN(BR55-BS55,CL55-(AZ55+BD55+BH55+BL55+BP55)))</f>
        <v/>
      </c>
      <c r="BU55" s="152">
        <f>BR55-BS55-BT55</f>
        <v/>
      </c>
      <c r="BV55" s="152">
        <f>IF(BY54&lt;=0.005,0,BY54*(1+BV$6))</f>
        <v/>
      </c>
      <c r="BW55" s="152">
        <f>MIN(BV55,BV$7)</f>
        <v/>
      </c>
      <c r="BX55" s="152">
        <f>MAX(0,MIN(BV55-BW55,CL55-(AZ55+BD55+BH55+BL55+BP55+BT55)))</f>
        <v/>
      </c>
      <c r="BY55" s="152">
        <f>BV55-BW55-BX55</f>
        <v/>
      </c>
      <c r="BZ55" s="152">
        <f>IF(CC54&lt;=0.005,0,CC54*(1+BZ$6))</f>
        <v/>
      </c>
      <c r="CA55" s="152">
        <f>MIN(BZ55,BZ$7)</f>
        <v/>
      </c>
      <c r="CB55" s="152">
        <f>MAX(0,MIN(BZ55-CA55,CL55-(AZ55+BD55+BH55+BL55+BP55+BT55+BX55)))</f>
        <v/>
      </c>
      <c r="CC55" s="152">
        <f>BZ55-CA55-CB55</f>
        <v/>
      </c>
      <c r="CD55" s="152">
        <f>IF(CG54&lt;=0.005,0,CG54*(1+CD$6))</f>
        <v/>
      </c>
      <c r="CE55" s="152">
        <f>MIN(CD55,CD$7)</f>
        <v/>
      </c>
      <c r="CF55" s="152">
        <f>MAX(0,MIN(CD55-CE55,CL55-(AZ55+BD55+BH55+BL55+BP55+BT55+BX55+CB55)))</f>
        <v/>
      </c>
      <c r="CG55" s="152">
        <f>CD55-CE55-CF55</f>
        <v/>
      </c>
      <c r="CH55" s="152">
        <f>IF(CK54&lt;=0.005,0,CK54*(1+CH$6))</f>
        <v/>
      </c>
      <c r="CI55" s="152">
        <f>MIN(CH55,CH$7)</f>
        <v/>
      </c>
      <c r="CJ55" s="152">
        <f>MAX(0,MIN(CH55-CI55,CL55-(AZ55+BD55+BH55+BL55+BP55+BT55+BX55+CB55+CF55)))</f>
        <v/>
      </c>
      <c r="CK55" s="152">
        <f>CH55-CI55-CJ55</f>
        <v/>
      </c>
      <c r="CL55" s="152">
        <f>'Debt Payoff'!$C$8-SUM(AY55,BC55,BG55,BK55,BO55,BS55,BW55,CA55,CE55,CI55)</f>
        <v/>
      </c>
      <c r="CM55" s="152">
        <f>SUM(AY55,BC55,BG55,BK55,BO55,BS55,BW55,CA55,CE55,CI55)+SUM(AZ55,BD55,BH55,BL55,BP55,BT55,BX55,CB55,CF55,CJ55)</f>
        <v/>
      </c>
      <c r="CN55" s="152">
        <f>SUM(BA55,BE55,BI55,BM55,BQ55,BU55,BY55,CC55,CG55,CK55)</f>
        <v/>
      </c>
      <c r="CO55" s="152">
        <f>IF(AW55&gt;CN$6,NA(),AW55)</f>
        <v/>
      </c>
      <c r="CP55" s="152">
        <f>IF(AW55&gt;CN$6,NA(),CN55)</f>
        <v/>
      </c>
    </row>
    <row r="56">
      <c r="B56" s="152" t="n">
        <v>45</v>
      </c>
      <c r="C56" s="152">
        <f>IF(F55&lt;=0.005,0,F55*(1+C$6))</f>
        <v/>
      </c>
      <c r="D56" s="152">
        <f>MIN(C56,C$7)</f>
        <v/>
      </c>
      <c r="E56" s="152">
        <f>MAX(0,MIN(C56-D56,AQ56))</f>
        <v/>
      </c>
      <c r="F56" s="152">
        <f>C56-D56-E56</f>
        <v/>
      </c>
      <c r="G56" s="152">
        <f>IF(J55&lt;=0.005,0,J55*(1+G$6))</f>
        <v/>
      </c>
      <c r="H56" s="152">
        <f>MIN(G56,G$7)</f>
        <v/>
      </c>
      <c r="I56" s="152">
        <f>MAX(0,MIN(G56-H56,AQ56-(E56)))</f>
        <v/>
      </c>
      <c r="J56" s="152">
        <f>G56-H56-I56</f>
        <v/>
      </c>
      <c r="K56" s="152">
        <f>IF(N55&lt;=0.005,0,N55*(1+K$6))</f>
        <v/>
      </c>
      <c r="L56" s="152">
        <f>MIN(K56,K$7)</f>
        <v/>
      </c>
      <c r="M56" s="152">
        <f>MAX(0,MIN(K56-L56,AQ56-(E56+I56)))</f>
        <v/>
      </c>
      <c r="N56" s="152">
        <f>K56-L56-M56</f>
        <v/>
      </c>
      <c r="O56" s="152">
        <f>IF(R55&lt;=0.005,0,R55*(1+O$6))</f>
        <v/>
      </c>
      <c r="P56" s="152">
        <f>MIN(O56,O$7)</f>
        <v/>
      </c>
      <c r="Q56" s="152">
        <f>MAX(0,MIN(O56-P56,AQ56-(E56+I56+M56)))</f>
        <v/>
      </c>
      <c r="R56" s="152">
        <f>O56-P56-Q56</f>
        <v/>
      </c>
      <c r="S56" s="152">
        <f>IF(V55&lt;=0.005,0,V55*(1+S$6))</f>
        <v/>
      </c>
      <c r="T56" s="152">
        <f>MIN(S56,S$7)</f>
        <v/>
      </c>
      <c r="U56" s="152">
        <f>MAX(0,MIN(S56-T56,AQ56-(E56+I56+M56+Q56)))</f>
        <v/>
      </c>
      <c r="V56" s="152">
        <f>S56-T56-U56</f>
        <v/>
      </c>
      <c r="W56" s="152">
        <f>IF(Z55&lt;=0.005,0,Z55*(1+W$6))</f>
        <v/>
      </c>
      <c r="X56" s="152">
        <f>MIN(W56,W$7)</f>
        <v/>
      </c>
      <c r="Y56" s="152">
        <f>MAX(0,MIN(W56-X56,AQ56-(E56+I56+M56+Q56+U56)))</f>
        <v/>
      </c>
      <c r="Z56" s="152">
        <f>W56-X56-Y56</f>
        <v/>
      </c>
      <c r="AA56" s="152">
        <f>IF(AD55&lt;=0.005,0,AD55*(1+AA$6))</f>
        <v/>
      </c>
      <c r="AB56" s="152">
        <f>MIN(AA56,AA$7)</f>
        <v/>
      </c>
      <c r="AC56" s="152">
        <f>MAX(0,MIN(AA56-AB56,AQ56-(E56+I56+M56+Q56+U56+Y56)))</f>
        <v/>
      </c>
      <c r="AD56" s="152">
        <f>AA56-AB56-AC56</f>
        <v/>
      </c>
      <c r="AE56" s="152">
        <f>IF(AH55&lt;=0.005,0,AH55*(1+AE$6))</f>
        <v/>
      </c>
      <c r="AF56" s="152">
        <f>MIN(AE56,AE$7)</f>
        <v/>
      </c>
      <c r="AG56" s="152">
        <f>MAX(0,MIN(AE56-AF56,AQ56-(E56+I56+M56+Q56+U56+Y56+AC56)))</f>
        <v/>
      </c>
      <c r="AH56" s="152">
        <f>AE56-AF56-AG56</f>
        <v/>
      </c>
      <c r="AI56" s="152">
        <f>IF(AL55&lt;=0.005,0,AL55*(1+AI$6))</f>
        <v/>
      </c>
      <c r="AJ56" s="152">
        <f>MIN(AI56,AI$7)</f>
        <v/>
      </c>
      <c r="AK56" s="152">
        <f>MAX(0,MIN(AI56-AJ56,AQ56-(E56+I56+M56+Q56+U56+Y56+AC56+AG56)))</f>
        <v/>
      </c>
      <c r="AL56" s="152">
        <f>AI56-AJ56-AK56</f>
        <v/>
      </c>
      <c r="AM56" s="152">
        <f>IF(AP55&lt;=0.005,0,AP55*(1+AM$6))</f>
        <v/>
      </c>
      <c r="AN56" s="152">
        <f>MIN(AM56,AM$7)</f>
        <v/>
      </c>
      <c r="AO56" s="152">
        <f>MAX(0,MIN(AM56-AN56,AQ56-(E56+I56+M56+Q56+U56+Y56+AC56+AG56+AK56)))</f>
        <v/>
      </c>
      <c r="AP56" s="152">
        <f>AM56-AN56-AO56</f>
        <v/>
      </c>
      <c r="AQ56" s="152">
        <f>'Debt Payoff'!$C$8-SUM(D56,H56,L56,P56,T56,X56,AB56,AF56,AJ56,AN56)</f>
        <v/>
      </c>
      <c r="AR56" s="152">
        <f>SUM(D56,H56,L56,P56,T56,X56,AB56,AF56,AJ56,AN56)+SUM(E56,I56,M56,Q56,U56,Y56,AC56,AG56,AK56,AO56)</f>
        <v/>
      </c>
      <c r="AS56" s="152">
        <f>SUM(F56,J56,N56,R56,V56,Z56,AD56,AH56,AL56,AP56)</f>
        <v/>
      </c>
      <c r="AT56" s="152">
        <f>IF(B56&gt;AS$6,NA(),B56)</f>
        <v/>
      </c>
      <c r="AU56" s="152">
        <f>IF(B56&gt;AS$6,NA(),AS56)</f>
        <v/>
      </c>
      <c r="AV56" s="152" t="n"/>
      <c r="AW56" s="152" t="n">
        <v>45</v>
      </c>
      <c r="AX56" s="152">
        <f>IF(BA55&lt;=0.005,0,BA55*(1+AX$6))</f>
        <v/>
      </c>
      <c r="AY56" s="152">
        <f>MIN(AX56,AX$7)</f>
        <v/>
      </c>
      <c r="AZ56" s="152">
        <f>MAX(0,MIN(AX56-AY56,CL56))</f>
        <v/>
      </c>
      <c r="BA56" s="152">
        <f>AX56-AY56-AZ56</f>
        <v/>
      </c>
      <c r="BB56" s="152">
        <f>IF(BE55&lt;=0.005,0,BE55*(1+BB$6))</f>
        <v/>
      </c>
      <c r="BC56" s="152">
        <f>MIN(BB56,BB$7)</f>
        <v/>
      </c>
      <c r="BD56" s="152">
        <f>MAX(0,MIN(BB56-BC56,CL56-(AZ56)))</f>
        <v/>
      </c>
      <c r="BE56" s="152">
        <f>BB56-BC56-BD56</f>
        <v/>
      </c>
      <c r="BF56" s="152">
        <f>IF(BI55&lt;=0.005,0,BI55*(1+BF$6))</f>
        <v/>
      </c>
      <c r="BG56" s="152">
        <f>MIN(BF56,BF$7)</f>
        <v/>
      </c>
      <c r="BH56" s="152">
        <f>MAX(0,MIN(BF56-BG56,CL56-(AZ56+BD56)))</f>
        <v/>
      </c>
      <c r="BI56" s="152">
        <f>BF56-BG56-BH56</f>
        <v/>
      </c>
      <c r="BJ56" s="152">
        <f>IF(BM55&lt;=0.005,0,BM55*(1+BJ$6))</f>
        <v/>
      </c>
      <c r="BK56" s="152">
        <f>MIN(BJ56,BJ$7)</f>
        <v/>
      </c>
      <c r="BL56" s="152">
        <f>MAX(0,MIN(BJ56-BK56,CL56-(AZ56+BD56+BH56)))</f>
        <v/>
      </c>
      <c r="BM56" s="152">
        <f>BJ56-BK56-BL56</f>
        <v/>
      </c>
      <c r="BN56" s="152">
        <f>IF(BQ55&lt;=0.005,0,BQ55*(1+BN$6))</f>
        <v/>
      </c>
      <c r="BO56" s="152">
        <f>MIN(BN56,BN$7)</f>
        <v/>
      </c>
      <c r="BP56" s="152">
        <f>MAX(0,MIN(BN56-BO56,CL56-(AZ56+BD56+BH56+BL56)))</f>
        <v/>
      </c>
      <c r="BQ56" s="152">
        <f>BN56-BO56-BP56</f>
        <v/>
      </c>
      <c r="BR56" s="152">
        <f>IF(BU55&lt;=0.005,0,BU55*(1+BR$6))</f>
        <v/>
      </c>
      <c r="BS56" s="152">
        <f>MIN(BR56,BR$7)</f>
        <v/>
      </c>
      <c r="BT56" s="152">
        <f>MAX(0,MIN(BR56-BS56,CL56-(AZ56+BD56+BH56+BL56+BP56)))</f>
        <v/>
      </c>
      <c r="BU56" s="152">
        <f>BR56-BS56-BT56</f>
        <v/>
      </c>
      <c r="BV56" s="152">
        <f>IF(BY55&lt;=0.005,0,BY55*(1+BV$6))</f>
        <v/>
      </c>
      <c r="BW56" s="152">
        <f>MIN(BV56,BV$7)</f>
        <v/>
      </c>
      <c r="BX56" s="152">
        <f>MAX(0,MIN(BV56-BW56,CL56-(AZ56+BD56+BH56+BL56+BP56+BT56)))</f>
        <v/>
      </c>
      <c r="BY56" s="152">
        <f>BV56-BW56-BX56</f>
        <v/>
      </c>
      <c r="BZ56" s="152">
        <f>IF(CC55&lt;=0.005,0,CC55*(1+BZ$6))</f>
        <v/>
      </c>
      <c r="CA56" s="152">
        <f>MIN(BZ56,BZ$7)</f>
        <v/>
      </c>
      <c r="CB56" s="152">
        <f>MAX(0,MIN(BZ56-CA56,CL56-(AZ56+BD56+BH56+BL56+BP56+BT56+BX56)))</f>
        <v/>
      </c>
      <c r="CC56" s="152">
        <f>BZ56-CA56-CB56</f>
        <v/>
      </c>
      <c r="CD56" s="152">
        <f>IF(CG55&lt;=0.005,0,CG55*(1+CD$6))</f>
        <v/>
      </c>
      <c r="CE56" s="152">
        <f>MIN(CD56,CD$7)</f>
        <v/>
      </c>
      <c r="CF56" s="152">
        <f>MAX(0,MIN(CD56-CE56,CL56-(AZ56+BD56+BH56+BL56+BP56+BT56+BX56+CB56)))</f>
        <v/>
      </c>
      <c r="CG56" s="152">
        <f>CD56-CE56-CF56</f>
        <v/>
      </c>
      <c r="CH56" s="152">
        <f>IF(CK55&lt;=0.005,0,CK55*(1+CH$6))</f>
        <v/>
      </c>
      <c r="CI56" s="152">
        <f>MIN(CH56,CH$7)</f>
        <v/>
      </c>
      <c r="CJ56" s="152">
        <f>MAX(0,MIN(CH56-CI56,CL56-(AZ56+BD56+BH56+BL56+BP56+BT56+BX56+CB56+CF56)))</f>
        <v/>
      </c>
      <c r="CK56" s="152">
        <f>CH56-CI56-CJ56</f>
        <v/>
      </c>
      <c r="CL56" s="152">
        <f>'Debt Payoff'!$C$8-SUM(AY56,BC56,BG56,BK56,BO56,BS56,BW56,CA56,CE56,CI56)</f>
        <v/>
      </c>
      <c r="CM56" s="152">
        <f>SUM(AY56,BC56,BG56,BK56,BO56,BS56,BW56,CA56,CE56,CI56)+SUM(AZ56,BD56,BH56,BL56,BP56,BT56,BX56,CB56,CF56,CJ56)</f>
        <v/>
      </c>
      <c r="CN56" s="152">
        <f>SUM(BA56,BE56,BI56,BM56,BQ56,BU56,BY56,CC56,CG56,CK56)</f>
        <v/>
      </c>
      <c r="CO56" s="152">
        <f>IF(AW56&gt;CN$6,NA(),AW56)</f>
        <v/>
      </c>
      <c r="CP56" s="152">
        <f>IF(AW56&gt;CN$6,NA(),CN56)</f>
        <v/>
      </c>
    </row>
    <row r="57">
      <c r="B57" s="152" t="n">
        <v>46</v>
      </c>
      <c r="C57" s="152">
        <f>IF(F56&lt;=0.005,0,F56*(1+C$6))</f>
        <v/>
      </c>
      <c r="D57" s="152">
        <f>MIN(C57,C$7)</f>
        <v/>
      </c>
      <c r="E57" s="152">
        <f>MAX(0,MIN(C57-D57,AQ57))</f>
        <v/>
      </c>
      <c r="F57" s="152">
        <f>C57-D57-E57</f>
        <v/>
      </c>
      <c r="G57" s="152">
        <f>IF(J56&lt;=0.005,0,J56*(1+G$6))</f>
        <v/>
      </c>
      <c r="H57" s="152">
        <f>MIN(G57,G$7)</f>
        <v/>
      </c>
      <c r="I57" s="152">
        <f>MAX(0,MIN(G57-H57,AQ57-(E57)))</f>
        <v/>
      </c>
      <c r="J57" s="152">
        <f>G57-H57-I57</f>
        <v/>
      </c>
      <c r="K57" s="152">
        <f>IF(N56&lt;=0.005,0,N56*(1+K$6))</f>
        <v/>
      </c>
      <c r="L57" s="152">
        <f>MIN(K57,K$7)</f>
        <v/>
      </c>
      <c r="M57" s="152">
        <f>MAX(0,MIN(K57-L57,AQ57-(E57+I57)))</f>
        <v/>
      </c>
      <c r="N57" s="152">
        <f>K57-L57-M57</f>
        <v/>
      </c>
      <c r="O57" s="152">
        <f>IF(R56&lt;=0.005,0,R56*(1+O$6))</f>
        <v/>
      </c>
      <c r="P57" s="152">
        <f>MIN(O57,O$7)</f>
        <v/>
      </c>
      <c r="Q57" s="152">
        <f>MAX(0,MIN(O57-P57,AQ57-(E57+I57+M57)))</f>
        <v/>
      </c>
      <c r="R57" s="152">
        <f>O57-P57-Q57</f>
        <v/>
      </c>
      <c r="S57" s="152">
        <f>IF(V56&lt;=0.005,0,V56*(1+S$6))</f>
        <v/>
      </c>
      <c r="T57" s="152">
        <f>MIN(S57,S$7)</f>
        <v/>
      </c>
      <c r="U57" s="152">
        <f>MAX(0,MIN(S57-T57,AQ57-(E57+I57+M57+Q57)))</f>
        <v/>
      </c>
      <c r="V57" s="152">
        <f>S57-T57-U57</f>
        <v/>
      </c>
      <c r="W57" s="152">
        <f>IF(Z56&lt;=0.005,0,Z56*(1+W$6))</f>
        <v/>
      </c>
      <c r="X57" s="152">
        <f>MIN(W57,W$7)</f>
        <v/>
      </c>
      <c r="Y57" s="152">
        <f>MAX(0,MIN(W57-X57,AQ57-(E57+I57+M57+Q57+U57)))</f>
        <v/>
      </c>
      <c r="Z57" s="152">
        <f>W57-X57-Y57</f>
        <v/>
      </c>
      <c r="AA57" s="152">
        <f>IF(AD56&lt;=0.005,0,AD56*(1+AA$6))</f>
        <v/>
      </c>
      <c r="AB57" s="152">
        <f>MIN(AA57,AA$7)</f>
        <v/>
      </c>
      <c r="AC57" s="152">
        <f>MAX(0,MIN(AA57-AB57,AQ57-(E57+I57+M57+Q57+U57+Y57)))</f>
        <v/>
      </c>
      <c r="AD57" s="152">
        <f>AA57-AB57-AC57</f>
        <v/>
      </c>
      <c r="AE57" s="152">
        <f>IF(AH56&lt;=0.005,0,AH56*(1+AE$6))</f>
        <v/>
      </c>
      <c r="AF57" s="152">
        <f>MIN(AE57,AE$7)</f>
        <v/>
      </c>
      <c r="AG57" s="152">
        <f>MAX(0,MIN(AE57-AF57,AQ57-(E57+I57+M57+Q57+U57+Y57+AC57)))</f>
        <v/>
      </c>
      <c r="AH57" s="152">
        <f>AE57-AF57-AG57</f>
        <v/>
      </c>
      <c r="AI57" s="152">
        <f>IF(AL56&lt;=0.005,0,AL56*(1+AI$6))</f>
        <v/>
      </c>
      <c r="AJ57" s="152">
        <f>MIN(AI57,AI$7)</f>
        <v/>
      </c>
      <c r="AK57" s="152">
        <f>MAX(0,MIN(AI57-AJ57,AQ57-(E57+I57+M57+Q57+U57+Y57+AC57+AG57)))</f>
        <v/>
      </c>
      <c r="AL57" s="152">
        <f>AI57-AJ57-AK57</f>
        <v/>
      </c>
      <c r="AM57" s="152">
        <f>IF(AP56&lt;=0.005,0,AP56*(1+AM$6))</f>
        <v/>
      </c>
      <c r="AN57" s="152">
        <f>MIN(AM57,AM$7)</f>
        <v/>
      </c>
      <c r="AO57" s="152">
        <f>MAX(0,MIN(AM57-AN57,AQ57-(E57+I57+M57+Q57+U57+Y57+AC57+AG57+AK57)))</f>
        <v/>
      </c>
      <c r="AP57" s="152">
        <f>AM57-AN57-AO57</f>
        <v/>
      </c>
      <c r="AQ57" s="152">
        <f>'Debt Payoff'!$C$8-SUM(D57,H57,L57,P57,T57,X57,AB57,AF57,AJ57,AN57)</f>
        <v/>
      </c>
      <c r="AR57" s="152">
        <f>SUM(D57,H57,L57,P57,T57,X57,AB57,AF57,AJ57,AN57)+SUM(E57,I57,M57,Q57,U57,Y57,AC57,AG57,AK57,AO57)</f>
        <v/>
      </c>
      <c r="AS57" s="152">
        <f>SUM(F57,J57,N57,R57,V57,Z57,AD57,AH57,AL57,AP57)</f>
        <v/>
      </c>
      <c r="AT57" s="152">
        <f>IF(B57&gt;AS$6,NA(),B57)</f>
        <v/>
      </c>
      <c r="AU57" s="152">
        <f>IF(B57&gt;AS$6,NA(),AS57)</f>
        <v/>
      </c>
      <c r="AV57" s="152" t="n"/>
      <c r="AW57" s="152" t="n">
        <v>46</v>
      </c>
      <c r="AX57" s="152">
        <f>IF(BA56&lt;=0.005,0,BA56*(1+AX$6))</f>
        <v/>
      </c>
      <c r="AY57" s="152">
        <f>MIN(AX57,AX$7)</f>
        <v/>
      </c>
      <c r="AZ57" s="152">
        <f>MAX(0,MIN(AX57-AY57,CL57))</f>
        <v/>
      </c>
      <c r="BA57" s="152">
        <f>AX57-AY57-AZ57</f>
        <v/>
      </c>
      <c r="BB57" s="152">
        <f>IF(BE56&lt;=0.005,0,BE56*(1+BB$6))</f>
        <v/>
      </c>
      <c r="BC57" s="152">
        <f>MIN(BB57,BB$7)</f>
        <v/>
      </c>
      <c r="BD57" s="152">
        <f>MAX(0,MIN(BB57-BC57,CL57-(AZ57)))</f>
        <v/>
      </c>
      <c r="BE57" s="152">
        <f>BB57-BC57-BD57</f>
        <v/>
      </c>
      <c r="BF57" s="152">
        <f>IF(BI56&lt;=0.005,0,BI56*(1+BF$6))</f>
        <v/>
      </c>
      <c r="BG57" s="152">
        <f>MIN(BF57,BF$7)</f>
        <v/>
      </c>
      <c r="BH57" s="152">
        <f>MAX(0,MIN(BF57-BG57,CL57-(AZ57+BD57)))</f>
        <v/>
      </c>
      <c r="BI57" s="152">
        <f>BF57-BG57-BH57</f>
        <v/>
      </c>
      <c r="BJ57" s="152">
        <f>IF(BM56&lt;=0.005,0,BM56*(1+BJ$6))</f>
        <v/>
      </c>
      <c r="BK57" s="152">
        <f>MIN(BJ57,BJ$7)</f>
        <v/>
      </c>
      <c r="BL57" s="152">
        <f>MAX(0,MIN(BJ57-BK57,CL57-(AZ57+BD57+BH57)))</f>
        <v/>
      </c>
      <c r="BM57" s="152">
        <f>BJ57-BK57-BL57</f>
        <v/>
      </c>
      <c r="BN57" s="152">
        <f>IF(BQ56&lt;=0.005,0,BQ56*(1+BN$6))</f>
        <v/>
      </c>
      <c r="BO57" s="152">
        <f>MIN(BN57,BN$7)</f>
        <v/>
      </c>
      <c r="BP57" s="152">
        <f>MAX(0,MIN(BN57-BO57,CL57-(AZ57+BD57+BH57+BL57)))</f>
        <v/>
      </c>
      <c r="BQ57" s="152">
        <f>BN57-BO57-BP57</f>
        <v/>
      </c>
      <c r="BR57" s="152">
        <f>IF(BU56&lt;=0.005,0,BU56*(1+BR$6))</f>
        <v/>
      </c>
      <c r="BS57" s="152">
        <f>MIN(BR57,BR$7)</f>
        <v/>
      </c>
      <c r="BT57" s="152">
        <f>MAX(0,MIN(BR57-BS57,CL57-(AZ57+BD57+BH57+BL57+BP57)))</f>
        <v/>
      </c>
      <c r="BU57" s="152">
        <f>BR57-BS57-BT57</f>
        <v/>
      </c>
      <c r="BV57" s="152">
        <f>IF(BY56&lt;=0.005,0,BY56*(1+BV$6))</f>
        <v/>
      </c>
      <c r="BW57" s="152">
        <f>MIN(BV57,BV$7)</f>
        <v/>
      </c>
      <c r="BX57" s="152">
        <f>MAX(0,MIN(BV57-BW57,CL57-(AZ57+BD57+BH57+BL57+BP57+BT57)))</f>
        <v/>
      </c>
      <c r="BY57" s="152">
        <f>BV57-BW57-BX57</f>
        <v/>
      </c>
      <c r="BZ57" s="152">
        <f>IF(CC56&lt;=0.005,0,CC56*(1+BZ$6))</f>
        <v/>
      </c>
      <c r="CA57" s="152">
        <f>MIN(BZ57,BZ$7)</f>
        <v/>
      </c>
      <c r="CB57" s="152">
        <f>MAX(0,MIN(BZ57-CA57,CL57-(AZ57+BD57+BH57+BL57+BP57+BT57+BX57)))</f>
        <v/>
      </c>
      <c r="CC57" s="152">
        <f>BZ57-CA57-CB57</f>
        <v/>
      </c>
      <c r="CD57" s="152">
        <f>IF(CG56&lt;=0.005,0,CG56*(1+CD$6))</f>
        <v/>
      </c>
      <c r="CE57" s="152">
        <f>MIN(CD57,CD$7)</f>
        <v/>
      </c>
      <c r="CF57" s="152">
        <f>MAX(0,MIN(CD57-CE57,CL57-(AZ57+BD57+BH57+BL57+BP57+BT57+BX57+CB57)))</f>
        <v/>
      </c>
      <c r="CG57" s="152">
        <f>CD57-CE57-CF57</f>
        <v/>
      </c>
      <c r="CH57" s="152">
        <f>IF(CK56&lt;=0.005,0,CK56*(1+CH$6))</f>
        <v/>
      </c>
      <c r="CI57" s="152">
        <f>MIN(CH57,CH$7)</f>
        <v/>
      </c>
      <c r="CJ57" s="152">
        <f>MAX(0,MIN(CH57-CI57,CL57-(AZ57+BD57+BH57+BL57+BP57+BT57+BX57+CB57+CF57)))</f>
        <v/>
      </c>
      <c r="CK57" s="152">
        <f>CH57-CI57-CJ57</f>
        <v/>
      </c>
      <c r="CL57" s="152">
        <f>'Debt Payoff'!$C$8-SUM(AY57,BC57,BG57,BK57,BO57,BS57,BW57,CA57,CE57,CI57)</f>
        <v/>
      </c>
      <c r="CM57" s="152">
        <f>SUM(AY57,BC57,BG57,BK57,BO57,BS57,BW57,CA57,CE57,CI57)+SUM(AZ57,BD57,BH57,BL57,BP57,BT57,BX57,CB57,CF57,CJ57)</f>
        <v/>
      </c>
      <c r="CN57" s="152">
        <f>SUM(BA57,BE57,BI57,BM57,BQ57,BU57,BY57,CC57,CG57,CK57)</f>
        <v/>
      </c>
      <c r="CO57" s="152">
        <f>IF(AW57&gt;CN$6,NA(),AW57)</f>
        <v/>
      </c>
      <c r="CP57" s="152">
        <f>IF(AW57&gt;CN$6,NA(),CN57)</f>
        <v/>
      </c>
    </row>
    <row r="58">
      <c r="B58" s="152" t="n">
        <v>47</v>
      </c>
      <c r="C58" s="152">
        <f>IF(F57&lt;=0.005,0,F57*(1+C$6))</f>
        <v/>
      </c>
      <c r="D58" s="152">
        <f>MIN(C58,C$7)</f>
        <v/>
      </c>
      <c r="E58" s="152">
        <f>MAX(0,MIN(C58-D58,AQ58))</f>
        <v/>
      </c>
      <c r="F58" s="152">
        <f>C58-D58-E58</f>
        <v/>
      </c>
      <c r="G58" s="152">
        <f>IF(J57&lt;=0.005,0,J57*(1+G$6))</f>
        <v/>
      </c>
      <c r="H58" s="152">
        <f>MIN(G58,G$7)</f>
        <v/>
      </c>
      <c r="I58" s="152">
        <f>MAX(0,MIN(G58-H58,AQ58-(E58)))</f>
        <v/>
      </c>
      <c r="J58" s="152">
        <f>G58-H58-I58</f>
        <v/>
      </c>
      <c r="K58" s="152">
        <f>IF(N57&lt;=0.005,0,N57*(1+K$6))</f>
        <v/>
      </c>
      <c r="L58" s="152">
        <f>MIN(K58,K$7)</f>
        <v/>
      </c>
      <c r="M58" s="152">
        <f>MAX(0,MIN(K58-L58,AQ58-(E58+I58)))</f>
        <v/>
      </c>
      <c r="N58" s="152">
        <f>K58-L58-M58</f>
        <v/>
      </c>
      <c r="O58" s="152">
        <f>IF(R57&lt;=0.005,0,R57*(1+O$6))</f>
        <v/>
      </c>
      <c r="P58" s="152">
        <f>MIN(O58,O$7)</f>
        <v/>
      </c>
      <c r="Q58" s="152">
        <f>MAX(0,MIN(O58-P58,AQ58-(E58+I58+M58)))</f>
        <v/>
      </c>
      <c r="R58" s="152">
        <f>O58-P58-Q58</f>
        <v/>
      </c>
      <c r="S58" s="152">
        <f>IF(V57&lt;=0.005,0,V57*(1+S$6))</f>
        <v/>
      </c>
      <c r="T58" s="152">
        <f>MIN(S58,S$7)</f>
        <v/>
      </c>
      <c r="U58" s="152">
        <f>MAX(0,MIN(S58-T58,AQ58-(E58+I58+M58+Q58)))</f>
        <v/>
      </c>
      <c r="V58" s="152">
        <f>S58-T58-U58</f>
        <v/>
      </c>
      <c r="W58" s="152">
        <f>IF(Z57&lt;=0.005,0,Z57*(1+W$6))</f>
        <v/>
      </c>
      <c r="X58" s="152">
        <f>MIN(W58,W$7)</f>
        <v/>
      </c>
      <c r="Y58" s="152">
        <f>MAX(0,MIN(W58-X58,AQ58-(E58+I58+M58+Q58+U58)))</f>
        <v/>
      </c>
      <c r="Z58" s="152">
        <f>W58-X58-Y58</f>
        <v/>
      </c>
      <c r="AA58" s="152">
        <f>IF(AD57&lt;=0.005,0,AD57*(1+AA$6))</f>
        <v/>
      </c>
      <c r="AB58" s="152">
        <f>MIN(AA58,AA$7)</f>
        <v/>
      </c>
      <c r="AC58" s="152">
        <f>MAX(0,MIN(AA58-AB58,AQ58-(E58+I58+M58+Q58+U58+Y58)))</f>
        <v/>
      </c>
      <c r="AD58" s="152">
        <f>AA58-AB58-AC58</f>
        <v/>
      </c>
      <c r="AE58" s="152">
        <f>IF(AH57&lt;=0.005,0,AH57*(1+AE$6))</f>
        <v/>
      </c>
      <c r="AF58" s="152">
        <f>MIN(AE58,AE$7)</f>
        <v/>
      </c>
      <c r="AG58" s="152">
        <f>MAX(0,MIN(AE58-AF58,AQ58-(E58+I58+M58+Q58+U58+Y58+AC58)))</f>
        <v/>
      </c>
      <c r="AH58" s="152">
        <f>AE58-AF58-AG58</f>
        <v/>
      </c>
      <c r="AI58" s="152">
        <f>IF(AL57&lt;=0.005,0,AL57*(1+AI$6))</f>
        <v/>
      </c>
      <c r="AJ58" s="152">
        <f>MIN(AI58,AI$7)</f>
        <v/>
      </c>
      <c r="AK58" s="152">
        <f>MAX(0,MIN(AI58-AJ58,AQ58-(E58+I58+M58+Q58+U58+Y58+AC58+AG58)))</f>
        <v/>
      </c>
      <c r="AL58" s="152">
        <f>AI58-AJ58-AK58</f>
        <v/>
      </c>
      <c r="AM58" s="152">
        <f>IF(AP57&lt;=0.005,0,AP57*(1+AM$6))</f>
        <v/>
      </c>
      <c r="AN58" s="152">
        <f>MIN(AM58,AM$7)</f>
        <v/>
      </c>
      <c r="AO58" s="152">
        <f>MAX(0,MIN(AM58-AN58,AQ58-(E58+I58+M58+Q58+U58+Y58+AC58+AG58+AK58)))</f>
        <v/>
      </c>
      <c r="AP58" s="152">
        <f>AM58-AN58-AO58</f>
        <v/>
      </c>
      <c r="AQ58" s="152">
        <f>'Debt Payoff'!$C$8-SUM(D58,H58,L58,P58,T58,X58,AB58,AF58,AJ58,AN58)</f>
        <v/>
      </c>
      <c r="AR58" s="152">
        <f>SUM(D58,H58,L58,P58,T58,X58,AB58,AF58,AJ58,AN58)+SUM(E58,I58,M58,Q58,U58,Y58,AC58,AG58,AK58,AO58)</f>
        <v/>
      </c>
      <c r="AS58" s="152">
        <f>SUM(F58,J58,N58,R58,V58,Z58,AD58,AH58,AL58,AP58)</f>
        <v/>
      </c>
      <c r="AT58" s="152">
        <f>IF(B58&gt;AS$6,NA(),B58)</f>
        <v/>
      </c>
      <c r="AU58" s="152">
        <f>IF(B58&gt;AS$6,NA(),AS58)</f>
        <v/>
      </c>
      <c r="AV58" s="152" t="n"/>
      <c r="AW58" s="152" t="n">
        <v>47</v>
      </c>
      <c r="AX58" s="152">
        <f>IF(BA57&lt;=0.005,0,BA57*(1+AX$6))</f>
        <v/>
      </c>
      <c r="AY58" s="152">
        <f>MIN(AX58,AX$7)</f>
        <v/>
      </c>
      <c r="AZ58" s="152">
        <f>MAX(0,MIN(AX58-AY58,CL58))</f>
        <v/>
      </c>
      <c r="BA58" s="152">
        <f>AX58-AY58-AZ58</f>
        <v/>
      </c>
      <c r="BB58" s="152">
        <f>IF(BE57&lt;=0.005,0,BE57*(1+BB$6))</f>
        <v/>
      </c>
      <c r="BC58" s="152">
        <f>MIN(BB58,BB$7)</f>
        <v/>
      </c>
      <c r="BD58" s="152">
        <f>MAX(0,MIN(BB58-BC58,CL58-(AZ58)))</f>
        <v/>
      </c>
      <c r="BE58" s="152">
        <f>BB58-BC58-BD58</f>
        <v/>
      </c>
      <c r="BF58" s="152">
        <f>IF(BI57&lt;=0.005,0,BI57*(1+BF$6))</f>
        <v/>
      </c>
      <c r="BG58" s="152">
        <f>MIN(BF58,BF$7)</f>
        <v/>
      </c>
      <c r="BH58" s="152">
        <f>MAX(0,MIN(BF58-BG58,CL58-(AZ58+BD58)))</f>
        <v/>
      </c>
      <c r="BI58" s="152">
        <f>BF58-BG58-BH58</f>
        <v/>
      </c>
      <c r="BJ58" s="152">
        <f>IF(BM57&lt;=0.005,0,BM57*(1+BJ$6))</f>
        <v/>
      </c>
      <c r="BK58" s="152">
        <f>MIN(BJ58,BJ$7)</f>
        <v/>
      </c>
      <c r="BL58" s="152">
        <f>MAX(0,MIN(BJ58-BK58,CL58-(AZ58+BD58+BH58)))</f>
        <v/>
      </c>
      <c r="BM58" s="152">
        <f>BJ58-BK58-BL58</f>
        <v/>
      </c>
      <c r="BN58" s="152">
        <f>IF(BQ57&lt;=0.005,0,BQ57*(1+BN$6))</f>
        <v/>
      </c>
      <c r="BO58" s="152">
        <f>MIN(BN58,BN$7)</f>
        <v/>
      </c>
      <c r="BP58" s="152">
        <f>MAX(0,MIN(BN58-BO58,CL58-(AZ58+BD58+BH58+BL58)))</f>
        <v/>
      </c>
      <c r="BQ58" s="152">
        <f>BN58-BO58-BP58</f>
        <v/>
      </c>
      <c r="BR58" s="152">
        <f>IF(BU57&lt;=0.005,0,BU57*(1+BR$6))</f>
        <v/>
      </c>
      <c r="BS58" s="152">
        <f>MIN(BR58,BR$7)</f>
        <v/>
      </c>
      <c r="BT58" s="152">
        <f>MAX(0,MIN(BR58-BS58,CL58-(AZ58+BD58+BH58+BL58+BP58)))</f>
        <v/>
      </c>
      <c r="BU58" s="152">
        <f>BR58-BS58-BT58</f>
        <v/>
      </c>
      <c r="BV58" s="152">
        <f>IF(BY57&lt;=0.005,0,BY57*(1+BV$6))</f>
        <v/>
      </c>
      <c r="BW58" s="152">
        <f>MIN(BV58,BV$7)</f>
        <v/>
      </c>
      <c r="BX58" s="152">
        <f>MAX(0,MIN(BV58-BW58,CL58-(AZ58+BD58+BH58+BL58+BP58+BT58)))</f>
        <v/>
      </c>
      <c r="BY58" s="152">
        <f>BV58-BW58-BX58</f>
        <v/>
      </c>
      <c r="BZ58" s="152">
        <f>IF(CC57&lt;=0.005,0,CC57*(1+BZ$6))</f>
        <v/>
      </c>
      <c r="CA58" s="152">
        <f>MIN(BZ58,BZ$7)</f>
        <v/>
      </c>
      <c r="CB58" s="152">
        <f>MAX(0,MIN(BZ58-CA58,CL58-(AZ58+BD58+BH58+BL58+BP58+BT58+BX58)))</f>
        <v/>
      </c>
      <c r="CC58" s="152">
        <f>BZ58-CA58-CB58</f>
        <v/>
      </c>
      <c r="CD58" s="152">
        <f>IF(CG57&lt;=0.005,0,CG57*(1+CD$6))</f>
        <v/>
      </c>
      <c r="CE58" s="152">
        <f>MIN(CD58,CD$7)</f>
        <v/>
      </c>
      <c r="CF58" s="152">
        <f>MAX(0,MIN(CD58-CE58,CL58-(AZ58+BD58+BH58+BL58+BP58+BT58+BX58+CB58)))</f>
        <v/>
      </c>
      <c r="CG58" s="152">
        <f>CD58-CE58-CF58</f>
        <v/>
      </c>
      <c r="CH58" s="152">
        <f>IF(CK57&lt;=0.005,0,CK57*(1+CH$6))</f>
        <v/>
      </c>
      <c r="CI58" s="152">
        <f>MIN(CH58,CH$7)</f>
        <v/>
      </c>
      <c r="CJ58" s="152">
        <f>MAX(0,MIN(CH58-CI58,CL58-(AZ58+BD58+BH58+BL58+BP58+BT58+BX58+CB58+CF58)))</f>
        <v/>
      </c>
      <c r="CK58" s="152">
        <f>CH58-CI58-CJ58</f>
        <v/>
      </c>
      <c r="CL58" s="152">
        <f>'Debt Payoff'!$C$8-SUM(AY58,BC58,BG58,BK58,BO58,BS58,BW58,CA58,CE58,CI58)</f>
        <v/>
      </c>
      <c r="CM58" s="152">
        <f>SUM(AY58,BC58,BG58,BK58,BO58,BS58,BW58,CA58,CE58,CI58)+SUM(AZ58,BD58,BH58,BL58,BP58,BT58,BX58,CB58,CF58,CJ58)</f>
        <v/>
      </c>
      <c r="CN58" s="152">
        <f>SUM(BA58,BE58,BI58,BM58,BQ58,BU58,BY58,CC58,CG58,CK58)</f>
        <v/>
      </c>
      <c r="CO58" s="152">
        <f>IF(AW58&gt;CN$6,NA(),AW58)</f>
        <v/>
      </c>
      <c r="CP58" s="152">
        <f>IF(AW58&gt;CN$6,NA(),CN58)</f>
        <v/>
      </c>
    </row>
    <row r="59">
      <c r="B59" s="152" t="n">
        <v>48</v>
      </c>
      <c r="C59" s="152">
        <f>IF(F58&lt;=0.005,0,F58*(1+C$6))</f>
        <v/>
      </c>
      <c r="D59" s="152">
        <f>MIN(C59,C$7)</f>
        <v/>
      </c>
      <c r="E59" s="152">
        <f>MAX(0,MIN(C59-D59,AQ59))</f>
        <v/>
      </c>
      <c r="F59" s="152">
        <f>C59-D59-E59</f>
        <v/>
      </c>
      <c r="G59" s="152">
        <f>IF(J58&lt;=0.005,0,J58*(1+G$6))</f>
        <v/>
      </c>
      <c r="H59" s="152">
        <f>MIN(G59,G$7)</f>
        <v/>
      </c>
      <c r="I59" s="152">
        <f>MAX(0,MIN(G59-H59,AQ59-(E59)))</f>
        <v/>
      </c>
      <c r="J59" s="152">
        <f>G59-H59-I59</f>
        <v/>
      </c>
      <c r="K59" s="152">
        <f>IF(N58&lt;=0.005,0,N58*(1+K$6))</f>
        <v/>
      </c>
      <c r="L59" s="152">
        <f>MIN(K59,K$7)</f>
        <v/>
      </c>
      <c r="M59" s="152">
        <f>MAX(0,MIN(K59-L59,AQ59-(E59+I59)))</f>
        <v/>
      </c>
      <c r="N59" s="152">
        <f>K59-L59-M59</f>
        <v/>
      </c>
      <c r="O59" s="152">
        <f>IF(R58&lt;=0.005,0,R58*(1+O$6))</f>
        <v/>
      </c>
      <c r="P59" s="152">
        <f>MIN(O59,O$7)</f>
        <v/>
      </c>
      <c r="Q59" s="152">
        <f>MAX(0,MIN(O59-P59,AQ59-(E59+I59+M59)))</f>
        <v/>
      </c>
      <c r="R59" s="152">
        <f>O59-P59-Q59</f>
        <v/>
      </c>
      <c r="S59" s="152">
        <f>IF(V58&lt;=0.005,0,V58*(1+S$6))</f>
        <v/>
      </c>
      <c r="T59" s="152">
        <f>MIN(S59,S$7)</f>
        <v/>
      </c>
      <c r="U59" s="152">
        <f>MAX(0,MIN(S59-T59,AQ59-(E59+I59+M59+Q59)))</f>
        <v/>
      </c>
      <c r="V59" s="152">
        <f>S59-T59-U59</f>
        <v/>
      </c>
      <c r="W59" s="152">
        <f>IF(Z58&lt;=0.005,0,Z58*(1+W$6))</f>
        <v/>
      </c>
      <c r="X59" s="152">
        <f>MIN(W59,W$7)</f>
        <v/>
      </c>
      <c r="Y59" s="152">
        <f>MAX(0,MIN(W59-X59,AQ59-(E59+I59+M59+Q59+U59)))</f>
        <v/>
      </c>
      <c r="Z59" s="152">
        <f>W59-X59-Y59</f>
        <v/>
      </c>
      <c r="AA59" s="152">
        <f>IF(AD58&lt;=0.005,0,AD58*(1+AA$6))</f>
        <v/>
      </c>
      <c r="AB59" s="152">
        <f>MIN(AA59,AA$7)</f>
        <v/>
      </c>
      <c r="AC59" s="152">
        <f>MAX(0,MIN(AA59-AB59,AQ59-(E59+I59+M59+Q59+U59+Y59)))</f>
        <v/>
      </c>
      <c r="AD59" s="152">
        <f>AA59-AB59-AC59</f>
        <v/>
      </c>
      <c r="AE59" s="152">
        <f>IF(AH58&lt;=0.005,0,AH58*(1+AE$6))</f>
        <v/>
      </c>
      <c r="AF59" s="152">
        <f>MIN(AE59,AE$7)</f>
        <v/>
      </c>
      <c r="AG59" s="152">
        <f>MAX(0,MIN(AE59-AF59,AQ59-(E59+I59+M59+Q59+U59+Y59+AC59)))</f>
        <v/>
      </c>
      <c r="AH59" s="152">
        <f>AE59-AF59-AG59</f>
        <v/>
      </c>
      <c r="AI59" s="152">
        <f>IF(AL58&lt;=0.005,0,AL58*(1+AI$6))</f>
        <v/>
      </c>
      <c r="AJ59" s="152">
        <f>MIN(AI59,AI$7)</f>
        <v/>
      </c>
      <c r="AK59" s="152">
        <f>MAX(0,MIN(AI59-AJ59,AQ59-(E59+I59+M59+Q59+U59+Y59+AC59+AG59)))</f>
        <v/>
      </c>
      <c r="AL59" s="152">
        <f>AI59-AJ59-AK59</f>
        <v/>
      </c>
      <c r="AM59" s="152">
        <f>IF(AP58&lt;=0.005,0,AP58*(1+AM$6))</f>
        <v/>
      </c>
      <c r="AN59" s="152">
        <f>MIN(AM59,AM$7)</f>
        <v/>
      </c>
      <c r="AO59" s="152">
        <f>MAX(0,MIN(AM59-AN59,AQ59-(E59+I59+M59+Q59+U59+Y59+AC59+AG59+AK59)))</f>
        <v/>
      </c>
      <c r="AP59" s="152">
        <f>AM59-AN59-AO59</f>
        <v/>
      </c>
      <c r="AQ59" s="152">
        <f>'Debt Payoff'!$C$8-SUM(D59,H59,L59,P59,T59,X59,AB59,AF59,AJ59,AN59)</f>
        <v/>
      </c>
      <c r="AR59" s="152">
        <f>SUM(D59,H59,L59,P59,T59,X59,AB59,AF59,AJ59,AN59)+SUM(E59,I59,M59,Q59,U59,Y59,AC59,AG59,AK59,AO59)</f>
        <v/>
      </c>
      <c r="AS59" s="152">
        <f>SUM(F59,J59,N59,R59,V59,Z59,AD59,AH59,AL59,AP59)</f>
        <v/>
      </c>
      <c r="AT59" s="152">
        <f>IF(B59&gt;AS$6,NA(),B59)</f>
        <v/>
      </c>
      <c r="AU59" s="152">
        <f>IF(B59&gt;AS$6,NA(),AS59)</f>
        <v/>
      </c>
      <c r="AV59" s="152" t="n"/>
      <c r="AW59" s="152" t="n">
        <v>48</v>
      </c>
      <c r="AX59" s="152">
        <f>IF(BA58&lt;=0.005,0,BA58*(1+AX$6))</f>
        <v/>
      </c>
      <c r="AY59" s="152">
        <f>MIN(AX59,AX$7)</f>
        <v/>
      </c>
      <c r="AZ59" s="152">
        <f>MAX(0,MIN(AX59-AY59,CL59))</f>
        <v/>
      </c>
      <c r="BA59" s="152">
        <f>AX59-AY59-AZ59</f>
        <v/>
      </c>
      <c r="BB59" s="152">
        <f>IF(BE58&lt;=0.005,0,BE58*(1+BB$6))</f>
        <v/>
      </c>
      <c r="BC59" s="152">
        <f>MIN(BB59,BB$7)</f>
        <v/>
      </c>
      <c r="BD59" s="152">
        <f>MAX(0,MIN(BB59-BC59,CL59-(AZ59)))</f>
        <v/>
      </c>
      <c r="BE59" s="152">
        <f>BB59-BC59-BD59</f>
        <v/>
      </c>
      <c r="BF59" s="152">
        <f>IF(BI58&lt;=0.005,0,BI58*(1+BF$6))</f>
        <v/>
      </c>
      <c r="BG59" s="152">
        <f>MIN(BF59,BF$7)</f>
        <v/>
      </c>
      <c r="BH59" s="152">
        <f>MAX(0,MIN(BF59-BG59,CL59-(AZ59+BD59)))</f>
        <v/>
      </c>
      <c r="BI59" s="152">
        <f>BF59-BG59-BH59</f>
        <v/>
      </c>
      <c r="BJ59" s="152">
        <f>IF(BM58&lt;=0.005,0,BM58*(1+BJ$6))</f>
        <v/>
      </c>
      <c r="BK59" s="152">
        <f>MIN(BJ59,BJ$7)</f>
        <v/>
      </c>
      <c r="BL59" s="152">
        <f>MAX(0,MIN(BJ59-BK59,CL59-(AZ59+BD59+BH59)))</f>
        <v/>
      </c>
      <c r="BM59" s="152">
        <f>BJ59-BK59-BL59</f>
        <v/>
      </c>
      <c r="BN59" s="152">
        <f>IF(BQ58&lt;=0.005,0,BQ58*(1+BN$6))</f>
        <v/>
      </c>
      <c r="BO59" s="152">
        <f>MIN(BN59,BN$7)</f>
        <v/>
      </c>
      <c r="BP59" s="152">
        <f>MAX(0,MIN(BN59-BO59,CL59-(AZ59+BD59+BH59+BL59)))</f>
        <v/>
      </c>
      <c r="BQ59" s="152">
        <f>BN59-BO59-BP59</f>
        <v/>
      </c>
      <c r="BR59" s="152">
        <f>IF(BU58&lt;=0.005,0,BU58*(1+BR$6))</f>
        <v/>
      </c>
      <c r="BS59" s="152">
        <f>MIN(BR59,BR$7)</f>
        <v/>
      </c>
      <c r="BT59" s="152">
        <f>MAX(0,MIN(BR59-BS59,CL59-(AZ59+BD59+BH59+BL59+BP59)))</f>
        <v/>
      </c>
      <c r="BU59" s="152">
        <f>BR59-BS59-BT59</f>
        <v/>
      </c>
      <c r="BV59" s="152">
        <f>IF(BY58&lt;=0.005,0,BY58*(1+BV$6))</f>
        <v/>
      </c>
      <c r="BW59" s="152">
        <f>MIN(BV59,BV$7)</f>
        <v/>
      </c>
      <c r="BX59" s="152">
        <f>MAX(0,MIN(BV59-BW59,CL59-(AZ59+BD59+BH59+BL59+BP59+BT59)))</f>
        <v/>
      </c>
      <c r="BY59" s="152">
        <f>BV59-BW59-BX59</f>
        <v/>
      </c>
      <c r="BZ59" s="152">
        <f>IF(CC58&lt;=0.005,0,CC58*(1+BZ$6))</f>
        <v/>
      </c>
      <c r="CA59" s="152">
        <f>MIN(BZ59,BZ$7)</f>
        <v/>
      </c>
      <c r="CB59" s="152">
        <f>MAX(0,MIN(BZ59-CA59,CL59-(AZ59+BD59+BH59+BL59+BP59+BT59+BX59)))</f>
        <v/>
      </c>
      <c r="CC59" s="152">
        <f>BZ59-CA59-CB59</f>
        <v/>
      </c>
      <c r="CD59" s="152">
        <f>IF(CG58&lt;=0.005,0,CG58*(1+CD$6))</f>
        <v/>
      </c>
      <c r="CE59" s="152">
        <f>MIN(CD59,CD$7)</f>
        <v/>
      </c>
      <c r="CF59" s="152">
        <f>MAX(0,MIN(CD59-CE59,CL59-(AZ59+BD59+BH59+BL59+BP59+BT59+BX59+CB59)))</f>
        <v/>
      </c>
      <c r="CG59" s="152">
        <f>CD59-CE59-CF59</f>
        <v/>
      </c>
      <c r="CH59" s="152">
        <f>IF(CK58&lt;=0.005,0,CK58*(1+CH$6))</f>
        <v/>
      </c>
      <c r="CI59" s="152">
        <f>MIN(CH59,CH$7)</f>
        <v/>
      </c>
      <c r="CJ59" s="152">
        <f>MAX(0,MIN(CH59-CI59,CL59-(AZ59+BD59+BH59+BL59+BP59+BT59+BX59+CB59+CF59)))</f>
        <v/>
      </c>
      <c r="CK59" s="152">
        <f>CH59-CI59-CJ59</f>
        <v/>
      </c>
      <c r="CL59" s="152">
        <f>'Debt Payoff'!$C$8-SUM(AY59,BC59,BG59,BK59,BO59,BS59,BW59,CA59,CE59,CI59)</f>
        <v/>
      </c>
      <c r="CM59" s="152">
        <f>SUM(AY59,BC59,BG59,BK59,BO59,BS59,BW59,CA59,CE59,CI59)+SUM(AZ59,BD59,BH59,BL59,BP59,BT59,BX59,CB59,CF59,CJ59)</f>
        <v/>
      </c>
      <c r="CN59" s="152">
        <f>SUM(BA59,BE59,BI59,BM59,BQ59,BU59,BY59,CC59,CG59,CK59)</f>
        <v/>
      </c>
      <c r="CO59" s="152">
        <f>IF(AW59&gt;CN$6,NA(),AW59)</f>
        <v/>
      </c>
      <c r="CP59" s="152">
        <f>IF(AW59&gt;CN$6,NA(),CN59)</f>
        <v/>
      </c>
    </row>
    <row r="60">
      <c r="B60" s="152" t="n">
        <v>49</v>
      </c>
      <c r="C60" s="152">
        <f>IF(F59&lt;=0.005,0,F59*(1+C$6))</f>
        <v/>
      </c>
      <c r="D60" s="152">
        <f>MIN(C60,C$7)</f>
        <v/>
      </c>
      <c r="E60" s="152">
        <f>MAX(0,MIN(C60-D60,AQ60))</f>
        <v/>
      </c>
      <c r="F60" s="152">
        <f>C60-D60-E60</f>
        <v/>
      </c>
      <c r="G60" s="152">
        <f>IF(J59&lt;=0.005,0,J59*(1+G$6))</f>
        <v/>
      </c>
      <c r="H60" s="152">
        <f>MIN(G60,G$7)</f>
        <v/>
      </c>
      <c r="I60" s="152">
        <f>MAX(0,MIN(G60-H60,AQ60-(E60)))</f>
        <v/>
      </c>
      <c r="J60" s="152">
        <f>G60-H60-I60</f>
        <v/>
      </c>
      <c r="K60" s="152">
        <f>IF(N59&lt;=0.005,0,N59*(1+K$6))</f>
        <v/>
      </c>
      <c r="L60" s="152">
        <f>MIN(K60,K$7)</f>
        <v/>
      </c>
      <c r="M60" s="152">
        <f>MAX(0,MIN(K60-L60,AQ60-(E60+I60)))</f>
        <v/>
      </c>
      <c r="N60" s="152">
        <f>K60-L60-M60</f>
        <v/>
      </c>
      <c r="O60" s="152">
        <f>IF(R59&lt;=0.005,0,R59*(1+O$6))</f>
        <v/>
      </c>
      <c r="P60" s="152">
        <f>MIN(O60,O$7)</f>
        <v/>
      </c>
      <c r="Q60" s="152">
        <f>MAX(0,MIN(O60-P60,AQ60-(E60+I60+M60)))</f>
        <v/>
      </c>
      <c r="R60" s="152">
        <f>O60-P60-Q60</f>
        <v/>
      </c>
      <c r="S60" s="152">
        <f>IF(V59&lt;=0.005,0,V59*(1+S$6))</f>
        <v/>
      </c>
      <c r="T60" s="152">
        <f>MIN(S60,S$7)</f>
        <v/>
      </c>
      <c r="U60" s="152">
        <f>MAX(0,MIN(S60-T60,AQ60-(E60+I60+M60+Q60)))</f>
        <v/>
      </c>
      <c r="V60" s="152">
        <f>S60-T60-U60</f>
        <v/>
      </c>
      <c r="W60" s="152">
        <f>IF(Z59&lt;=0.005,0,Z59*(1+W$6))</f>
        <v/>
      </c>
      <c r="X60" s="152">
        <f>MIN(W60,W$7)</f>
        <v/>
      </c>
      <c r="Y60" s="152">
        <f>MAX(0,MIN(W60-X60,AQ60-(E60+I60+M60+Q60+U60)))</f>
        <v/>
      </c>
      <c r="Z60" s="152">
        <f>W60-X60-Y60</f>
        <v/>
      </c>
      <c r="AA60" s="152">
        <f>IF(AD59&lt;=0.005,0,AD59*(1+AA$6))</f>
        <v/>
      </c>
      <c r="AB60" s="152">
        <f>MIN(AA60,AA$7)</f>
        <v/>
      </c>
      <c r="AC60" s="152">
        <f>MAX(0,MIN(AA60-AB60,AQ60-(E60+I60+M60+Q60+U60+Y60)))</f>
        <v/>
      </c>
      <c r="AD60" s="152">
        <f>AA60-AB60-AC60</f>
        <v/>
      </c>
      <c r="AE60" s="152">
        <f>IF(AH59&lt;=0.005,0,AH59*(1+AE$6))</f>
        <v/>
      </c>
      <c r="AF60" s="152">
        <f>MIN(AE60,AE$7)</f>
        <v/>
      </c>
      <c r="AG60" s="152">
        <f>MAX(0,MIN(AE60-AF60,AQ60-(E60+I60+M60+Q60+U60+Y60+AC60)))</f>
        <v/>
      </c>
      <c r="AH60" s="152">
        <f>AE60-AF60-AG60</f>
        <v/>
      </c>
      <c r="AI60" s="152">
        <f>IF(AL59&lt;=0.005,0,AL59*(1+AI$6))</f>
        <v/>
      </c>
      <c r="AJ60" s="152">
        <f>MIN(AI60,AI$7)</f>
        <v/>
      </c>
      <c r="AK60" s="152">
        <f>MAX(0,MIN(AI60-AJ60,AQ60-(E60+I60+M60+Q60+U60+Y60+AC60+AG60)))</f>
        <v/>
      </c>
      <c r="AL60" s="152">
        <f>AI60-AJ60-AK60</f>
        <v/>
      </c>
      <c r="AM60" s="152">
        <f>IF(AP59&lt;=0.005,0,AP59*(1+AM$6))</f>
        <v/>
      </c>
      <c r="AN60" s="152">
        <f>MIN(AM60,AM$7)</f>
        <v/>
      </c>
      <c r="AO60" s="152">
        <f>MAX(0,MIN(AM60-AN60,AQ60-(E60+I60+M60+Q60+U60+Y60+AC60+AG60+AK60)))</f>
        <v/>
      </c>
      <c r="AP60" s="152">
        <f>AM60-AN60-AO60</f>
        <v/>
      </c>
      <c r="AQ60" s="152">
        <f>'Debt Payoff'!$C$8-SUM(D60,H60,L60,P60,T60,X60,AB60,AF60,AJ60,AN60)</f>
        <v/>
      </c>
      <c r="AR60" s="152">
        <f>SUM(D60,H60,L60,P60,T60,X60,AB60,AF60,AJ60,AN60)+SUM(E60,I60,M60,Q60,U60,Y60,AC60,AG60,AK60,AO60)</f>
        <v/>
      </c>
      <c r="AS60" s="152">
        <f>SUM(F60,J60,N60,R60,V60,Z60,AD60,AH60,AL60,AP60)</f>
        <v/>
      </c>
      <c r="AT60" s="152">
        <f>IF(B60&gt;AS$6,NA(),B60)</f>
        <v/>
      </c>
      <c r="AU60" s="152">
        <f>IF(B60&gt;AS$6,NA(),AS60)</f>
        <v/>
      </c>
      <c r="AV60" s="152" t="n"/>
      <c r="AW60" s="152" t="n">
        <v>49</v>
      </c>
      <c r="AX60" s="152">
        <f>IF(BA59&lt;=0.005,0,BA59*(1+AX$6))</f>
        <v/>
      </c>
      <c r="AY60" s="152">
        <f>MIN(AX60,AX$7)</f>
        <v/>
      </c>
      <c r="AZ60" s="152">
        <f>MAX(0,MIN(AX60-AY60,CL60))</f>
        <v/>
      </c>
      <c r="BA60" s="152">
        <f>AX60-AY60-AZ60</f>
        <v/>
      </c>
      <c r="BB60" s="152">
        <f>IF(BE59&lt;=0.005,0,BE59*(1+BB$6))</f>
        <v/>
      </c>
      <c r="BC60" s="152">
        <f>MIN(BB60,BB$7)</f>
        <v/>
      </c>
      <c r="BD60" s="152">
        <f>MAX(0,MIN(BB60-BC60,CL60-(AZ60)))</f>
        <v/>
      </c>
      <c r="BE60" s="152">
        <f>BB60-BC60-BD60</f>
        <v/>
      </c>
      <c r="BF60" s="152">
        <f>IF(BI59&lt;=0.005,0,BI59*(1+BF$6))</f>
        <v/>
      </c>
      <c r="BG60" s="152">
        <f>MIN(BF60,BF$7)</f>
        <v/>
      </c>
      <c r="BH60" s="152">
        <f>MAX(0,MIN(BF60-BG60,CL60-(AZ60+BD60)))</f>
        <v/>
      </c>
      <c r="BI60" s="152">
        <f>BF60-BG60-BH60</f>
        <v/>
      </c>
      <c r="BJ60" s="152">
        <f>IF(BM59&lt;=0.005,0,BM59*(1+BJ$6))</f>
        <v/>
      </c>
      <c r="BK60" s="152">
        <f>MIN(BJ60,BJ$7)</f>
        <v/>
      </c>
      <c r="BL60" s="152">
        <f>MAX(0,MIN(BJ60-BK60,CL60-(AZ60+BD60+BH60)))</f>
        <v/>
      </c>
      <c r="BM60" s="152">
        <f>BJ60-BK60-BL60</f>
        <v/>
      </c>
      <c r="BN60" s="152">
        <f>IF(BQ59&lt;=0.005,0,BQ59*(1+BN$6))</f>
        <v/>
      </c>
      <c r="BO60" s="152">
        <f>MIN(BN60,BN$7)</f>
        <v/>
      </c>
      <c r="BP60" s="152">
        <f>MAX(0,MIN(BN60-BO60,CL60-(AZ60+BD60+BH60+BL60)))</f>
        <v/>
      </c>
      <c r="BQ60" s="152">
        <f>BN60-BO60-BP60</f>
        <v/>
      </c>
      <c r="BR60" s="152">
        <f>IF(BU59&lt;=0.005,0,BU59*(1+BR$6))</f>
        <v/>
      </c>
      <c r="BS60" s="152">
        <f>MIN(BR60,BR$7)</f>
        <v/>
      </c>
      <c r="BT60" s="152">
        <f>MAX(0,MIN(BR60-BS60,CL60-(AZ60+BD60+BH60+BL60+BP60)))</f>
        <v/>
      </c>
      <c r="BU60" s="152">
        <f>BR60-BS60-BT60</f>
        <v/>
      </c>
      <c r="BV60" s="152">
        <f>IF(BY59&lt;=0.005,0,BY59*(1+BV$6))</f>
        <v/>
      </c>
      <c r="BW60" s="152">
        <f>MIN(BV60,BV$7)</f>
        <v/>
      </c>
      <c r="BX60" s="152">
        <f>MAX(0,MIN(BV60-BW60,CL60-(AZ60+BD60+BH60+BL60+BP60+BT60)))</f>
        <v/>
      </c>
      <c r="BY60" s="152">
        <f>BV60-BW60-BX60</f>
        <v/>
      </c>
      <c r="BZ60" s="152">
        <f>IF(CC59&lt;=0.005,0,CC59*(1+BZ$6))</f>
        <v/>
      </c>
      <c r="CA60" s="152">
        <f>MIN(BZ60,BZ$7)</f>
        <v/>
      </c>
      <c r="CB60" s="152">
        <f>MAX(0,MIN(BZ60-CA60,CL60-(AZ60+BD60+BH60+BL60+BP60+BT60+BX60)))</f>
        <v/>
      </c>
      <c r="CC60" s="152">
        <f>BZ60-CA60-CB60</f>
        <v/>
      </c>
      <c r="CD60" s="152">
        <f>IF(CG59&lt;=0.005,0,CG59*(1+CD$6))</f>
        <v/>
      </c>
      <c r="CE60" s="152">
        <f>MIN(CD60,CD$7)</f>
        <v/>
      </c>
      <c r="CF60" s="152">
        <f>MAX(0,MIN(CD60-CE60,CL60-(AZ60+BD60+BH60+BL60+BP60+BT60+BX60+CB60)))</f>
        <v/>
      </c>
      <c r="CG60" s="152">
        <f>CD60-CE60-CF60</f>
        <v/>
      </c>
      <c r="CH60" s="152">
        <f>IF(CK59&lt;=0.005,0,CK59*(1+CH$6))</f>
        <v/>
      </c>
      <c r="CI60" s="152">
        <f>MIN(CH60,CH$7)</f>
        <v/>
      </c>
      <c r="CJ60" s="152">
        <f>MAX(0,MIN(CH60-CI60,CL60-(AZ60+BD60+BH60+BL60+BP60+BT60+BX60+CB60+CF60)))</f>
        <v/>
      </c>
      <c r="CK60" s="152">
        <f>CH60-CI60-CJ60</f>
        <v/>
      </c>
      <c r="CL60" s="152">
        <f>'Debt Payoff'!$C$8-SUM(AY60,BC60,BG60,BK60,BO60,BS60,BW60,CA60,CE60,CI60)</f>
        <v/>
      </c>
      <c r="CM60" s="152">
        <f>SUM(AY60,BC60,BG60,BK60,BO60,BS60,BW60,CA60,CE60,CI60)+SUM(AZ60,BD60,BH60,BL60,BP60,BT60,BX60,CB60,CF60,CJ60)</f>
        <v/>
      </c>
      <c r="CN60" s="152">
        <f>SUM(BA60,BE60,BI60,BM60,BQ60,BU60,BY60,CC60,CG60,CK60)</f>
        <v/>
      </c>
      <c r="CO60" s="152">
        <f>IF(AW60&gt;CN$6,NA(),AW60)</f>
        <v/>
      </c>
      <c r="CP60" s="152">
        <f>IF(AW60&gt;CN$6,NA(),CN60)</f>
        <v/>
      </c>
    </row>
    <row r="61">
      <c r="B61" s="152" t="n">
        <v>50</v>
      </c>
      <c r="C61" s="152">
        <f>IF(F60&lt;=0.005,0,F60*(1+C$6))</f>
        <v/>
      </c>
      <c r="D61" s="152">
        <f>MIN(C61,C$7)</f>
        <v/>
      </c>
      <c r="E61" s="152">
        <f>MAX(0,MIN(C61-D61,AQ61))</f>
        <v/>
      </c>
      <c r="F61" s="152">
        <f>C61-D61-E61</f>
        <v/>
      </c>
      <c r="G61" s="152">
        <f>IF(J60&lt;=0.005,0,J60*(1+G$6))</f>
        <v/>
      </c>
      <c r="H61" s="152">
        <f>MIN(G61,G$7)</f>
        <v/>
      </c>
      <c r="I61" s="152">
        <f>MAX(0,MIN(G61-H61,AQ61-(E61)))</f>
        <v/>
      </c>
      <c r="J61" s="152">
        <f>G61-H61-I61</f>
        <v/>
      </c>
      <c r="K61" s="152">
        <f>IF(N60&lt;=0.005,0,N60*(1+K$6))</f>
        <v/>
      </c>
      <c r="L61" s="152">
        <f>MIN(K61,K$7)</f>
        <v/>
      </c>
      <c r="M61" s="152">
        <f>MAX(0,MIN(K61-L61,AQ61-(E61+I61)))</f>
        <v/>
      </c>
      <c r="N61" s="152">
        <f>K61-L61-M61</f>
        <v/>
      </c>
      <c r="O61" s="152">
        <f>IF(R60&lt;=0.005,0,R60*(1+O$6))</f>
        <v/>
      </c>
      <c r="P61" s="152">
        <f>MIN(O61,O$7)</f>
        <v/>
      </c>
      <c r="Q61" s="152">
        <f>MAX(0,MIN(O61-P61,AQ61-(E61+I61+M61)))</f>
        <v/>
      </c>
      <c r="R61" s="152">
        <f>O61-P61-Q61</f>
        <v/>
      </c>
      <c r="S61" s="152">
        <f>IF(V60&lt;=0.005,0,V60*(1+S$6))</f>
        <v/>
      </c>
      <c r="T61" s="152">
        <f>MIN(S61,S$7)</f>
        <v/>
      </c>
      <c r="U61" s="152">
        <f>MAX(0,MIN(S61-T61,AQ61-(E61+I61+M61+Q61)))</f>
        <v/>
      </c>
      <c r="V61" s="152">
        <f>S61-T61-U61</f>
        <v/>
      </c>
      <c r="W61" s="152">
        <f>IF(Z60&lt;=0.005,0,Z60*(1+W$6))</f>
        <v/>
      </c>
      <c r="X61" s="152">
        <f>MIN(W61,W$7)</f>
        <v/>
      </c>
      <c r="Y61" s="152">
        <f>MAX(0,MIN(W61-X61,AQ61-(E61+I61+M61+Q61+U61)))</f>
        <v/>
      </c>
      <c r="Z61" s="152">
        <f>W61-X61-Y61</f>
        <v/>
      </c>
      <c r="AA61" s="152">
        <f>IF(AD60&lt;=0.005,0,AD60*(1+AA$6))</f>
        <v/>
      </c>
      <c r="AB61" s="152">
        <f>MIN(AA61,AA$7)</f>
        <v/>
      </c>
      <c r="AC61" s="152">
        <f>MAX(0,MIN(AA61-AB61,AQ61-(E61+I61+M61+Q61+U61+Y61)))</f>
        <v/>
      </c>
      <c r="AD61" s="152">
        <f>AA61-AB61-AC61</f>
        <v/>
      </c>
      <c r="AE61" s="152">
        <f>IF(AH60&lt;=0.005,0,AH60*(1+AE$6))</f>
        <v/>
      </c>
      <c r="AF61" s="152">
        <f>MIN(AE61,AE$7)</f>
        <v/>
      </c>
      <c r="AG61" s="152">
        <f>MAX(0,MIN(AE61-AF61,AQ61-(E61+I61+M61+Q61+U61+Y61+AC61)))</f>
        <v/>
      </c>
      <c r="AH61" s="152">
        <f>AE61-AF61-AG61</f>
        <v/>
      </c>
      <c r="AI61" s="152">
        <f>IF(AL60&lt;=0.005,0,AL60*(1+AI$6))</f>
        <v/>
      </c>
      <c r="AJ61" s="152">
        <f>MIN(AI61,AI$7)</f>
        <v/>
      </c>
      <c r="AK61" s="152">
        <f>MAX(0,MIN(AI61-AJ61,AQ61-(E61+I61+M61+Q61+U61+Y61+AC61+AG61)))</f>
        <v/>
      </c>
      <c r="AL61" s="152">
        <f>AI61-AJ61-AK61</f>
        <v/>
      </c>
      <c r="AM61" s="152">
        <f>IF(AP60&lt;=0.005,0,AP60*(1+AM$6))</f>
        <v/>
      </c>
      <c r="AN61" s="152">
        <f>MIN(AM61,AM$7)</f>
        <v/>
      </c>
      <c r="AO61" s="152">
        <f>MAX(0,MIN(AM61-AN61,AQ61-(E61+I61+M61+Q61+U61+Y61+AC61+AG61+AK61)))</f>
        <v/>
      </c>
      <c r="AP61" s="152">
        <f>AM61-AN61-AO61</f>
        <v/>
      </c>
      <c r="AQ61" s="152">
        <f>'Debt Payoff'!$C$8-SUM(D61,H61,L61,P61,T61,X61,AB61,AF61,AJ61,AN61)</f>
        <v/>
      </c>
      <c r="AR61" s="152">
        <f>SUM(D61,H61,L61,P61,T61,X61,AB61,AF61,AJ61,AN61)+SUM(E61,I61,M61,Q61,U61,Y61,AC61,AG61,AK61,AO61)</f>
        <v/>
      </c>
      <c r="AS61" s="152">
        <f>SUM(F61,J61,N61,R61,V61,Z61,AD61,AH61,AL61,AP61)</f>
        <v/>
      </c>
      <c r="AT61" s="152">
        <f>IF(B61&gt;AS$6,NA(),B61)</f>
        <v/>
      </c>
      <c r="AU61" s="152">
        <f>IF(B61&gt;AS$6,NA(),AS61)</f>
        <v/>
      </c>
      <c r="AV61" s="152" t="n"/>
      <c r="AW61" s="152" t="n">
        <v>50</v>
      </c>
      <c r="AX61" s="152">
        <f>IF(BA60&lt;=0.005,0,BA60*(1+AX$6))</f>
        <v/>
      </c>
      <c r="AY61" s="152">
        <f>MIN(AX61,AX$7)</f>
        <v/>
      </c>
      <c r="AZ61" s="152">
        <f>MAX(0,MIN(AX61-AY61,CL61))</f>
        <v/>
      </c>
      <c r="BA61" s="152">
        <f>AX61-AY61-AZ61</f>
        <v/>
      </c>
      <c r="BB61" s="152">
        <f>IF(BE60&lt;=0.005,0,BE60*(1+BB$6))</f>
        <v/>
      </c>
      <c r="BC61" s="152">
        <f>MIN(BB61,BB$7)</f>
        <v/>
      </c>
      <c r="BD61" s="152">
        <f>MAX(0,MIN(BB61-BC61,CL61-(AZ61)))</f>
        <v/>
      </c>
      <c r="BE61" s="152">
        <f>BB61-BC61-BD61</f>
        <v/>
      </c>
      <c r="BF61" s="152">
        <f>IF(BI60&lt;=0.005,0,BI60*(1+BF$6))</f>
        <v/>
      </c>
      <c r="BG61" s="152">
        <f>MIN(BF61,BF$7)</f>
        <v/>
      </c>
      <c r="BH61" s="152">
        <f>MAX(0,MIN(BF61-BG61,CL61-(AZ61+BD61)))</f>
        <v/>
      </c>
      <c r="BI61" s="152">
        <f>BF61-BG61-BH61</f>
        <v/>
      </c>
      <c r="BJ61" s="152">
        <f>IF(BM60&lt;=0.005,0,BM60*(1+BJ$6))</f>
        <v/>
      </c>
      <c r="BK61" s="152">
        <f>MIN(BJ61,BJ$7)</f>
        <v/>
      </c>
      <c r="BL61" s="152">
        <f>MAX(0,MIN(BJ61-BK61,CL61-(AZ61+BD61+BH61)))</f>
        <v/>
      </c>
      <c r="BM61" s="152">
        <f>BJ61-BK61-BL61</f>
        <v/>
      </c>
      <c r="BN61" s="152">
        <f>IF(BQ60&lt;=0.005,0,BQ60*(1+BN$6))</f>
        <v/>
      </c>
      <c r="BO61" s="152">
        <f>MIN(BN61,BN$7)</f>
        <v/>
      </c>
      <c r="BP61" s="152">
        <f>MAX(0,MIN(BN61-BO61,CL61-(AZ61+BD61+BH61+BL61)))</f>
        <v/>
      </c>
      <c r="BQ61" s="152">
        <f>BN61-BO61-BP61</f>
        <v/>
      </c>
      <c r="BR61" s="152">
        <f>IF(BU60&lt;=0.005,0,BU60*(1+BR$6))</f>
        <v/>
      </c>
      <c r="BS61" s="152">
        <f>MIN(BR61,BR$7)</f>
        <v/>
      </c>
      <c r="BT61" s="152">
        <f>MAX(0,MIN(BR61-BS61,CL61-(AZ61+BD61+BH61+BL61+BP61)))</f>
        <v/>
      </c>
      <c r="BU61" s="152">
        <f>BR61-BS61-BT61</f>
        <v/>
      </c>
      <c r="BV61" s="152">
        <f>IF(BY60&lt;=0.005,0,BY60*(1+BV$6))</f>
        <v/>
      </c>
      <c r="BW61" s="152">
        <f>MIN(BV61,BV$7)</f>
        <v/>
      </c>
      <c r="BX61" s="152">
        <f>MAX(0,MIN(BV61-BW61,CL61-(AZ61+BD61+BH61+BL61+BP61+BT61)))</f>
        <v/>
      </c>
      <c r="BY61" s="152">
        <f>BV61-BW61-BX61</f>
        <v/>
      </c>
      <c r="BZ61" s="152">
        <f>IF(CC60&lt;=0.005,0,CC60*(1+BZ$6))</f>
        <v/>
      </c>
      <c r="CA61" s="152">
        <f>MIN(BZ61,BZ$7)</f>
        <v/>
      </c>
      <c r="CB61" s="152">
        <f>MAX(0,MIN(BZ61-CA61,CL61-(AZ61+BD61+BH61+BL61+BP61+BT61+BX61)))</f>
        <v/>
      </c>
      <c r="CC61" s="152">
        <f>BZ61-CA61-CB61</f>
        <v/>
      </c>
      <c r="CD61" s="152">
        <f>IF(CG60&lt;=0.005,0,CG60*(1+CD$6))</f>
        <v/>
      </c>
      <c r="CE61" s="152">
        <f>MIN(CD61,CD$7)</f>
        <v/>
      </c>
      <c r="CF61" s="152">
        <f>MAX(0,MIN(CD61-CE61,CL61-(AZ61+BD61+BH61+BL61+BP61+BT61+BX61+CB61)))</f>
        <v/>
      </c>
      <c r="CG61" s="152">
        <f>CD61-CE61-CF61</f>
        <v/>
      </c>
      <c r="CH61" s="152">
        <f>IF(CK60&lt;=0.005,0,CK60*(1+CH$6))</f>
        <v/>
      </c>
      <c r="CI61" s="152">
        <f>MIN(CH61,CH$7)</f>
        <v/>
      </c>
      <c r="CJ61" s="152">
        <f>MAX(0,MIN(CH61-CI61,CL61-(AZ61+BD61+BH61+BL61+BP61+BT61+BX61+CB61+CF61)))</f>
        <v/>
      </c>
      <c r="CK61" s="152">
        <f>CH61-CI61-CJ61</f>
        <v/>
      </c>
      <c r="CL61" s="152">
        <f>'Debt Payoff'!$C$8-SUM(AY61,BC61,BG61,BK61,BO61,BS61,BW61,CA61,CE61,CI61)</f>
        <v/>
      </c>
      <c r="CM61" s="152">
        <f>SUM(AY61,BC61,BG61,BK61,BO61,BS61,BW61,CA61,CE61,CI61)+SUM(AZ61,BD61,BH61,BL61,BP61,BT61,BX61,CB61,CF61,CJ61)</f>
        <v/>
      </c>
      <c r="CN61" s="152">
        <f>SUM(BA61,BE61,BI61,BM61,BQ61,BU61,BY61,CC61,CG61,CK61)</f>
        <v/>
      </c>
      <c r="CO61" s="152">
        <f>IF(AW61&gt;CN$6,NA(),AW61)</f>
        <v/>
      </c>
      <c r="CP61" s="152">
        <f>IF(AW61&gt;CN$6,NA(),CN61)</f>
        <v/>
      </c>
    </row>
    <row r="62">
      <c r="B62" s="152" t="n">
        <v>51</v>
      </c>
      <c r="C62" s="152">
        <f>IF(F61&lt;=0.005,0,F61*(1+C$6))</f>
        <v/>
      </c>
      <c r="D62" s="152">
        <f>MIN(C62,C$7)</f>
        <v/>
      </c>
      <c r="E62" s="152">
        <f>MAX(0,MIN(C62-D62,AQ62))</f>
        <v/>
      </c>
      <c r="F62" s="152">
        <f>C62-D62-E62</f>
        <v/>
      </c>
      <c r="G62" s="152">
        <f>IF(J61&lt;=0.005,0,J61*(1+G$6))</f>
        <v/>
      </c>
      <c r="H62" s="152">
        <f>MIN(G62,G$7)</f>
        <v/>
      </c>
      <c r="I62" s="152">
        <f>MAX(0,MIN(G62-H62,AQ62-(E62)))</f>
        <v/>
      </c>
      <c r="J62" s="152">
        <f>G62-H62-I62</f>
        <v/>
      </c>
      <c r="K62" s="152">
        <f>IF(N61&lt;=0.005,0,N61*(1+K$6))</f>
        <v/>
      </c>
      <c r="L62" s="152">
        <f>MIN(K62,K$7)</f>
        <v/>
      </c>
      <c r="M62" s="152">
        <f>MAX(0,MIN(K62-L62,AQ62-(E62+I62)))</f>
        <v/>
      </c>
      <c r="N62" s="152">
        <f>K62-L62-M62</f>
        <v/>
      </c>
      <c r="O62" s="152">
        <f>IF(R61&lt;=0.005,0,R61*(1+O$6))</f>
        <v/>
      </c>
      <c r="P62" s="152">
        <f>MIN(O62,O$7)</f>
        <v/>
      </c>
      <c r="Q62" s="152">
        <f>MAX(0,MIN(O62-P62,AQ62-(E62+I62+M62)))</f>
        <v/>
      </c>
      <c r="R62" s="152">
        <f>O62-P62-Q62</f>
        <v/>
      </c>
      <c r="S62" s="152">
        <f>IF(V61&lt;=0.005,0,V61*(1+S$6))</f>
        <v/>
      </c>
      <c r="T62" s="152">
        <f>MIN(S62,S$7)</f>
        <v/>
      </c>
      <c r="U62" s="152">
        <f>MAX(0,MIN(S62-T62,AQ62-(E62+I62+M62+Q62)))</f>
        <v/>
      </c>
      <c r="V62" s="152">
        <f>S62-T62-U62</f>
        <v/>
      </c>
      <c r="W62" s="152">
        <f>IF(Z61&lt;=0.005,0,Z61*(1+W$6))</f>
        <v/>
      </c>
      <c r="X62" s="152">
        <f>MIN(W62,W$7)</f>
        <v/>
      </c>
      <c r="Y62" s="152">
        <f>MAX(0,MIN(W62-X62,AQ62-(E62+I62+M62+Q62+U62)))</f>
        <v/>
      </c>
      <c r="Z62" s="152">
        <f>W62-X62-Y62</f>
        <v/>
      </c>
      <c r="AA62" s="152">
        <f>IF(AD61&lt;=0.005,0,AD61*(1+AA$6))</f>
        <v/>
      </c>
      <c r="AB62" s="152">
        <f>MIN(AA62,AA$7)</f>
        <v/>
      </c>
      <c r="AC62" s="152">
        <f>MAX(0,MIN(AA62-AB62,AQ62-(E62+I62+M62+Q62+U62+Y62)))</f>
        <v/>
      </c>
      <c r="AD62" s="152">
        <f>AA62-AB62-AC62</f>
        <v/>
      </c>
      <c r="AE62" s="152">
        <f>IF(AH61&lt;=0.005,0,AH61*(1+AE$6))</f>
        <v/>
      </c>
      <c r="AF62" s="152">
        <f>MIN(AE62,AE$7)</f>
        <v/>
      </c>
      <c r="AG62" s="152">
        <f>MAX(0,MIN(AE62-AF62,AQ62-(E62+I62+M62+Q62+U62+Y62+AC62)))</f>
        <v/>
      </c>
      <c r="AH62" s="152">
        <f>AE62-AF62-AG62</f>
        <v/>
      </c>
      <c r="AI62" s="152">
        <f>IF(AL61&lt;=0.005,0,AL61*(1+AI$6))</f>
        <v/>
      </c>
      <c r="AJ62" s="152">
        <f>MIN(AI62,AI$7)</f>
        <v/>
      </c>
      <c r="AK62" s="152">
        <f>MAX(0,MIN(AI62-AJ62,AQ62-(E62+I62+M62+Q62+U62+Y62+AC62+AG62)))</f>
        <v/>
      </c>
      <c r="AL62" s="152">
        <f>AI62-AJ62-AK62</f>
        <v/>
      </c>
      <c r="AM62" s="152">
        <f>IF(AP61&lt;=0.005,0,AP61*(1+AM$6))</f>
        <v/>
      </c>
      <c r="AN62" s="152">
        <f>MIN(AM62,AM$7)</f>
        <v/>
      </c>
      <c r="AO62" s="152">
        <f>MAX(0,MIN(AM62-AN62,AQ62-(E62+I62+M62+Q62+U62+Y62+AC62+AG62+AK62)))</f>
        <v/>
      </c>
      <c r="AP62" s="152">
        <f>AM62-AN62-AO62</f>
        <v/>
      </c>
      <c r="AQ62" s="152">
        <f>'Debt Payoff'!$C$8-SUM(D62,H62,L62,P62,T62,X62,AB62,AF62,AJ62,AN62)</f>
        <v/>
      </c>
      <c r="AR62" s="152">
        <f>SUM(D62,H62,L62,P62,T62,X62,AB62,AF62,AJ62,AN62)+SUM(E62,I62,M62,Q62,U62,Y62,AC62,AG62,AK62,AO62)</f>
        <v/>
      </c>
      <c r="AS62" s="152">
        <f>SUM(F62,J62,N62,R62,V62,Z62,AD62,AH62,AL62,AP62)</f>
        <v/>
      </c>
      <c r="AT62" s="152">
        <f>IF(B62&gt;AS$6,NA(),B62)</f>
        <v/>
      </c>
      <c r="AU62" s="152">
        <f>IF(B62&gt;AS$6,NA(),AS62)</f>
        <v/>
      </c>
      <c r="AV62" s="152" t="n"/>
      <c r="AW62" s="152" t="n">
        <v>51</v>
      </c>
      <c r="AX62" s="152">
        <f>IF(BA61&lt;=0.005,0,BA61*(1+AX$6))</f>
        <v/>
      </c>
      <c r="AY62" s="152">
        <f>MIN(AX62,AX$7)</f>
        <v/>
      </c>
      <c r="AZ62" s="152">
        <f>MAX(0,MIN(AX62-AY62,CL62))</f>
        <v/>
      </c>
      <c r="BA62" s="152">
        <f>AX62-AY62-AZ62</f>
        <v/>
      </c>
      <c r="BB62" s="152">
        <f>IF(BE61&lt;=0.005,0,BE61*(1+BB$6))</f>
        <v/>
      </c>
      <c r="BC62" s="152">
        <f>MIN(BB62,BB$7)</f>
        <v/>
      </c>
      <c r="BD62" s="152">
        <f>MAX(0,MIN(BB62-BC62,CL62-(AZ62)))</f>
        <v/>
      </c>
      <c r="BE62" s="152">
        <f>BB62-BC62-BD62</f>
        <v/>
      </c>
      <c r="BF62" s="152">
        <f>IF(BI61&lt;=0.005,0,BI61*(1+BF$6))</f>
        <v/>
      </c>
      <c r="BG62" s="152">
        <f>MIN(BF62,BF$7)</f>
        <v/>
      </c>
      <c r="BH62" s="152">
        <f>MAX(0,MIN(BF62-BG62,CL62-(AZ62+BD62)))</f>
        <v/>
      </c>
      <c r="BI62" s="152">
        <f>BF62-BG62-BH62</f>
        <v/>
      </c>
      <c r="BJ62" s="152">
        <f>IF(BM61&lt;=0.005,0,BM61*(1+BJ$6))</f>
        <v/>
      </c>
      <c r="BK62" s="152">
        <f>MIN(BJ62,BJ$7)</f>
        <v/>
      </c>
      <c r="BL62" s="152">
        <f>MAX(0,MIN(BJ62-BK62,CL62-(AZ62+BD62+BH62)))</f>
        <v/>
      </c>
      <c r="BM62" s="152">
        <f>BJ62-BK62-BL62</f>
        <v/>
      </c>
      <c r="BN62" s="152">
        <f>IF(BQ61&lt;=0.005,0,BQ61*(1+BN$6))</f>
        <v/>
      </c>
      <c r="BO62" s="152">
        <f>MIN(BN62,BN$7)</f>
        <v/>
      </c>
      <c r="BP62" s="152">
        <f>MAX(0,MIN(BN62-BO62,CL62-(AZ62+BD62+BH62+BL62)))</f>
        <v/>
      </c>
      <c r="BQ62" s="152">
        <f>BN62-BO62-BP62</f>
        <v/>
      </c>
      <c r="BR62" s="152">
        <f>IF(BU61&lt;=0.005,0,BU61*(1+BR$6))</f>
        <v/>
      </c>
      <c r="BS62" s="152">
        <f>MIN(BR62,BR$7)</f>
        <v/>
      </c>
      <c r="BT62" s="152">
        <f>MAX(0,MIN(BR62-BS62,CL62-(AZ62+BD62+BH62+BL62+BP62)))</f>
        <v/>
      </c>
      <c r="BU62" s="152">
        <f>BR62-BS62-BT62</f>
        <v/>
      </c>
      <c r="BV62" s="152">
        <f>IF(BY61&lt;=0.005,0,BY61*(1+BV$6))</f>
        <v/>
      </c>
      <c r="BW62" s="152">
        <f>MIN(BV62,BV$7)</f>
        <v/>
      </c>
      <c r="BX62" s="152">
        <f>MAX(0,MIN(BV62-BW62,CL62-(AZ62+BD62+BH62+BL62+BP62+BT62)))</f>
        <v/>
      </c>
      <c r="BY62" s="152">
        <f>BV62-BW62-BX62</f>
        <v/>
      </c>
      <c r="BZ62" s="152">
        <f>IF(CC61&lt;=0.005,0,CC61*(1+BZ$6))</f>
        <v/>
      </c>
      <c r="CA62" s="152">
        <f>MIN(BZ62,BZ$7)</f>
        <v/>
      </c>
      <c r="CB62" s="152">
        <f>MAX(0,MIN(BZ62-CA62,CL62-(AZ62+BD62+BH62+BL62+BP62+BT62+BX62)))</f>
        <v/>
      </c>
      <c r="CC62" s="152">
        <f>BZ62-CA62-CB62</f>
        <v/>
      </c>
      <c r="CD62" s="152">
        <f>IF(CG61&lt;=0.005,0,CG61*(1+CD$6))</f>
        <v/>
      </c>
      <c r="CE62" s="152">
        <f>MIN(CD62,CD$7)</f>
        <v/>
      </c>
      <c r="CF62" s="152">
        <f>MAX(0,MIN(CD62-CE62,CL62-(AZ62+BD62+BH62+BL62+BP62+BT62+BX62+CB62)))</f>
        <v/>
      </c>
      <c r="CG62" s="152">
        <f>CD62-CE62-CF62</f>
        <v/>
      </c>
      <c r="CH62" s="152">
        <f>IF(CK61&lt;=0.005,0,CK61*(1+CH$6))</f>
        <v/>
      </c>
      <c r="CI62" s="152">
        <f>MIN(CH62,CH$7)</f>
        <v/>
      </c>
      <c r="CJ62" s="152">
        <f>MAX(0,MIN(CH62-CI62,CL62-(AZ62+BD62+BH62+BL62+BP62+BT62+BX62+CB62+CF62)))</f>
        <v/>
      </c>
      <c r="CK62" s="152">
        <f>CH62-CI62-CJ62</f>
        <v/>
      </c>
      <c r="CL62" s="152">
        <f>'Debt Payoff'!$C$8-SUM(AY62,BC62,BG62,BK62,BO62,BS62,BW62,CA62,CE62,CI62)</f>
        <v/>
      </c>
      <c r="CM62" s="152">
        <f>SUM(AY62,BC62,BG62,BK62,BO62,BS62,BW62,CA62,CE62,CI62)+SUM(AZ62,BD62,BH62,BL62,BP62,BT62,BX62,CB62,CF62,CJ62)</f>
        <v/>
      </c>
      <c r="CN62" s="152">
        <f>SUM(BA62,BE62,BI62,BM62,BQ62,BU62,BY62,CC62,CG62,CK62)</f>
        <v/>
      </c>
      <c r="CO62" s="152">
        <f>IF(AW62&gt;CN$6,NA(),AW62)</f>
        <v/>
      </c>
      <c r="CP62" s="152">
        <f>IF(AW62&gt;CN$6,NA(),CN62)</f>
        <v/>
      </c>
    </row>
    <row r="63">
      <c r="B63" s="152" t="n">
        <v>52</v>
      </c>
      <c r="C63" s="152">
        <f>IF(F62&lt;=0.005,0,F62*(1+C$6))</f>
        <v/>
      </c>
      <c r="D63" s="152">
        <f>MIN(C63,C$7)</f>
        <v/>
      </c>
      <c r="E63" s="152">
        <f>MAX(0,MIN(C63-D63,AQ63))</f>
        <v/>
      </c>
      <c r="F63" s="152">
        <f>C63-D63-E63</f>
        <v/>
      </c>
      <c r="G63" s="152">
        <f>IF(J62&lt;=0.005,0,J62*(1+G$6))</f>
        <v/>
      </c>
      <c r="H63" s="152">
        <f>MIN(G63,G$7)</f>
        <v/>
      </c>
      <c r="I63" s="152">
        <f>MAX(0,MIN(G63-H63,AQ63-(E63)))</f>
        <v/>
      </c>
      <c r="J63" s="152">
        <f>G63-H63-I63</f>
        <v/>
      </c>
      <c r="K63" s="152">
        <f>IF(N62&lt;=0.005,0,N62*(1+K$6))</f>
        <v/>
      </c>
      <c r="L63" s="152">
        <f>MIN(K63,K$7)</f>
        <v/>
      </c>
      <c r="M63" s="152">
        <f>MAX(0,MIN(K63-L63,AQ63-(E63+I63)))</f>
        <v/>
      </c>
      <c r="N63" s="152">
        <f>K63-L63-M63</f>
        <v/>
      </c>
      <c r="O63" s="152">
        <f>IF(R62&lt;=0.005,0,R62*(1+O$6))</f>
        <v/>
      </c>
      <c r="P63" s="152">
        <f>MIN(O63,O$7)</f>
        <v/>
      </c>
      <c r="Q63" s="152">
        <f>MAX(0,MIN(O63-P63,AQ63-(E63+I63+M63)))</f>
        <v/>
      </c>
      <c r="R63" s="152">
        <f>O63-P63-Q63</f>
        <v/>
      </c>
      <c r="S63" s="152">
        <f>IF(V62&lt;=0.005,0,V62*(1+S$6))</f>
        <v/>
      </c>
      <c r="T63" s="152">
        <f>MIN(S63,S$7)</f>
        <v/>
      </c>
      <c r="U63" s="152">
        <f>MAX(0,MIN(S63-T63,AQ63-(E63+I63+M63+Q63)))</f>
        <v/>
      </c>
      <c r="V63" s="152">
        <f>S63-T63-U63</f>
        <v/>
      </c>
      <c r="W63" s="152">
        <f>IF(Z62&lt;=0.005,0,Z62*(1+W$6))</f>
        <v/>
      </c>
      <c r="X63" s="152">
        <f>MIN(W63,W$7)</f>
        <v/>
      </c>
      <c r="Y63" s="152">
        <f>MAX(0,MIN(W63-X63,AQ63-(E63+I63+M63+Q63+U63)))</f>
        <v/>
      </c>
      <c r="Z63" s="152">
        <f>W63-X63-Y63</f>
        <v/>
      </c>
      <c r="AA63" s="152">
        <f>IF(AD62&lt;=0.005,0,AD62*(1+AA$6))</f>
        <v/>
      </c>
      <c r="AB63" s="152">
        <f>MIN(AA63,AA$7)</f>
        <v/>
      </c>
      <c r="AC63" s="152">
        <f>MAX(0,MIN(AA63-AB63,AQ63-(E63+I63+M63+Q63+U63+Y63)))</f>
        <v/>
      </c>
      <c r="AD63" s="152">
        <f>AA63-AB63-AC63</f>
        <v/>
      </c>
      <c r="AE63" s="152">
        <f>IF(AH62&lt;=0.005,0,AH62*(1+AE$6))</f>
        <v/>
      </c>
      <c r="AF63" s="152">
        <f>MIN(AE63,AE$7)</f>
        <v/>
      </c>
      <c r="AG63" s="152">
        <f>MAX(0,MIN(AE63-AF63,AQ63-(E63+I63+M63+Q63+U63+Y63+AC63)))</f>
        <v/>
      </c>
      <c r="AH63" s="152">
        <f>AE63-AF63-AG63</f>
        <v/>
      </c>
      <c r="AI63" s="152">
        <f>IF(AL62&lt;=0.005,0,AL62*(1+AI$6))</f>
        <v/>
      </c>
      <c r="AJ63" s="152">
        <f>MIN(AI63,AI$7)</f>
        <v/>
      </c>
      <c r="AK63" s="152">
        <f>MAX(0,MIN(AI63-AJ63,AQ63-(E63+I63+M63+Q63+U63+Y63+AC63+AG63)))</f>
        <v/>
      </c>
      <c r="AL63" s="152">
        <f>AI63-AJ63-AK63</f>
        <v/>
      </c>
      <c r="AM63" s="152">
        <f>IF(AP62&lt;=0.005,0,AP62*(1+AM$6))</f>
        <v/>
      </c>
      <c r="AN63" s="152">
        <f>MIN(AM63,AM$7)</f>
        <v/>
      </c>
      <c r="AO63" s="152">
        <f>MAX(0,MIN(AM63-AN63,AQ63-(E63+I63+M63+Q63+U63+Y63+AC63+AG63+AK63)))</f>
        <v/>
      </c>
      <c r="AP63" s="152">
        <f>AM63-AN63-AO63</f>
        <v/>
      </c>
      <c r="AQ63" s="152">
        <f>'Debt Payoff'!$C$8-SUM(D63,H63,L63,P63,T63,X63,AB63,AF63,AJ63,AN63)</f>
        <v/>
      </c>
      <c r="AR63" s="152">
        <f>SUM(D63,H63,L63,P63,T63,X63,AB63,AF63,AJ63,AN63)+SUM(E63,I63,M63,Q63,U63,Y63,AC63,AG63,AK63,AO63)</f>
        <v/>
      </c>
      <c r="AS63" s="152">
        <f>SUM(F63,J63,N63,R63,V63,Z63,AD63,AH63,AL63,AP63)</f>
        <v/>
      </c>
      <c r="AT63" s="152">
        <f>IF(B63&gt;AS$6,NA(),B63)</f>
        <v/>
      </c>
      <c r="AU63" s="152">
        <f>IF(B63&gt;AS$6,NA(),AS63)</f>
        <v/>
      </c>
      <c r="AV63" s="152" t="n"/>
      <c r="AW63" s="152" t="n">
        <v>52</v>
      </c>
      <c r="AX63" s="152">
        <f>IF(BA62&lt;=0.005,0,BA62*(1+AX$6))</f>
        <v/>
      </c>
      <c r="AY63" s="152">
        <f>MIN(AX63,AX$7)</f>
        <v/>
      </c>
      <c r="AZ63" s="152">
        <f>MAX(0,MIN(AX63-AY63,CL63))</f>
        <v/>
      </c>
      <c r="BA63" s="152">
        <f>AX63-AY63-AZ63</f>
        <v/>
      </c>
      <c r="BB63" s="152">
        <f>IF(BE62&lt;=0.005,0,BE62*(1+BB$6))</f>
        <v/>
      </c>
      <c r="BC63" s="152">
        <f>MIN(BB63,BB$7)</f>
        <v/>
      </c>
      <c r="BD63" s="152">
        <f>MAX(0,MIN(BB63-BC63,CL63-(AZ63)))</f>
        <v/>
      </c>
      <c r="BE63" s="152">
        <f>BB63-BC63-BD63</f>
        <v/>
      </c>
      <c r="BF63" s="152">
        <f>IF(BI62&lt;=0.005,0,BI62*(1+BF$6))</f>
        <v/>
      </c>
      <c r="BG63" s="152">
        <f>MIN(BF63,BF$7)</f>
        <v/>
      </c>
      <c r="BH63" s="152">
        <f>MAX(0,MIN(BF63-BG63,CL63-(AZ63+BD63)))</f>
        <v/>
      </c>
      <c r="BI63" s="152">
        <f>BF63-BG63-BH63</f>
        <v/>
      </c>
      <c r="BJ63" s="152">
        <f>IF(BM62&lt;=0.005,0,BM62*(1+BJ$6))</f>
        <v/>
      </c>
      <c r="BK63" s="152">
        <f>MIN(BJ63,BJ$7)</f>
        <v/>
      </c>
      <c r="BL63" s="152">
        <f>MAX(0,MIN(BJ63-BK63,CL63-(AZ63+BD63+BH63)))</f>
        <v/>
      </c>
      <c r="BM63" s="152">
        <f>BJ63-BK63-BL63</f>
        <v/>
      </c>
      <c r="BN63" s="152">
        <f>IF(BQ62&lt;=0.005,0,BQ62*(1+BN$6))</f>
        <v/>
      </c>
      <c r="BO63" s="152">
        <f>MIN(BN63,BN$7)</f>
        <v/>
      </c>
      <c r="BP63" s="152">
        <f>MAX(0,MIN(BN63-BO63,CL63-(AZ63+BD63+BH63+BL63)))</f>
        <v/>
      </c>
      <c r="BQ63" s="152">
        <f>BN63-BO63-BP63</f>
        <v/>
      </c>
      <c r="BR63" s="152">
        <f>IF(BU62&lt;=0.005,0,BU62*(1+BR$6))</f>
        <v/>
      </c>
      <c r="BS63" s="152">
        <f>MIN(BR63,BR$7)</f>
        <v/>
      </c>
      <c r="BT63" s="152">
        <f>MAX(0,MIN(BR63-BS63,CL63-(AZ63+BD63+BH63+BL63+BP63)))</f>
        <v/>
      </c>
      <c r="BU63" s="152">
        <f>BR63-BS63-BT63</f>
        <v/>
      </c>
      <c r="BV63" s="152">
        <f>IF(BY62&lt;=0.005,0,BY62*(1+BV$6))</f>
        <v/>
      </c>
      <c r="BW63" s="152">
        <f>MIN(BV63,BV$7)</f>
        <v/>
      </c>
      <c r="BX63" s="152">
        <f>MAX(0,MIN(BV63-BW63,CL63-(AZ63+BD63+BH63+BL63+BP63+BT63)))</f>
        <v/>
      </c>
      <c r="BY63" s="152">
        <f>BV63-BW63-BX63</f>
        <v/>
      </c>
      <c r="BZ63" s="152">
        <f>IF(CC62&lt;=0.005,0,CC62*(1+BZ$6))</f>
        <v/>
      </c>
      <c r="CA63" s="152">
        <f>MIN(BZ63,BZ$7)</f>
        <v/>
      </c>
      <c r="CB63" s="152">
        <f>MAX(0,MIN(BZ63-CA63,CL63-(AZ63+BD63+BH63+BL63+BP63+BT63+BX63)))</f>
        <v/>
      </c>
      <c r="CC63" s="152">
        <f>BZ63-CA63-CB63</f>
        <v/>
      </c>
      <c r="CD63" s="152">
        <f>IF(CG62&lt;=0.005,0,CG62*(1+CD$6))</f>
        <v/>
      </c>
      <c r="CE63" s="152">
        <f>MIN(CD63,CD$7)</f>
        <v/>
      </c>
      <c r="CF63" s="152">
        <f>MAX(0,MIN(CD63-CE63,CL63-(AZ63+BD63+BH63+BL63+BP63+BT63+BX63+CB63)))</f>
        <v/>
      </c>
      <c r="CG63" s="152">
        <f>CD63-CE63-CF63</f>
        <v/>
      </c>
      <c r="CH63" s="152">
        <f>IF(CK62&lt;=0.005,0,CK62*(1+CH$6))</f>
        <v/>
      </c>
      <c r="CI63" s="152">
        <f>MIN(CH63,CH$7)</f>
        <v/>
      </c>
      <c r="CJ63" s="152">
        <f>MAX(0,MIN(CH63-CI63,CL63-(AZ63+BD63+BH63+BL63+BP63+BT63+BX63+CB63+CF63)))</f>
        <v/>
      </c>
      <c r="CK63" s="152">
        <f>CH63-CI63-CJ63</f>
        <v/>
      </c>
      <c r="CL63" s="152">
        <f>'Debt Payoff'!$C$8-SUM(AY63,BC63,BG63,BK63,BO63,BS63,BW63,CA63,CE63,CI63)</f>
        <v/>
      </c>
      <c r="CM63" s="152">
        <f>SUM(AY63,BC63,BG63,BK63,BO63,BS63,BW63,CA63,CE63,CI63)+SUM(AZ63,BD63,BH63,BL63,BP63,BT63,BX63,CB63,CF63,CJ63)</f>
        <v/>
      </c>
      <c r="CN63" s="152">
        <f>SUM(BA63,BE63,BI63,BM63,BQ63,BU63,BY63,CC63,CG63,CK63)</f>
        <v/>
      </c>
      <c r="CO63" s="152">
        <f>IF(AW63&gt;CN$6,NA(),AW63)</f>
        <v/>
      </c>
      <c r="CP63" s="152">
        <f>IF(AW63&gt;CN$6,NA(),CN63)</f>
        <v/>
      </c>
    </row>
    <row r="64">
      <c r="B64" s="152" t="n">
        <v>53</v>
      </c>
      <c r="C64" s="152">
        <f>IF(F63&lt;=0.005,0,F63*(1+C$6))</f>
        <v/>
      </c>
      <c r="D64" s="152">
        <f>MIN(C64,C$7)</f>
        <v/>
      </c>
      <c r="E64" s="152">
        <f>MAX(0,MIN(C64-D64,AQ64))</f>
        <v/>
      </c>
      <c r="F64" s="152">
        <f>C64-D64-E64</f>
        <v/>
      </c>
      <c r="G64" s="152">
        <f>IF(J63&lt;=0.005,0,J63*(1+G$6))</f>
        <v/>
      </c>
      <c r="H64" s="152">
        <f>MIN(G64,G$7)</f>
        <v/>
      </c>
      <c r="I64" s="152">
        <f>MAX(0,MIN(G64-H64,AQ64-(E64)))</f>
        <v/>
      </c>
      <c r="J64" s="152">
        <f>G64-H64-I64</f>
        <v/>
      </c>
      <c r="K64" s="152">
        <f>IF(N63&lt;=0.005,0,N63*(1+K$6))</f>
        <v/>
      </c>
      <c r="L64" s="152">
        <f>MIN(K64,K$7)</f>
        <v/>
      </c>
      <c r="M64" s="152">
        <f>MAX(0,MIN(K64-L64,AQ64-(E64+I64)))</f>
        <v/>
      </c>
      <c r="N64" s="152">
        <f>K64-L64-M64</f>
        <v/>
      </c>
      <c r="O64" s="152">
        <f>IF(R63&lt;=0.005,0,R63*(1+O$6))</f>
        <v/>
      </c>
      <c r="P64" s="152">
        <f>MIN(O64,O$7)</f>
        <v/>
      </c>
      <c r="Q64" s="152">
        <f>MAX(0,MIN(O64-P64,AQ64-(E64+I64+M64)))</f>
        <v/>
      </c>
      <c r="R64" s="152">
        <f>O64-P64-Q64</f>
        <v/>
      </c>
      <c r="S64" s="152">
        <f>IF(V63&lt;=0.005,0,V63*(1+S$6))</f>
        <v/>
      </c>
      <c r="T64" s="152">
        <f>MIN(S64,S$7)</f>
        <v/>
      </c>
      <c r="U64" s="152">
        <f>MAX(0,MIN(S64-T64,AQ64-(E64+I64+M64+Q64)))</f>
        <v/>
      </c>
      <c r="V64" s="152">
        <f>S64-T64-U64</f>
        <v/>
      </c>
      <c r="W64" s="152">
        <f>IF(Z63&lt;=0.005,0,Z63*(1+W$6))</f>
        <v/>
      </c>
      <c r="X64" s="152">
        <f>MIN(W64,W$7)</f>
        <v/>
      </c>
      <c r="Y64" s="152">
        <f>MAX(0,MIN(W64-X64,AQ64-(E64+I64+M64+Q64+U64)))</f>
        <v/>
      </c>
      <c r="Z64" s="152">
        <f>W64-X64-Y64</f>
        <v/>
      </c>
      <c r="AA64" s="152">
        <f>IF(AD63&lt;=0.005,0,AD63*(1+AA$6))</f>
        <v/>
      </c>
      <c r="AB64" s="152">
        <f>MIN(AA64,AA$7)</f>
        <v/>
      </c>
      <c r="AC64" s="152">
        <f>MAX(0,MIN(AA64-AB64,AQ64-(E64+I64+M64+Q64+U64+Y64)))</f>
        <v/>
      </c>
      <c r="AD64" s="152">
        <f>AA64-AB64-AC64</f>
        <v/>
      </c>
      <c r="AE64" s="152">
        <f>IF(AH63&lt;=0.005,0,AH63*(1+AE$6))</f>
        <v/>
      </c>
      <c r="AF64" s="152">
        <f>MIN(AE64,AE$7)</f>
        <v/>
      </c>
      <c r="AG64" s="152">
        <f>MAX(0,MIN(AE64-AF64,AQ64-(E64+I64+M64+Q64+U64+Y64+AC64)))</f>
        <v/>
      </c>
      <c r="AH64" s="152">
        <f>AE64-AF64-AG64</f>
        <v/>
      </c>
      <c r="AI64" s="152">
        <f>IF(AL63&lt;=0.005,0,AL63*(1+AI$6))</f>
        <v/>
      </c>
      <c r="AJ64" s="152">
        <f>MIN(AI64,AI$7)</f>
        <v/>
      </c>
      <c r="AK64" s="152">
        <f>MAX(0,MIN(AI64-AJ64,AQ64-(E64+I64+M64+Q64+U64+Y64+AC64+AG64)))</f>
        <v/>
      </c>
      <c r="AL64" s="152">
        <f>AI64-AJ64-AK64</f>
        <v/>
      </c>
      <c r="AM64" s="152">
        <f>IF(AP63&lt;=0.005,0,AP63*(1+AM$6))</f>
        <v/>
      </c>
      <c r="AN64" s="152">
        <f>MIN(AM64,AM$7)</f>
        <v/>
      </c>
      <c r="AO64" s="152">
        <f>MAX(0,MIN(AM64-AN64,AQ64-(E64+I64+M64+Q64+U64+Y64+AC64+AG64+AK64)))</f>
        <v/>
      </c>
      <c r="AP64" s="152">
        <f>AM64-AN64-AO64</f>
        <v/>
      </c>
      <c r="AQ64" s="152">
        <f>'Debt Payoff'!$C$8-SUM(D64,H64,L64,P64,T64,X64,AB64,AF64,AJ64,AN64)</f>
        <v/>
      </c>
      <c r="AR64" s="152">
        <f>SUM(D64,H64,L64,P64,T64,X64,AB64,AF64,AJ64,AN64)+SUM(E64,I64,M64,Q64,U64,Y64,AC64,AG64,AK64,AO64)</f>
        <v/>
      </c>
      <c r="AS64" s="152">
        <f>SUM(F64,J64,N64,R64,V64,Z64,AD64,AH64,AL64,AP64)</f>
        <v/>
      </c>
      <c r="AT64" s="152">
        <f>IF(B64&gt;AS$6,NA(),B64)</f>
        <v/>
      </c>
      <c r="AU64" s="152">
        <f>IF(B64&gt;AS$6,NA(),AS64)</f>
        <v/>
      </c>
      <c r="AV64" s="152" t="n"/>
      <c r="AW64" s="152" t="n">
        <v>53</v>
      </c>
      <c r="AX64" s="152">
        <f>IF(BA63&lt;=0.005,0,BA63*(1+AX$6))</f>
        <v/>
      </c>
      <c r="AY64" s="152">
        <f>MIN(AX64,AX$7)</f>
        <v/>
      </c>
      <c r="AZ64" s="152">
        <f>MAX(0,MIN(AX64-AY64,CL64))</f>
        <v/>
      </c>
      <c r="BA64" s="152">
        <f>AX64-AY64-AZ64</f>
        <v/>
      </c>
      <c r="BB64" s="152">
        <f>IF(BE63&lt;=0.005,0,BE63*(1+BB$6))</f>
        <v/>
      </c>
      <c r="BC64" s="152">
        <f>MIN(BB64,BB$7)</f>
        <v/>
      </c>
      <c r="BD64" s="152">
        <f>MAX(0,MIN(BB64-BC64,CL64-(AZ64)))</f>
        <v/>
      </c>
      <c r="BE64" s="152">
        <f>BB64-BC64-BD64</f>
        <v/>
      </c>
      <c r="BF64" s="152">
        <f>IF(BI63&lt;=0.005,0,BI63*(1+BF$6))</f>
        <v/>
      </c>
      <c r="BG64" s="152">
        <f>MIN(BF64,BF$7)</f>
        <v/>
      </c>
      <c r="BH64" s="152">
        <f>MAX(0,MIN(BF64-BG64,CL64-(AZ64+BD64)))</f>
        <v/>
      </c>
      <c r="BI64" s="152">
        <f>BF64-BG64-BH64</f>
        <v/>
      </c>
      <c r="BJ64" s="152">
        <f>IF(BM63&lt;=0.005,0,BM63*(1+BJ$6))</f>
        <v/>
      </c>
      <c r="BK64" s="152">
        <f>MIN(BJ64,BJ$7)</f>
        <v/>
      </c>
      <c r="BL64" s="152">
        <f>MAX(0,MIN(BJ64-BK64,CL64-(AZ64+BD64+BH64)))</f>
        <v/>
      </c>
      <c r="BM64" s="152">
        <f>BJ64-BK64-BL64</f>
        <v/>
      </c>
      <c r="BN64" s="152">
        <f>IF(BQ63&lt;=0.005,0,BQ63*(1+BN$6))</f>
        <v/>
      </c>
      <c r="BO64" s="152">
        <f>MIN(BN64,BN$7)</f>
        <v/>
      </c>
      <c r="BP64" s="152">
        <f>MAX(0,MIN(BN64-BO64,CL64-(AZ64+BD64+BH64+BL64)))</f>
        <v/>
      </c>
      <c r="BQ64" s="152">
        <f>BN64-BO64-BP64</f>
        <v/>
      </c>
      <c r="BR64" s="152">
        <f>IF(BU63&lt;=0.005,0,BU63*(1+BR$6))</f>
        <v/>
      </c>
      <c r="BS64" s="152">
        <f>MIN(BR64,BR$7)</f>
        <v/>
      </c>
      <c r="BT64" s="152">
        <f>MAX(0,MIN(BR64-BS64,CL64-(AZ64+BD64+BH64+BL64+BP64)))</f>
        <v/>
      </c>
      <c r="BU64" s="152">
        <f>BR64-BS64-BT64</f>
        <v/>
      </c>
      <c r="BV64" s="152">
        <f>IF(BY63&lt;=0.005,0,BY63*(1+BV$6))</f>
        <v/>
      </c>
      <c r="BW64" s="152">
        <f>MIN(BV64,BV$7)</f>
        <v/>
      </c>
      <c r="BX64" s="152">
        <f>MAX(0,MIN(BV64-BW64,CL64-(AZ64+BD64+BH64+BL64+BP64+BT64)))</f>
        <v/>
      </c>
      <c r="BY64" s="152">
        <f>BV64-BW64-BX64</f>
        <v/>
      </c>
      <c r="BZ64" s="152">
        <f>IF(CC63&lt;=0.005,0,CC63*(1+BZ$6))</f>
        <v/>
      </c>
      <c r="CA64" s="152">
        <f>MIN(BZ64,BZ$7)</f>
        <v/>
      </c>
      <c r="CB64" s="152">
        <f>MAX(0,MIN(BZ64-CA64,CL64-(AZ64+BD64+BH64+BL64+BP64+BT64+BX64)))</f>
        <v/>
      </c>
      <c r="CC64" s="152">
        <f>BZ64-CA64-CB64</f>
        <v/>
      </c>
      <c r="CD64" s="152">
        <f>IF(CG63&lt;=0.005,0,CG63*(1+CD$6))</f>
        <v/>
      </c>
      <c r="CE64" s="152">
        <f>MIN(CD64,CD$7)</f>
        <v/>
      </c>
      <c r="CF64" s="152">
        <f>MAX(0,MIN(CD64-CE64,CL64-(AZ64+BD64+BH64+BL64+BP64+BT64+BX64+CB64)))</f>
        <v/>
      </c>
      <c r="CG64" s="152">
        <f>CD64-CE64-CF64</f>
        <v/>
      </c>
      <c r="CH64" s="152">
        <f>IF(CK63&lt;=0.005,0,CK63*(1+CH$6))</f>
        <v/>
      </c>
      <c r="CI64" s="152">
        <f>MIN(CH64,CH$7)</f>
        <v/>
      </c>
      <c r="CJ64" s="152">
        <f>MAX(0,MIN(CH64-CI64,CL64-(AZ64+BD64+BH64+BL64+BP64+BT64+BX64+CB64+CF64)))</f>
        <v/>
      </c>
      <c r="CK64" s="152">
        <f>CH64-CI64-CJ64</f>
        <v/>
      </c>
      <c r="CL64" s="152">
        <f>'Debt Payoff'!$C$8-SUM(AY64,BC64,BG64,BK64,BO64,BS64,BW64,CA64,CE64,CI64)</f>
        <v/>
      </c>
      <c r="CM64" s="152">
        <f>SUM(AY64,BC64,BG64,BK64,BO64,BS64,BW64,CA64,CE64,CI64)+SUM(AZ64,BD64,BH64,BL64,BP64,BT64,BX64,CB64,CF64,CJ64)</f>
        <v/>
      </c>
      <c r="CN64" s="152">
        <f>SUM(BA64,BE64,BI64,BM64,BQ64,BU64,BY64,CC64,CG64,CK64)</f>
        <v/>
      </c>
      <c r="CO64" s="152">
        <f>IF(AW64&gt;CN$6,NA(),AW64)</f>
        <v/>
      </c>
      <c r="CP64" s="152">
        <f>IF(AW64&gt;CN$6,NA(),CN64)</f>
        <v/>
      </c>
    </row>
    <row r="65">
      <c r="B65" s="152" t="n">
        <v>54</v>
      </c>
      <c r="C65" s="152">
        <f>IF(F64&lt;=0.005,0,F64*(1+C$6))</f>
        <v/>
      </c>
      <c r="D65" s="152">
        <f>MIN(C65,C$7)</f>
        <v/>
      </c>
      <c r="E65" s="152">
        <f>MAX(0,MIN(C65-D65,AQ65))</f>
        <v/>
      </c>
      <c r="F65" s="152">
        <f>C65-D65-E65</f>
        <v/>
      </c>
      <c r="G65" s="152">
        <f>IF(J64&lt;=0.005,0,J64*(1+G$6))</f>
        <v/>
      </c>
      <c r="H65" s="152">
        <f>MIN(G65,G$7)</f>
        <v/>
      </c>
      <c r="I65" s="152">
        <f>MAX(0,MIN(G65-H65,AQ65-(E65)))</f>
        <v/>
      </c>
      <c r="J65" s="152">
        <f>G65-H65-I65</f>
        <v/>
      </c>
      <c r="K65" s="152">
        <f>IF(N64&lt;=0.005,0,N64*(1+K$6))</f>
        <v/>
      </c>
      <c r="L65" s="152">
        <f>MIN(K65,K$7)</f>
        <v/>
      </c>
      <c r="M65" s="152">
        <f>MAX(0,MIN(K65-L65,AQ65-(E65+I65)))</f>
        <v/>
      </c>
      <c r="N65" s="152">
        <f>K65-L65-M65</f>
        <v/>
      </c>
      <c r="O65" s="152">
        <f>IF(R64&lt;=0.005,0,R64*(1+O$6))</f>
        <v/>
      </c>
      <c r="P65" s="152">
        <f>MIN(O65,O$7)</f>
        <v/>
      </c>
      <c r="Q65" s="152">
        <f>MAX(0,MIN(O65-P65,AQ65-(E65+I65+M65)))</f>
        <v/>
      </c>
      <c r="R65" s="152">
        <f>O65-P65-Q65</f>
        <v/>
      </c>
      <c r="S65" s="152">
        <f>IF(V64&lt;=0.005,0,V64*(1+S$6))</f>
        <v/>
      </c>
      <c r="T65" s="152">
        <f>MIN(S65,S$7)</f>
        <v/>
      </c>
      <c r="U65" s="152">
        <f>MAX(0,MIN(S65-T65,AQ65-(E65+I65+M65+Q65)))</f>
        <v/>
      </c>
      <c r="V65" s="152">
        <f>S65-T65-U65</f>
        <v/>
      </c>
      <c r="W65" s="152">
        <f>IF(Z64&lt;=0.005,0,Z64*(1+W$6))</f>
        <v/>
      </c>
      <c r="X65" s="152">
        <f>MIN(W65,W$7)</f>
        <v/>
      </c>
      <c r="Y65" s="152">
        <f>MAX(0,MIN(W65-X65,AQ65-(E65+I65+M65+Q65+U65)))</f>
        <v/>
      </c>
      <c r="Z65" s="152">
        <f>W65-X65-Y65</f>
        <v/>
      </c>
      <c r="AA65" s="152">
        <f>IF(AD64&lt;=0.005,0,AD64*(1+AA$6))</f>
        <v/>
      </c>
      <c r="AB65" s="152">
        <f>MIN(AA65,AA$7)</f>
        <v/>
      </c>
      <c r="AC65" s="152">
        <f>MAX(0,MIN(AA65-AB65,AQ65-(E65+I65+M65+Q65+U65+Y65)))</f>
        <v/>
      </c>
      <c r="AD65" s="152">
        <f>AA65-AB65-AC65</f>
        <v/>
      </c>
      <c r="AE65" s="152">
        <f>IF(AH64&lt;=0.005,0,AH64*(1+AE$6))</f>
        <v/>
      </c>
      <c r="AF65" s="152">
        <f>MIN(AE65,AE$7)</f>
        <v/>
      </c>
      <c r="AG65" s="152">
        <f>MAX(0,MIN(AE65-AF65,AQ65-(E65+I65+M65+Q65+U65+Y65+AC65)))</f>
        <v/>
      </c>
      <c r="AH65" s="152">
        <f>AE65-AF65-AG65</f>
        <v/>
      </c>
      <c r="AI65" s="152">
        <f>IF(AL64&lt;=0.005,0,AL64*(1+AI$6))</f>
        <v/>
      </c>
      <c r="AJ65" s="152">
        <f>MIN(AI65,AI$7)</f>
        <v/>
      </c>
      <c r="AK65" s="152">
        <f>MAX(0,MIN(AI65-AJ65,AQ65-(E65+I65+M65+Q65+U65+Y65+AC65+AG65)))</f>
        <v/>
      </c>
      <c r="AL65" s="152">
        <f>AI65-AJ65-AK65</f>
        <v/>
      </c>
      <c r="AM65" s="152">
        <f>IF(AP64&lt;=0.005,0,AP64*(1+AM$6))</f>
        <v/>
      </c>
      <c r="AN65" s="152">
        <f>MIN(AM65,AM$7)</f>
        <v/>
      </c>
      <c r="AO65" s="152">
        <f>MAX(0,MIN(AM65-AN65,AQ65-(E65+I65+M65+Q65+U65+Y65+AC65+AG65+AK65)))</f>
        <v/>
      </c>
      <c r="AP65" s="152">
        <f>AM65-AN65-AO65</f>
        <v/>
      </c>
      <c r="AQ65" s="152">
        <f>'Debt Payoff'!$C$8-SUM(D65,H65,L65,P65,T65,X65,AB65,AF65,AJ65,AN65)</f>
        <v/>
      </c>
      <c r="AR65" s="152">
        <f>SUM(D65,H65,L65,P65,T65,X65,AB65,AF65,AJ65,AN65)+SUM(E65,I65,M65,Q65,U65,Y65,AC65,AG65,AK65,AO65)</f>
        <v/>
      </c>
      <c r="AS65" s="152">
        <f>SUM(F65,J65,N65,R65,V65,Z65,AD65,AH65,AL65,AP65)</f>
        <v/>
      </c>
      <c r="AT65" s="152">
        <f>IF(B65&gt;AS$6,NA(),B65)</f>
        <v/>
      </c>
      <c r="AU65" s="152">
        <f>IF(B65&gt;AS$6,NA(),AS65)</f>
        <v/>
      </c>
      <c r="AV65" s="152" t="n"/>
      <c r="AW65" s="152" t="n">
        <v>54</v>
      </c>
      <c r="AX65" s="152">
        <f>IF(BA64&lt;=0.005,0,BA64*(1+AX$6))</f>
        <v/>
      </c>
      <c r="AY65" s="152">
        <f>MIN(AX65,AX$7)</f>
        <v/>
      </c>
      <c r="AZ65" s="152">
        <f>MAX(0,MIN(AX65-AY65,CL65))</f>
        <v/>
      </c>
      <c r="BA65" s="152">
        <f>AX65-AY65-AZ65</f>
        <v/>
      </c>
      <c r="BB65" s="152">
        <f>IF(BE64&lt;=0.005,0,BE64*(1+BB$6))</f>
        <v/>
      </c>
      <c r="BC65" s="152">
        <f>MIN(BB65,BB$7)</f>
        <v/>
      </c>
      <c r="BD65" s="152">
        <f>MAX(0,MIN(BB65-BC65,CL65-(AZ65)))</f>
        <v/>
      </c>
      <c r="BE65" s="152">
        <f>BB65-BC65-BD65</f>
        <v/>
      </c>
      <c r="BF65" s="152">
        <f>IF(BI64&lt;=0.005,0,BI64*(1+BF$6))</f>
        <v/>
      </c>
      <c r="BG65" s="152">
        <f>MIN(BF65,BF$7)</f>
        <v/>
      </c>
      <c r="BH65" s="152">
        <f>MAX(0,MIN(BF65-BG65,CL65-(AZ65+BD65)))</f>
        <v/>
      </c>
      <c r="BI65" s="152">
        <f>BF65-BG65-BH65</f>
        <v/>
      </c>
      <c r="BJ65" s="152">
        <f>IF(BM64&lt;=0.005,0,BM64*(1+BJ$6))</f>
        <v/>
      </c>
      <c r="BK65" s="152">
        <f>MIN(BJ65,BJ$7)</f>
        <v/>
      </c>
      <c r="BL65" s="152">
        <f>MAX(0,MIN(BJ65-BK65,CL65-(AZ65+BD65+BH65)))</f>
        <v/>
      </c>
      <c r="BM65" s="152">
        <f>BJ65-BK65-BL65</f>
        <v/>
      </c>
      <c r="BN65" s="152">
        <f>IF(BQ64&lt;=0.005,0,BQ64*(1+BN$6))</f>
        <v/>
      </c>
      <c r="BO65" s="152">
        <f>MIN(BN65,BN$7)</f>
        <v/>
      </c>
      <c r="BP65" s="152">
        <f>MAX(0,MIN(BN65-BO65,CL65-(AZ65+BD65+BH65+BL65)))</f>
        <v/>
      </c>
      <c r="BQ65" s="152">
        <f>BN65-BO65-BP65</f>
        <v/>
      </c>
      <c r="BR65" s="152">
        <f>IF(BU64&lt;=0.005,0,BU64*(1+BR$6))</f>
        <v/>
      </c>
      <c r="BS65" s="152">
        <f>MIN(BR65,BR$7)</f>
        <v/>
      </c>
      <c r="BT65" s="152">
        <f>MAX(0,MIN(BR65-BS65,CL65-(AZ65+BD65+BH65+BL65+BP65)))</f>
        <v/>
      </c>
      <c r="BU65" s="152">
        <f>BR65-BS65-BT65</f>
        <v/>
      </c>
      <c r="BV65" s="152">
        <f>IF(BY64&lt;=0.005,0,BY64*(1+BV$6))</f>
        <v/>
      </c>
      <c r="BW65" s="152">
        <f>MIN(BV65,BV$7)</f>
        <v/>
      </c>
      <c r="BX65" s="152">
        <f>MAX(0,MIN(BV65-BW65,CL65-(AZ65+BD65+BH65+BL65+BP65+BT65)))</f>
        <v/>
      </c>
      <c r="BY65" s="152">
        <f>BV65-BW65-BX65</f>
        <v/>
      </c>
      <c r="BZ65" s="152">
        <f>IF(CC64&lt;=0.005,0,CC64*(1+BZ$6))</f>
        <v/>
      </c>
      <c r="CA65" s="152">
        <f>MIN(BZ65,BZ$7)</f>
        <v/>
      </c>
      <c r="CB65" s="152">
        <f>MAX(0,MIN(BZ65-CA65,CL65-(AZ65+BD65+BH65+BL65+BP65+BT65+BX65)))</f>
        <v/>
      </c>
      <c r="CC65" s="152">
        <f>BZ65-CA65-CB65</f>
        <v/>
      </c>
      <c r="CD65" s="152">
        <f>IF(CG64&lt;=0.005,0,CG64*(1+CD$6))</f>
        <v/>
      </c>
      <c r="CE65" s="152">
        <f>MIN(CD65,CD$7)</f>
        <v/>
      </c>
      <c r="CF65" s="152">
        <f>MAX(0,MIN(CD65-CE65,CL65-(AZ65+BD65+BH65+BL65+BP65+BT65+BX65+CB65)))</f>
        <v/>
      </c>
      <c r="CG65" s="152">
        <f>CD65-CE65-CF65</f>
        <v/>
      </c>
      <c r="CH65" s="152">
        <f>IF(CK64&lt;=0.005,0,CK64*(1+CH$6))</f>
        <v/>
      </c>
      <c r="CI65" s="152">
        <f>MIN(CH65,CH$7)</f>
        <v/>
      </c>
      <c r="CJ65" s="152">
        <f>MAX(0,MIN(CH65-CI65,CL65-(AZ65+BD65+BH65+BL65+BP65+BT65+BX65+CB65+CF65)))</f>
        <v/>
      </c>
      <c r="CK65" s="152">
        <f>CH65-CI65-CJ65</f>
        <v/>
      </c>
      <c r="CL65" s="152">
        <f>'Debt Payoff'!$C$8-SUM(AY65,BC65,BG65,BK65,BO65,BS65,BW65,CA65,CE65,CI65)</f>
        <v/>
      </c>
      <c r="CM65" s="152">
        <f>SUM(AY65,BC65,BG65,BK65,BO65,BS65,BW65,CA65,CE65,CI65)+SUM(AZ65,BD65,BH65,BL65,BP65,BT65,BX65,CB65,CF65,CJ65)</f>
        <v/>
      </c>
      <c r="CN65" s="152">
        <f>SUM(BA65,BE65,BI65,BM65,BQ65,BU65,BY65,CC65,CG65,CK65)</f>
        <v/>
      </c>
      <c r="CO65" s="152">
        <f>IF(AW65&gt;CN$6,NA(),AW65)</f>
        <v/>
      </c>
      <c r="CP65" s="152">
        <f>IF(AW65&gt;CN$6,NA(),CN65)</f>
        <v/>
      </c>
    </row>
    <row r="66">
      <c r="B66" s="152" t="n">
        <v>55</v>
      </c>
      <c r="C66" s="152">
        <f>IF(F65&lt;=0.005,0,F65*(1+C$6))</f>
        <v/>
      </c>
      <c r="D66" s="152">
        <f>MIN(C66,C$7)</f>
        <v/>
      </c>
      <c r="E66" s="152">
        <f>MAX(0,MIN(C66-D66,AQ66))</f>
        <v/>
      </c>
      <c r="F66" s="152">
        <f>C66-D66-E66</f>
        <v/>
      </c>
      <c r="G66" s="152">
        <f>IF(J65&lt;=0.005,0,J65*(1+G$6))</f>
        <v/>
      </c>
      <c r="H66" s="152">
        <f>MIN(G66,G$7)</f>
        <v/>
      </c>
      <c r="I66" s="152">
        <f>MAX(0,MIN(G66-H66,AQ66-(E66)))</f>
        <v/>
      </c>
      <c r="J66" s="152">
        <f>G66-H66-I66</f>
        <v/>
      </c>
      <c r="K66" s="152">
        <f>IF(N65&lt;=0.005,0,N65*(1+K$6))</f>
        <v/>
      </c>
      <c r="L66" s="152">
        <f>MIN(K66,K$7)</f>
        <v/>
      </c>
      <c r="M66" s="152">
        <f>MAX(0,MIN(K66-L66,AQ66-(E66+I66)))</f>
        <v/>
      </c>
      <c r="N66" s="152">
        <f>K66-L66-M66</f>
        <v/>
      </c>
      <c r="O66" s="152">
        <f>IF(R65&lt;=0.005,0,R65*(1+O$6))</f>
        <v/>
      </c>
      <c r="P66" s="152">
        <f>MIN(O66,O$7)</f>
        <v/>
      </c>
      <c r="Q66" s="152">
        <f>MAX(0,MIN(O66-P66,AQ66-(E66+I66+M66)))</f>
        <v/>
      </c>
      <c r="R66" s="152">
        <f>O66-P66-Q66</f>
        <v/>
      </c>
      <c r="S66" s="152">
        <f>IF(V65&lt;=0.005,0,V65*(1+S$6))</f>
        <v/>
      </c>
      <c r="T66" s="152">
        <f>MIN(S66,S$7)</f>
        <v/>
      </c>
      <c r="U66" s="152">
        <f>MAX(0,MIN(S66-T66,AQ66-(E66+I66+M66+Q66)))</f>
        <v/>
      </c>
      <c r="V66" s="152">
        <f>S66-T66-U66</f>
        <v/>
      </c>
      <c r="W66" s="152">
        <f>IF(Z65&lt;=0.005,0,Z65*(1+W$6))</f>
        <v/>
      </c>
      <c r="X66" s="152">
        <f>MIN(W66,W$7)</f>
        <v/>
      </c>
      <c r="Y66" s="152">
        <f>MAX(0,MIN(W66-X66,AQ66-(E66+I66+M66+Q66+U66)))</f>
        <v/>
      </c>
      <c r="Z66" s="152">
        <f>W66-X66-Y66</f>
        <v/>
      </c>
      <c r="AA66" s="152">
        <f>IF(AD65&lt;=0.005,0,AD65*(1+AA$6))</f>
        <v/>
      </c>
      <c r="AB66" s="152">
        <f>MIN(AA66,AA$7)</f>
        <v/>
      </c>
      <c r="AC66" s="152">
        <f>MAX(0,MIN(AA66-AB66,AQ66-(E66+I66+M66+Q66+U66+Y66)))</f>
        <v/>
      </c>
      <c r="AD66" s="152">
        <f>AA66-AB66-AC66</f>
        <v/>
      </c>
      <c r="AE66" s="152">
        <f>IF(AH65&lt;=0.005,0,AH65*(1+AE$6))</f>
        <v/>
      </c>
      <c r="AF66" s="152">
        <f>MIN(AE66,AE$7)</f>
        <v/>
      </c>
      <c r="AG66" s="152">
        <f>MAX(0,MIN(AE66-AF66,AQ66-(E66+I66+M66+Q66+U66+Y66+AC66)))</f>
        <v/>
      </c>
      <c r="AH66" s="152">
        <f>AE66-AF66-AG66</f>
        <v/>
      </c>
      <c r="AI66" s="152">
        <f>IF(AL65&lt;=0.005,0,AL65*(1+AI$6))</f>
        <v/>
      </c>
      <c r="AJ66" s="152">
        <f>MIN(AI66,AI$7)</f>
        <v/>
      </c>
      <c r="AK66" s="152">
        <f>MAX(0,MIN(AI66-AJ66,AQ66-(E66+I66+M66+Q66+U66+Y66+AC66+AG66)))</f>
        <v/>
      </c>
      <c r="AL66" s="152">
        <f>AI66-AJ66-AK66</f>
        <v/>
      </c>
      <c r="AM66" s="152">
        <f>IF(AP65&lt;=0.005,0,AP65*(1+AM$6))</f>
        <v/>
      </c>
      <c r="AN66" s="152">
        <f>MIN(AM66,AM$7)</f>
        <v/>
      </c>
      <c r="AO66" s="152">
        <f>MAX(0,MIN(AM66-AN66,AQ66-(E66+I66+M66+Q66+U66+Y66+AC66+AG66+AK66)))</f>
        <v/>
      </c>
      <c r="AP66" s="152">
        <f>AM66-AN66-AO66</f>
        <v/>
      </c>
      <c r="AQ66" s="152">
        <f>'Debt Payoff'!$C$8-SUM(D66,H66,L66,P66,T66,X66,AB66,AF66,AJ66,AN66)</f>
        <v/>
      </c>
      <c r="AR66" s="152">
        <f>SUM(D66,H66,L66,P66,T66,X66,AB66,AF66,AJ66,AN66)+SUM(E66,I66,M66,Q66,U66,Y66,AC66,AG66,AK66,AO66)</f>
        <v/>
      </c>
      <c r="AS66" s="152">
        <f>SUM(F66,J66,N66,R66,V66,Z66,AD66,AH66,AL66,AP66)</f>
        <v/>
      </c>
      <c r="AT66" s="152">
        <f>IF(B66&gt;AS$6,NA(),B66)</f>
        <v/>
      </c>
      <c r="AU66" s="152">
        <f>IF(B66&gt;AS$6,NA(),AS66)</f>
        <v/>
      </c>
      <c r="AV66" s="152" t="n"/>
      <c r="AW66" s="152" t="n">
        <v>55</v>
      </c>
      <c r="AX66" s="152">
        <f>IF(BA65&lt;=0.005,0,BA65*(1+AX$6))</f>
        <v/>
      </c>
      <c r="AY66" s="152">
        <f>MIN(AX66,AX$7)</f>
        <v/>
      </c>
      <c r="AZ66" s="152">
        <f>MAX(0,MIN(AX66-AY66,CL66))</f>
        <v/>
      </c>
      <c r="BA66" s="152">
        <f>AX66-AY66-AZ66</f>
        <v/>
      </c>
      <c r="BB66" s="152">
        <f>IF(BE65&lt;=0.005,0,BE65*(1+BB$6))</f>
        <v/>
      </c>
      <c r="BC66" s="152">
        <f>MIN(BB66,BB$7)</f>
        <v/>
      </c>
      <c r="BD66" s="152">
        <f>MAX(0,MIN(BB66-BC66,CL66-(AZ66)))</f>
        <v/>
      </c>
      <c r="BE66" s="152">
        <f>BB66-BC66-BD66</f>
        <v/>
      </c>
      <c r="BF66" s="152">
        <f>IF(BI65&lt;=0.005,0,BI65*(1+BF$6))</f>
        <v/>
      </c>
      <c r="BG66" s="152">
        <f>MIN(BF66,BF$7)</f>
        <v/>
      </c>
      <c r="BH66" s="152">
        <f>MAX(0,MIN(BF66-BG66,CL66-(AZ66+BD66)))</f>
        <v/>
      </c>
      <c r="BI66" s="152">
        <f>BF66-BG66-BH66</f>
        <v/>
      </c>
      <c r="BJ66" s="152">
        <f>IF(BM65&lt;=0.005,0,BM65*(1+BJ$6))</f>
        <v/>
      </c>
      <c r="BK66" s="152">
        <f>MIN(BJ66,BJ$7)</f>
        <v/>
      </c>
      <c r="BL66" s="152">
        <f>MAX(0,MIN(BJ66-BK66,CL66-(AZ66+BD66+BH66)))</f>
        <v/>
      </c>
      <c r="BM66" s="152">
        <f>BJ66-BK66-BL66</f>
        <v/>
      </c>
      <c r="BN66" s="152">
        <f>IF(BQ65&lt;=0.005,0,BQ65*(1+BN$6))</f>
        <v/>
      </c>
      <c r="BO66" s="152">
        <f>MIN(BN66,BN$7)</f>
        <v/>
      </c>
      <c r="BP66" s="152">
        <f>MAX(0,MIN(BN66-BO66,CL66-(AZ66+BD66+BH66+BL66)))</f>
        <v/>
      </c>
      <c r="BQ66" s="152">
        <f>BN66-BO66-BP66</f>
        <v/>
      </c>
      <c r="BR66" s="152">
        <f>IF(BU65&lt;=0.005,0,BU65*(1+BR$6))</f>
        <v/>
      </c>
      <c r="BS66" s="152">
        <f>MIN(BR66,BR$7)</f>
        <v/>
      </c>
      <c r="BT66" s="152">
        <f>MAX(0,MIN(BR66-BS66,CL66-(AZ66+BD66+BH66+BL66+BP66)))</f>
        <v/>
      </c>
      <c r="BU66" s="152">
        <f>BR66-BS66-BT66</f>
        <v/>
      </c>
      <c r="BV66" s="152">
        <f>IF(BY65&lt;=0.005,0,BY65*(1+BV$6))</f>
        <v/>
      </c>
      <c r="BW66" s="152">
        <f>MIN(BV66,BV$7)</f>
        <v/>
      </c>
      <c r="BX66" s="152">
        <f>MAX(0,MIN(BV66-BW66,CL66-(AZ66+BD66+BH66+BL66+BP66+BT66)))</f>
        <v/>
      </c>
      <c r="BY66" s="152">
        <f>BV66-BW66-BX66</f>
        <v/>
      </c>
      <c r="BZ66" s="152">
        <f>IF(CC65&lt;=0.005,0,CC65*(1+BZ$6))</f>
        <v/>
      </c>
      <c r="CA66" s="152">
        <f>MIN(BZ66,BZ$7)</f>
        <v/>
      </c>
      <c r="CB66" s="152">
        <f>MAX(0,MIN(BZ66-CA66,CL66-(AZ66+BD66+BH66+BL66+BP66+BT66+BX66)))</f>
        <v/>
      </c>
      <c r="CC66" s="152">
        <f>BZ66-CA66-CB66</f>
        <v/>
      </c>
      <c r="CD66" s="152">
        <f>IF(CG65&lt;=0.005,0,CG65*(1+CD$6))</f>
        <v/>
      </c>
      <c r="CE66" s="152">
        <f>MIN(CD66,CD$7)</f>
        <v/>
      </c>
      <c r="CF66" s="152">
        <f>MAX(0,MIN(CD66-CE66,CL66-(AZ66+BD66+BH66+BL66+BP66+BT66+BX66+CB66)))</f>
        <v/>
      </c>
      <c r="CG66" s="152">
        <f>CD66-CE66-CF66</f>
        <v/>
      </c>
      <c r="CH66" s="152">
        <f>IF(CK65&lt;=0.005,0,CK65*(1+CH$6))</f>
        <v/>
      </c>
      <c r="CI66" s="152">
        <f>MIN(CH66,CH$7)</f>
        <v/>
      </c>
      <c r="CJ66" s="152">
        <f>MAX(0,MIN(CH66-CI66,CL66-(AZ66+BD66+BH66+BL66+BP66+BT66+BX66+CB66+CF66)))</f>
        <v/>
      </c>
      <c r="CK66" s="152">
        <f>CH66-CI66-CJ66</f>
        <v/>
      </c>
      <c r="CL66" s="152">
        <f>'Debt Payoff'!$C$8-SUM(AY66,BC66,BG66,BK66,BO66,BS66,BW66,CA66,CE66,CI66)</f>
        <v/>
      </c>
      <c r="CM66" s="152">
        <f>SUM(AY66,BC66,BG66,BK66,BO66,BS66,BW66,CA66,CE66,CI66)+SUM(AZ66,BD66,BH66,BL66,BP66,BT66,BX66,CB66,CF66,CJ66)</f>
        <v/>
      </c>
      <c r="CN66" s="152">
        <f>SUM(BA66,BE66,BI66,BM66,BQ66,BU66,BY66,CC66,CG66,CK66)</f>
        <v/>
      </c>
      <c r="CO66" s="152">
        <f>IF(AW66&gt;CN$6,NA(),AW66)</f>
        <v/>
      </c>
      <c r="CP66" s="152">
        <f>IF(AW66&gt;CN$6,NA(),CN66)</f>
        <v/>
      </c>
    </row>
    <row r="67">
      <c r="B67" s="152" t="n">
        <v>56</v>
      </c>
      <c r="C67" s="152">
        <f>IF(F66&lt;=0.005,0,F66*(1+C$6))</f>
        <v/>
      </c>
      <c r="D67" s="152">
        <f>MIN(C67,C$7)</f>
        <v/>
      </c>
      <c r="E67" s="152">
        <f>MAX(0,MIN(C67-D67,AQ67))</f>
        <v/>
      </c>
      <c r="F67" s="152">
        <f>C67-D67-E67</f>
        <v/>
      </c>
      <c r="G67" s="152">
        <f>IF(J66&lt;=0.005,0,J66*(1+G$6))</f>
        <v/>
      </c>
      <c r="H67" s="152">
        <f>MIN(G67,G$7)</f>
        <v/>
      </c>
      <c r="I67" s="152">
        <f>MAX(0,MIN(G67-H67,AQ67-(E67)))</f>
        <v/>
      </c>
      <c r="J67" s="152">
        <f>G67-H67-I67</f>
        <v/>
      </c>
      <c r="K67" s="152">
        <f>IF(N66&lt;=0.005,0,N66*(1+K$6))</f>
        <v/>
      </c>
      <c r="L67" s="152">
        <f>MIN(K67,K$7)</f>
        <v/>
      </c>
      <c r="M67" s="152">
        <f>MAX(0,MIN(K67-L67,AQ67-(E67+I67)))</f>
        <v/>
      </c>
      <c r="N67" s="152">
        <f>K67-L67-M67</f>
        <v/>
      </c>
      <c r="O67" s="152">
        <f>IF(R66&lt;=0.005,0,R66*(1+O$6))</f>
        <v/>
      </c>
      <c r="P67" s="152">
        <f>MIN(O67,O$7)</f>
        <v/>
      </c>
      <c r="Q67" s="152">
        <f>MAX(0,MIN(O67-P67,AQ67-(E67+I67+M67)))</f>
        <v/>
      </c>
      <c r="R67" s="152">
        <f>O67-P67-Q67</f>
        <v/>
      </c>
      <c r="S67" s="152">
        <f>IF(V66&lt;=0.005,0,V66*(1+S$6))</f>
        <v/>
      </c>
      <c r="T67" s="152">
        <f>MIN(S67,S$7)</f>
        <v/>
      </c>
      <c r="U67" s="152">
        <f>MAX(0,MIN(S67-T67,AQ67-(E67+I67+M67+Q67)))</f>
        <v/>
      </c>
      <c r="V67" s="152">
        <f>S67-T67-U67</f>
        <v/>
      </c>
      <c r="W67" s="152">
        <f>IF(Z66&lt;=0.005,0,Z66*(1+W$6))</f>
        <v/>
      </c>
      <c r="X67" s="152">
        <f>MIN(W67,W$7)</f>
        <v/>
      </c>
      <c r="Y67" s="152">
        <f>MAX(0,MIN(W67-X67,AQ67-(E67+I67+M67+Q67+U67)))</f>
        <v/>
      </c>
      <c r="Z67" s="152">
        <f>W67-X67-Y67</f>
        <v/>
      </c>
      <c r="AA67" s="152">
        <f>IF(AD66&lt;=0.005,0,AD66*(1+AA$6))</f>
        <v/>
      </c>
      <c r="AB67" s="152">
        <f>MIN(AA67,AA$7)</f>
        <v/>
      </c>
      <c r="AC67" s="152">
        <f>MAX(0,MIN(AA67-AB67,AQ67-(E67+I67+M67+Q67+U67+Y67)))</f>
        <v/>
      </c>
      <c r="AD67" s="152">
        <f>AA67-AB67-AC67</f>
        <v/>
      </c>
      <c r="AE67" s="152">
        <f>IF(AH66&lt;=0.005,0,AH66*(1+AE$6))</f>
        <v/>
      </c>
      <c r="AF67" s="152">
        <f>MIN(AE67,AE$7)</f>
        <v/>
      </c>
      <c r="AG67" s="152">
        <f>MAX(0,MIN(AE67-AF67,AQ67-(E67+I67+M67+Q67+U67+Y67+AC67)))</f>
        <v/>
      </c>
      <c r="AH67" s="152">
        <f>AE67-AF67-AG67</f>
        <v/>
      </c>
      <c r="AI67" s="152">
        <f>IF(AL66&lt;=0.005,0,AL66*(1+AI$6))</f>
        <v/>
      </c>
      <c r="AJ67" s="152">
        <f>MIN(AI67,AI$7)</f>
        <v/>
      </c>
      <c r="AK67" s="152">
        <f>MAX(0,MIN(AI67-AJ67,AQ67-(E67+I67+M67+Q67+U67+Y67+AC67+AG67)))</f>
        <v/>
      </c>
      <c r="AL67" s="152">
        <f>AI67-AJ67-AK67</f>
        <v/>
      </c>
      <c r="AM67" s="152">
        <f>IF(AP66&lt;=0.005,0,AP66*(1+AM$6))</f>
        <v/>
      </c>
      <c r="AN67" s="152">
        <f>MIN(AM67,AM$7)</f>
        <v/>
      </c>
      <c r="AO67" s="152">
        <f>MAX(0,MIN(AM67-AN67,AQ67-(E67+I67+M67+Q67+U67+Y67+AC67+AG67+AK67)))</f>
        <v/>
      </c>
      <c r="AP67" s="152">
        <f>AM67-AN67-AO67</f>
        <v/>
      </c>
      <c r="AQ67" s="152">
        <f>'Debt Payoff'!$C$8-SUM(D67,H67,L67,P67,T67,X67,AB67,AF67,AJ67,AN67)</f>
        <v/>
      </c>
      <c r="AR67" s="152">
        <f>SUM(D67,H67,L67,P67,T67,X67,AB67,AF67,AJ67,AN67)+SUM(E67,I67,M67,Q67,U67,Y67,AC67,AG67,AK67,AO67)</f>
        <v/>
      </c>
      <c r="AS67" s="152">
        <f>SUM(F67,J67,N67,R67,V67,Z67,AD67,AH67,AL67,AP67)</f>
        <v/>
      </c>
      <c r="AT67" s="152">
        <f>IF(B67&gt;AS$6,NA(),B67)</f>
        <v/>
      </c>
      <c r="AU67" s="152">
        <f>IF(B67&gt;AS$6,NA(),AS67)</f>
        <v/>
      </c>
      <c r="AV67" s="152" t="n"/>
      <c r="AW67" s="152" t="n">
        <v>56</v>
      </c>
      <c r="AX67" s="152">
        <f>IF(BA66&lt;=0.005,0,BA66*(1+AX$6))</f>
        <v/>
      </c>
      <c r="AY67" s="152">
        <f>MIN(AX67,AX$7)</f>
        <v/>
      </c>
      <c r="AZ67" s="152">
        <f>MAX(0,MIN(AX67-AY67,CL67))</f>
        <v/>
      </c>
      <c r="BA67" s="152">
        <f>AX67-AY67-AZ67</f>
        <v/>
      </c>
      <c r="BB67" s="152">
        <f>IF(BE66&lt;=0.005,0,BE66*(1+BB$6))</f>
        <v/>
      </c>
      <c r="BC67" s="152">
        <f>MIN(BB67,BB$7)</f>
        <v/>
      </c>
      <c r="BD67" s="152">
        <f>MAX(0,MIN(BB67-BC67,CL67-(AZ67)))</f>
        <v/>
      </c>
      <c r="BE67" s="152">
        <f>BB67-BC67-BD67</f>
        <v/>
      </c>
      <c r="BF67" s="152">
        <f>IF(BI66&lt;=0.005,0,BI66*(1+BF$6))</f>
        <v/>
      </c>
      <c r="BG67" s="152">
        <f>MIN(BF67,BF$7)</f>
        <v/>
      </c>
      <c r="BH67" s="152">
        <f>MAX(0,MIN(BF67-BG67,CL67-(AZ67+BD67)))</f>
        <v/>
      </c>
      <c r="BI67" s="152">
        <f>BF67-BG67-BH67</f>
        <v/>
      </c>
      <c r="BJ67" s="152">
        <f>IF(BM66&lt;=0.005,0,BM66*(1+BJ$6))</f>
        <v/>
      </c>
      <c r="BK67" s="152">
        <f>MIN(BJ67,BJ$7)</f>
        <v/>
      </c>
      <c r="BL67" s="152">
        <f>MAX(0,MIN(BJ67-BK67,CL67-(AZ67+BD67+BH67)))</f>
        <v/>
      </c>
      <c r="BM67" s="152">
        <f>BJ67-BK67-BL67</f>
        <v/>
      </c>
      <c r="BN67" s="152">
        <f>IF(BQ66&lt;=0.005,0,BQ66*(1+BN$6))</f>
        <v/>
      </c>
      <c r="BO67" s="152">
        <f>MIN(BN67,BN$7)</f>
        <v/>
      </c>
      <c r="BP67" s="152">
        <f>MAX(0,MIN(BN67-BO67,CL67-(AZ67+BD67+BH67+BL67)))</f>
        <v/>
      </c>
      <c r="BQ67" s="152">
        <f>BN67-BO67-BP67</f>
        <v/>
      </c>
      <c r="BR67" s="152">
        <f>IF(BU66&lt;=0.005,0,BU66*(1+BR$6))</f>
        <v/>
      </c>
      <c r="BS67" s="152">
        <f>MIN(BR67,BR$7)</f>
        <v/>
      </c>
      <c r="BT67" s="152">
        <f>MAX(0,MIN(BR67-BS67,CL67-(AZ67+BD67+BH67+BL67+BP67)))</f>
        <v/>
      </c>
      <c r="BU67" s="152">
        <f>BR67-BS67-BT67</f>
        <v/>
      </c>
      <c r="BV67" s="152">
        <f>IF(BY66&lt;=0.005,0,BY66*(1+BV$6))</f>
        <v/>
      </c>
      <c r="BW67" s="152">
        <f>MIN(BV67,BV$7)</f>
        <v/>
      </c>
      <c r="BX67" s="152">
        <f>MAX(0,MIN(BV67-BW67,CL67-(AZ67+BD67+BH67+BL67+BP67+BT67)))</f>
        <v/>
      </c>
      <c r="BY67" s="152">
        <f>BV67-BW67-BX67</f>
        <v/>
      </c>
      <c r="BZ67" s="152">
        <f>IF(CC66&lt;=0.005,0,CC66*(1+BZ$6))</f>
        <v/>
      </c>
      <c r="CA67" s="152">
        <f>MIN(BZ67,BZ$7)</f>
        <v/>
      </c>
      <c r="CB67" s="152">
        <f>MAX(0,MIN(BZ67-CA67,CL67-(AZ67+BD67+BH67+BL67+BP67+BT67+BX67)))</f>
        <v/>
      </c>
      <c r="CC67" s="152">
        <f>BZ67-CA67-CB67</f>
        <v/>
      </c>
      <c r="CD67" s="152">
        <f>IF(CG66&lt;=0.005,0,CG66*(1+CD$6))</f>
        <v/>
      </c>
      <c r="CE67" s="152">
        <f>MIN(CD67,CD$7)</f>
        <v/>
      </c>
      <c r="CF67" s="152">
        <f>MAX(0,MIN(CD67-CE67,CL67-(AZ67+BD67+BH67+BL67+BP67+BT67+BX67+CB67)))</f>
        <v/>
      </c>
      <c r="CG67" s="152">
        <f>CD67-CE67-CF67</f>
        <v/>
      </c>
      <c r="CH67" s="152">
        <f>IF(CK66&lt;=0.005,0,CK66*(1+CH$6))</f>
        <v/>
      </c>
      <c r="CI67" s="152">
        <f>MIN(CH67,CH$7)</f>
        <v/>
      </c>
      <c r="CJ67" s="152">
        <f>MAX(0,MIN(CH67-CI67,CL67-(AZ67+BD67+BH67+BL67+BP67+BT67+BX67+CB67+CF67)))</f>
        <v/>
      </c>
      <c r="CK67" s="152">
        <f>CH67-CI67-CJ67</f>
        <v/>
      </c>
      <c r="CL67" s="152">
        <f>'Debt Payoff'!$C$8-SUM(AY67,BC67,BG67,BK67,BO67,BS67,BW67,CA67,CE67,CI67)</f>
        <v/>
      </c>
      <c r="CM67" s="152">
        <f>SUM(AY67,BC67,BG67,BK67,BO67,BS67,BW67,CA67,CE67,CI67)+SUM(AZ67,BD67,BH67,BL67,BP67,BT67,BX67,CB67,CF67,CJ67)</f>
        <v/>
      </c>
      <c r="CN67" s="152">
        <f>SUM(BA67,BE67,BI67,BM67,BQ67,BU67,BY67,CC67,CG67,CK67)</f>
        <v/>
      </c>
      <c r="CO67" s="152">
        <f>IF(AW67&gt;CN$6,NA(),AW67)</f>
        <v/>
      </c>
      <c r="CP67" s="152">
        <f>IF(AW67&gt;CN$6,NA(),CN67)</f>
        <v/>
      </c>
    </row>
    <row r="68">
      <c r="B68" s="152" t="n">
        <v>57</v>
      </c>
      <c r="C68" s="152">
        <f>IF(F67&lt;=0.005,0,F67*(1+C$6))</f>
        <v/>
      </c>
      <c r="D68" s="152">
        <f>MIN(C68,C$7)</f>
        <v/>
      </c>
      <c r="E68" s="152">
        <f>MAX(0,MIN(C68-D68,AQ68))</f>
        <v/>
      </c>
      <c r="F68" s="152">
        <f>C68-D68-E68</f>
        <v/>
      </c>
      <c r="G68" s="152">
        <f>IF(J67&lt;=0.005,0,J67*(1+G$6))</f>
        <v/>
      </c>
      <c r="H68" s="152">
        <f>MIN(G68,G$7)</f>
        <v/>
      </c>
      <c r="I68" s="152">
        <f>MAX(0,MIN(G68-H68,AQ68-(E68)))</f>
        <v/>
      </c>
      <c r="J68" s="152">
        <f>G68-H68-I68</f>
        <v/>
      </c>
      <c r="K68" s="152">
        <f>IF(N67&lt;=0.005,0,N67*(1+K$6))</f>
        <v/>
      </c>
      <c r="L68" s="152">
        <f>MIN(K68,K$7)</f>
        <v/>
      </c>
      <c r="M68" s="152">
        <f>MAX(0,MIN(K68-L68,AQ68-(E68+I68)))</f>
        <v/>
      </c>
      <c r="N68" s="152">
        <f>K68-L68-M68</f>
        <v/>
      </c>
      <c r="O68" s="152">
        <f>IF(R67&lt;=0.005,0,R67*(1+O$6))</f>
        <v/>
      </c>
      <c r="P68" s="152">
        <f>MIN(O68,O$7)</f>
        <v/>
      </c>
      <c r="Q68" s="152">
        <f>MAX(0,MIN(O68-P68,AQ68-(E68+I68+M68)))</f>
        <v/>
      </c>
      <c r="R68" s="152">
        <f>O68-P68-Q68</f>
        <v/>
      </c>
      <c r="S68" s="152">
        <f>IF(V67&lt;=0.005,0,V67*(1+S$6))</f>
        <v/>
      </c>
      <c r="T68" s="152">
        <f>MIN(S68,S$7)</f>
        <v/>
      </c>
      <c r="U68" s="152">
        <f>MAX(0,MIN(S68-T68,AQ68-(E68+I68+M68+Q68)))</f>
        <v/>
      </c>
      <c r="V68" s="152">
        <f>S68-T68-U68</f>
        <v/>
      </c>
      <c r="W68" s="152">
        <f>IF(Z67&lt;=0.005,0,Z67*(1+W$6))</f>
        <v/>
      </c>
      <c r="X68" s="152">
        <f>MIN(W68,W$7)</f>
        <v/>
      </c>
      <c r="Y68" s="152">
        <f>MAX(0,MIN(W68-X68,AQ68-(E68+I68+M68+Q68+U68)))</f>
        <v/>
      </c>
      <c r="Z68" s="152">
        <f>W68-X68-Y68</f>
        <v/>
      </c>
      <c r="AA68" s="152">
        <f>IF(AD67&lt;=0.005,0,AD67*(1+AA$6))</f>
        <v/>
      </c>
      <c r="AB68" s="152">
        <f>MIN(AA68,AA$7)</f>
        <v/>
      </c>
      <c r="AC68" s="152">
        <f>MAX(0,MIN(AA68-AB68,AQ68-(E68+I68+M68+Q68+U68+Y68)))</f>
        <v/>
      </c>
      <c r="AD68" s="152">
        <f>AA68-AB68-AC68</f>
        <v/>
      </c>
      <c r="AE68" s="152">
        <f>IF(AH67&lt;=0.005,0,AH67*(1+AE$6))</f>
        <v/>
      </c>
      <c r="AF68" s="152">
        <f>MIN(AE68,AE$7)</f>
        <v/>
      </c>
      <c r="AG68" s="152">
        <f>MAX(0,MIN(AE68-AF68,AQ68-(E68+I68+M68+Q68+U68+Y68+AC68)))</f>
        <v/>
      </c>
      <c r="AH68" s="152">
        <f>AE68-AF68-AG68</f>
        <v/>
      </c>
      <c r="AI68" s="152">
        <f>IF(AL67&lt;=0.005,0,AL67*(1+AI$6))</f>
        <v/>
      </c>
      <c r="AJ68" s="152">
        <f>MIN(AI68,AI$7)</f>
        <v/>
      </c>
      <c r="AK68" s="152">
        <f>MAX(0,MIN(AI68-AJ68,AQ68-(E68+I68+M68+Q68+U68+Y68+AC68+AG68)))</f>
        <v/>
      </c>
      <c r="AL68" s="152">
        <f>AI68-AJ68-AK68</f>
        <v/>
      </c>
      <c r="AM68" s="152">
        <f>IF(AP67&lt;=0.005,0,AP67*(1+AM$6))</f>
        <v/>
      </c>
      <c r="AN68" s="152">
        <f>MIN(AM68,AM$7)</f>
        <v/>
      </c>
      <c r="AO68" s="152">
        <f>MAX(0,MIN(AM68-AN68,AQ68-(E68+I68+M68+Q68+U68+Y68+AC68+AG68+AK68)))</f>
        <v/>
      </c>
      <c r="AP68" s="152">
        <f>AM68-AN68-AO68</f>
        <v/>
      </c>
      <c r="AQ68" s="152">
        <f>'Debt Payoff'!$C$8-SUM(D68,H68,L68,P68,T68,X68,AB68,AF68,AJ68,AN68)</f>
        <v/>
      </c>
      <c r="AR68" s="152">
        <f>SUM(D68,H68,L68,P68,T68,X68,AB68,AF68,AJ68,AN68)+SUM(E68,I68,M68,Q68,U68,Y68,AC68,AG68,AK68,AO68)</f>
        <v/>
      </c>
      <c r="AS68" s="152">
        <f>SUM(F68,J68,N68,R68,V68,Z68,AD68,AH68,AL68,AP68)</f>
        <v/>
      </c>
      <c r="AT68" s="152">
        <f>IF(B68&gt;AS$6,NA(),B68)</f>
        <v/>
      </c>
      <c r="AU68" s="152">
        <f>IF(B68&gt;AS$6,NA(),AS68)</f>
        <v/>
      </c>
      <c r="AV68" s="152" t="n"/>
      <c r="AW68" s="152" t="n">
        <v>57</v>
      </c>
      <c r="AX68" s="152">
        <f>IF(BA67&lt;=0.005,0,BA67*(1+AX$6))</f>
        <v/>
      </c>
      <c r="AY68" s="152">
        <f>MIN(AX68,AX$7)</f>
        <v/>
      </c>
      <c r="AZ68" s="152">
        <f>MAX(0,MIN(AX68-AY68,CL68))</f>
        <v/>
      </c>
      <c r="BA68" s="152">
        <f>AX68-AY68-AZ68</f>
        <v/>
      </c>
      <c r="BB68" s="152">
        <f>IF(BE67&lt;=0.005,0,BE67*(1+BB$6))</f>
        <v/>
      </c>
      <c r="BC68" s="152">
        <f>MIN(BB68,BB$7)</f>
        <v/>
      </c>
      <c r="BD68" s="152">
        <f>MAX(0,MIN(BB68-BC68,CL68-(AZ68)))</f>
        <v/>
      </c>
      <c r="BE68" s="152">
        <f>BB68-BC68-BD68</f>
        <v/>
      </c>
      <c r="BF68" s="152">
        <f>IF(BI67&lt;=0.005,0,BI67*(1+BF$6))</f>
        <v/>
      </c>
      <c r="BG68" s="152">
        <f>MIN(BF68,BF$7)</f>
        <v/>
      </c>
      <c r="BH68" s="152">
        <f>MAX(0,MIN(BF68-BG68,CL68-(AZ68+BD68)))</f>
        <v/>
      </c>
      <c r="BI68" s="152">
        <f>BF68-BG68-BH68</f>
        <v/>
      </c>
      <c r="BJ68" s="152">
        <f>IF(BM67&lt;=0.005,0,BM67*(1+BJ$6))</f>
        <v/>
      </c>
      <c r="BK68" s="152">
        <f>MIN(BJ68,BJ$7)</f>
        <v/>
      </c>
      <c r="BL68" s="152">
        <f>MAX(0,MIN(BJ68-BK68,CL68-(AZ68+BD68+BH68)))</f>
        <v/>
      </c>
      <c r="BM68" s="152">
        <f>BJ68-BK68-BL68</f>
        <v/>
      </c>
      <c r="BN68" s="152">
        <f>IF(BQ67&lt;=0.005,0,BQ67*(1+BN$6))</f>
        <v/>
      </c>
      <c r="BO68" s="152">
        <f>MIN(BN68,BN$7)</f>
        <v/>
      </c>
      <c r="BP68" s="152">
        <f>MAX(0,MIN(BN68-BO68,CL68-(AZ68+BD68+BH68+BL68)))</f>
        <v/>
      </c>
      <c r="BQ68" s="152">
        <f>BN68-BO68-BP68</f>
        <v/>
      </c>
      <c r="BR68" s="152">
        <f>IF(BU67&lt;=0.005,0,BU67*(1+BR$6))</f>
        <v/>
      </c>
      <c r="BS68" s="152">
        <f>MIN(BR68,BR$7)</f>
        <v/>
      </c>
      <c r="BT68" s="152">
        <f>MAX(0,MIN(BR68-BS68,CL68-(AZ68+BD68+BH68+BL68+BP68)))</f>
        <v/>
      </c>
      <c r="BU68" s="152">
        <f>BR68-BS68-BT68</f>
        <v/>
      </c>
      <c r="BV68" s="152">
        <f>IF(BY67&lt;=0.005,0,BY67*(1+BV$6))</f>
        <v/>
      </c>
      <c r="BW68" s="152">
        <f>MIN(BV68,BV$7)</f>
        <v/>
      </c>
      <c r="BX68" s="152">
        <f>MAX(0,MIN(BV68-BW68,CL68-(AZ68+BD68+BH68+BL68+BP68+BT68)))</f>
        <v/>
      </c>
      <c r="BY68" s="152">
        <f>BV68-BW68-BX68</f>
        <v/>
      </c>
      <c r="BZ68" s="152">
        <f>IF(CC67&lt;=0.005,0,CC67*(1+BZ$6))</f>
        <v/>
      </c>
      <c r="CA68" s="152">
        <f>MIN(BZ68,BZ$7)</f>
        <v/>
      </c>
      <c r="CB68" s="152">
        <f>MAX(0,MIN(BZ68-CA68,CL68-(AZ68+BD68+BH68+BL68+BP68+BT68+BX68)))</f>
        <v/>
      </c>
      <c r="CC68" s="152">
        <f>BZ68-CA68-CB68</f>
        <v/>
      </c>
      <c r="CD68" s="152">
        <f>IF(CG67&lt;=0.005,0,CG67*(1+CD$6))</f>
        <v/>
      </c>
      <c r="CE68" s="152">
        <f>MIN(CD68,CD$7)</f>
        <v/>
      </c>
      <c r="CF68" s="152">
        <f>MAX(0,MIN(CD68-CE68,CL68-(AZ68+BD68+BH68+BL68+BP68+BT68+BX68+CB68)))</f>
        <v/>
      </c>
      <c r="CG68" s="152">
        <f>CD68-CE68-CF68</f>
        <v/>
      </c>
      <c r="CH68" s="152">
        <f>IF(CK67&lt;=0.005,0,CK67*(1+CH$6))</f>
        <v/>
      </c>
      <c r="CI68" s="152">
        <f>MIN(CH68,CH$7)</f>
        <v/>
      </c>
      <c r="CJ68" s="152">
        <f>MAX(0,MIN(CH68-CI68,CL68-(AZ68+BD68+BH68+BL68+BP68+BT68+BX68+CB68+CF68)))</f>
        <v/>
      </c>
      <c r="CK68" s="152">
        <f>CH68-CI68-CJ68</f>
        <v/>
      </c>
      <c r="CL68" s="152">
        <f>'Debt Payoff'!$C$8-SUM(AY68,BC68,BG68,BK68,BO68,BS68,BW68,CA68,CE68,CI68)</f>
        <v/>
      </c>
      <c r="CM68" s="152">
        <f>SUM(AY68,BC68,BG68,BK68,BO68,BS68,BW68,CA68,CE68,CI68)+SUM(AZ68,BD68,BH68,BL68,BP68,BT68,BX68,CB68,CF68,CJ68)</f>
        <v/>
      </c>
      <c r="CN68" s="152">
        <f>SUM(BA68,BE68,BI68,BM68,BQ68,BU68,BY68,CC68,CG68,CK68)</f>
        <v/>
      </c>
      <c r="CO68" s="152">
        <f>IF(AW68&gt;CN$6,NA(),AW68)</f>
        <v/>
      </c>
      <c r="CP68" s="152">
        <f>IF(AW68&gt;CN$6,NA(),CN68)</f>
        <v/>
      </c>
    </row>
    <row r="69">
      <c r="B69" s="152" t="n">
        <v>58</v>
      </c>
      <c r="C69" s="152">
        <f>IF(F68&lt;=0.005,0,F68*(1+C$6))</f>
        <v/>
      </c>
      <c r="D69" s="152">
        <f>MIN(C69,C$7)</f>
        <v/>
      </c>
      <c r="E69" s="152">
        <f>MAX(0,MIN(C69-D69,AQ69))</f>
        <v/>
      </c>
      <c r="F69" s="152">
        <f>C69-D69-E69</f>
        <v/>
      </c>
      <c r="G69" s="152">
        <f>IF(J68&lt;=0.005,0,J68*(1+G$6))</f>
        <v/>
      </c>
      <c r="H69" s="152">
        <f>MIN(G69,G$7)</f>
        <v/>
      </c>
      <c r="I69" s="152">
        <f>MAX(0,MIN(G69-H69,AQ69-(E69)))</f>
        <v/>
      </c>
      <c r="J69" s="152">
        <f>G69-H69-I69</f>
        <v/>
      </c>
      <c r="K69" s="152">
        <f>IF(N68&lt;=0.005,0,N68*(1+K$6))</f>
        <v/>
      </c>
      <c r="L69" s="152">
        <f>MIN(K69,K$7)</f>
        <v/>
      </c>
      <c r="M69" s="152">
        <f>MAX(0,MIN(K69-L69,AQ69-(E69+I69)))</f>
        <v/>
      </c>
      <c r="N69" s="152">
        <f>K69-L69-M69</f>
        <v/>
      </c>
      <c r="O69" s="152">
        <f>IF(R68&lt;=0.005,0,R68*(1+O$6))</f>
        <v/>
      </c>
      <c r="P69" s="152">
        <f>MIN(O69,O$7)</f>
        <v/>
      </c>
      <c r="Q69" s="152">
        <f>MAX(0,MIN(O69-P69,AQ69-(E69+I69+M69)))</f>
        <v/>
      </c>
      <c r="R69" s="152">
        <f>O69-P69-Q69</f>
        <v/>
      </c>
      <c r="S69" s="152">
        <f>IF(V68&lt;=0.005,0,V68*(1+S$6))</f>
        <v/>
      </c>
      <c r="T69" s="152">
        <f>MIN(S69,S$7)</f>
        <v/>
      </c>
      <c r="U69" s="152">
        <f>MAX(0,MIN(S69-T69,AQ69-(E69+I69+M69+Q69)))</f>
        <v/>
      </c>
      <c r="V69" s="152">
        <f>S69-T69-U69</f>
        <v/>
      </c>
      <c r="W69" s="152">
        <f>IF(Z68&lt;=0.005,0,Z68*(1+W$6))</f>
        <v/>
      </c>
      <c r="X69" s="152">
        <f>MIN(W69,W$7)</f>
        <v/>
      </c>
      <c r="Y69" s="152">
        <f>MAX(0,MIN(W69-X69,AQ69-(E69+I69+M69+Q69+U69)))</f>
        <v/>
      </c>
      <c r="Z69" s="152">
        <f>W69-X69-Y69</f>
        <v/>
      </c>
      <c r="AA69" s="152">
        <f>IF(AD68&lt;=0.005,0,AD68*(1+AA$6))</f>
        <v/>
      </c>
      <c r="AB69" s="152">
        <f>MIN(AA69,AA$7)</f>
        <v/>
      </c>
      <c r="AC69" s="152">
        <f>MAX(0,MIN(AA69-AB69,AQ69-(E69+I69+M69+Q69+U69+Y69)))</f>
        <v/>
      </c>
      <c r="AD69" s="152">
        <f>AA69-AB69-AC69</f>
        <v/>
      </c>
      <c r="AE69" s="152">
        <f>IF(AH68&lt;=0.005,0,AH68*(1+AE$6))</f>
        <v/>
      </c>
      <c r="AF69" s="152">
        <f>MIN(AE69,AE$7)</f>
        <v/>
      </c>
      <c r="AG69" s="152">
        <f>MAX(0,MIN(AE69-AF69,AQ69-(E69+I69+M69+Q69+U69+Y69+AC69)))</f>
        <v/>
      </c>
      <c r="AH69" s="152">
        <f>AE69-AF69-AG69</f>
        <v/>
      </c>
      <c r="AI69" s="152">
        <f>IF(AL68&lt;=0.005,0,AL68*(1+AI$6))</f>
        <v/>
      </c>
      <c r="AJ69" s="152">
        <f>MIN(AI69,AI$7)</f>
        <v/>
      </c>
      <c r="AK69" s="152">
        <f>MAX(0,MIN(AI69-AJ69,AQ69-(E69+I69+M69+Q69+U69+Y69+AC69+AG69)))</f>
        <v/>
      </c>
      <c r="AL69" s="152">
        <f>AI69-AJ69-AK69</f>
        <v/>
      </c>
      <c r="AM69" s="152">
        <f>IF(AP68&lt;=0.005,0,AP68*(1+AM$6))</f>
        <v/>
      </c>
      <c r="AN69" s="152">
        <f>MIN(AM69,AM$7)</f>
        <v/>
      </c>
      <c r="AO69" s="152">
        <f>MAX(0,MIN(AM69-AN69,AQ69-(E69+I69+M69+Q69+U69+Y69+AC69+AG69+AK69)))</f>
        <v/>
      </c>
      <c r="AP69" s="152">
        <f>AM69-AN69-AO69</f>
        <v/>
      </c>
      <c r="AQ69" s="152">
        <f>'Debt Payoff'!$C$8-SUM(D69,H69,L69,P69,T69,X69,AB69,AF69,AJ69,AN69)</f>
        <v/>
      </c>
      <c r="AR69" s="152">
        <f>SUM(D69,H69,L69,P69,T69,X69,AB69,AF69,AJ69,AN69)+SUM(E69,I69,M69,Q69,U69,Y69,AC69,AG69,AK69,AO69)</f>
        <v/>
      </c>
      <c r="AS69" s="152">
        <f>SUM(F69,J69,N69,R69,V69,Z69,AD69,AH69,AL69,AP69)</f>
        <v/>
      </c>
      <c r="AT69" s="152">
        <f>IF(B69&gt;AS$6,NA(),B69)</f>
        <v/>
      </c>
      <c r="AU69" s="152">
        <f>IF(B69&gt;AS$6,NA(),AS69)</f>
        <v/>
      </c>
      <c r="AV69" s="152" t="n"/>
      <c r="AW69" s="152" t="n">
        <v>58</v>
      </c>
      <c r="AX69" s="152">
        <f>IF(BA68&lt;=0.005,0,BA68*(1+AX$6))</f>
        <v/>
      </c>
      <c r="AY69" s="152">
        <f>MIN(AX69,AX$7)</f>
        <v/>
      </c>
      <c r="AZ69" s="152">
        <f>MAX(0,MIN(AX69-AY69,CL69))</f>
        <v/>
      </c>
      <c r="BA69" s="152">
        <f>AX69-AY69-AZ69</f>
        <v/>
      </c>
      <c r="BB69" s="152">
        <f>IF(BE68&lt;=0.005,0,BE68*(1+BB$6))</f>
        <v/>
      </c>
      <c r="BC69" s="152">
        <f>MIN(BB69,BB$7)</f>
        <v/>
      </c>
      <c r="BD69" s="152">
        <f>MAX(0,MIN(BB69-BC69,CL69-(AZ69)))</f>
        <v/>
      </c>
      <c r="BE69" s="152">
        <f>BB69-BC69-BD69</f>
        <v/>
      </c>
      <c r="BF69" s="152">
        <f>IF(BI68&lt;=0.005,0,BI68*(1+BF$6))</f>
        <v/>
      </c>
      <c r="BG69" s="152">
        <f>MIN(BF69,BF$7)</f>
        <v/>
      </c>
      <c r="BH69" s="152">
        <f>MAX(0,MIN(BF69-BG69,CL69-(AZ69+BD69)))</f>
        <v/>
      </c>
      <c r="BI69" s="152">
        <f>BF69-BG69-BH69</f>
        <v/>
      </c>
      <c r="BJ69" s="152">
        <f>IF(BM68&lt;=0.005,0,BM68*(1+BJ$6))</f>
        <v/>
      </c>
      <c r="BK69" s="152">
        <f>MIN(BJ69,BJ$7)</f>
        <v/>
      </c>
      <c r="BL69" s="152">
        <f>MAX(0,MIN(BJ69-BK69,CL69-(AZ69+BD69+BH69)))</f>
        <v/>
      </c>
      <c r="BM69" s="152">
        <f>BJ69-BK69-BL69</f>
        <v/>
      </c>
      <c r="BN69" s="152">
        <f>IF(BQ68&lt;=0.005,0,BQ68*(1+BN$6))</f>
        <v/>
      </c>
      <c r="BO69" s="152">
        <f>MIN(BN69,BN$7)</f>
        <v/>
      </c>
      <c r="BP69" s="152">
        <f>MAX(0,MIN(BN69-BO69,CL69-(AZ69+BD69+BH69+BL69)))</f>
        <v/>
      </c>
      <c r="BQ69" s="152">
        <f>BN69-BO69-BP69</f>
        <v/>
      </c>
      <c r="BR69" s="152">
        <f>IF(BU68&lt;=0.005,0,BU68*(1+BR$6))</f>
        <v/>
      </c>
      <c r="BS69" s="152">
        <f>MIN(BR69,BR$7)</f>
        <v/>
      </c>
      <c r="BT69" s="152">
        <f>MAX(0,MIN(BR69-BS69,CL69-(AZ69+BD69+BH69+BL69+BP69)))</f>
        <v/>
      </c>
      <c r="BU69" s="152">
        <f>BR69-BS69-BT69</f>
        <v/>
      </c>
      <c r="BV69" s="152">
        <f>IF(BY68&lt;=0.005,0,BY68*(1+BV$6))</f>
        <v/>
      </c>
      <c r="BW69" s="152">
        <f>MIN(BV69,BV$7)</f>
        <v/>
      </c>
      <c r="BX69" s="152">
        <f>MAX(0,MIN(BV69-BW69,CL69-(AZ69+BD69+BH69+BL69+BP69+BT69)))</f>
        <v/>
      </c>
      <c r="BY69" s="152">
        <f>BV69-BW69-BX69</f>
        <v/>
      </c>
      <c r="BZ69" s="152">
        <f>IF(CC68&lt;=0.005,0,CC68*(1+BZ$6))</f>
        <v/>
      </c>
      <c r="CA69" s="152">
        <f>MIN(BZ69,BZ$7)</f>
        <v/>
      </c>
      <c r="CB69" s="152">
        <f>MAX(0,MIN(BZ69-CA69,CL69-(AZ69+BD69+BH69+BL69+BP69+BT69+BX69)))</f>
        <v/>
      </c>
      <c r="CC69" s="152">
        <f>BZ69-CA69-CB69</f>
        <v/>
      </c>
      <c r="CD69" s="152">
        <f>IF(CG68&lt;=0.005,0,CG68*(1+CD$6))</f>
        <v/>
      </c>
      <c r="CE69" s="152">
        <f>MIN(CD69,CD$7)</f>
        <v/>
      </c>
      <c r="CF69" s="152">
        <f>MAX(0,MIN(CD69-CE69,CL69-(AZ69+BD69+BH69+BL69+BP69+BT69+BX69+CB69)))</f>
        <v/>
      </c>
      <c r="CG69" s="152">
        <f>CD69-CE69-CF69</f>
        <v/>
      </c>
      <c r="CH69" s="152">
        <f>IF(CK68&lt;=0.005,0,CK68*(1+CH$6))</f>
        <v/>
      </c>
      <c r="CI69" s="152">
        <f>MIN(CH69,CH$7)</f>
        <v/>
      </c>
      <c r="CJ69" s="152">
        <f>MAX(0,MIN(CH69-CI69,CL69-(AZ69+BD69+BH69+BL69+BP69+BT69+BX69+CB69+CF69)))</f>
        <v/>
      </c>
      <c r="CK69" s="152">
        <f>CH69-CI69-CJ69</f>
        <v/>
      </c>
      <c r="CL69" s="152">
        <f>'Debt Payoff'!$C$8-SUM(AY69,BC69,BG69,BK69,BO69,BS69,BW69,CA69,CE69,CI69)</f>
        <v/>
      </c>
      <c r="CM69" s="152">
        <f>SUM(AY69,BC69,BG69,BK69,BO69,BS69,BW69,CA69,CE69,CI69)+SUM(AZ69,BD69,BH69,BL69,BP69,BT69,BX69,CB69,CF69,CJ69)</f>
        <v/>
      </c>
      <c r="CN69" s="152">
        <f>SUM(BA69,BE69,BI69,BM69,BQ69,BU69,BY69,CC69,CG69,CK69)</f>
        <v/>
      </c>
      <c r="CO69" s="152">
        <f>IF(AW69&gt;CN$6,NA(),AW69)</f>
        <v/>
      </c>
      <c r="CP69" s="152">
        <f>IF(AW69&gt;CN$6,NA(),CN69)</f>
        <v/>
      </c>
    </row>
    <row r="70">
      <c r="B70" s="152" t="n">
        <v>59</v>
      </c>
      <c r="C70" s="152">
        <f>IF(F69&lt;=0.005,0,F69*(1+C$6))</f>
        <v/>
      </c>
      <c r="D70" s="152">
        <f>MIN(C70,C$7)</f>
        <v/>
      </c>
      <c r="E70" s="152">
        <f>MAX(0,MIN(C70-D70,AQ70))</f>
        <v/>
      </c>
      <c r="F70" s="152">
        <f>C70-D70-E70</f>
        <v/>
      </c>
      <c r="G70" s="152">
        <f>IF(J69&lt;=0.005,0,J69*(1+G$6))</f>
        <v/>
      </c>
      <c r="H70" s="152">
        <f>MIN(G70,G$7)</f>
        <v/>
      </c>
      <c r="I70" s="152">
        <f>MAX(0,MIN(G70-H70,AQ70-(E70)))</f>
        <v/>
      </c>
      <c r="J70" s="152">
        <f>G70-H70-I70</f>
        <v/>
      </c>
      <c r="K70" s="152">
        <f>IF(N69&lt;=0.005,0,N69*(1+K$6))</f>
        <v/>
      </c>
      <c r="L70" s="152">
        <f>MIN(K70,K$7)</f>
        <v/>
      </c>
      <c r="M70" s="152">
        <f>MAX(0,MIN(K70-L70,AQ70-(E70+I70)))</f>
        <v/>
      </c>
      <c r="N70" s="152">
        <f>K70-L70-M70</f>
        <v/>
      </c>
      <c r="O70" s="152">
        <f>IF(R69&lt;=0.005,0,R69*(1+O$6))</f>
        <v/>
      </c>
      <c r="P70" s="152">
        <f>MIN(O70,O$7)</f>
        <v/>
      </c>
      <c r="Q70" s="152">
        <f>MAX(0,MIN(O70-P70,AQ70-(E70+I70+M70)))</f>
        <v/>
      </c>
      <c r="R70" s="152">
        <f>O70-P70-Q70</f>
        <v/>
      </c>
      <c r="S70" s="152">
        <f>IF(V69&lt;=0.005,0,V69*(1+S$6))</f>
        <v/>
      </c>
      <c r="T70" s="152">
        <f>MIN(S70,S$7)</f>
        <v/>
      </c>
      <c r="U70" s="152">
        <f>MAX(0,MIN(S70-T70,AQ70-(E70+I70+M70+Q70)))</f>
        <v/>
      </c>
      <c r="V70" s="152">
        <f>S70-T70-U70</f>
        <v/>
      </c>
      <c r="W70" s="152">
        <f>IF(Z69&lt;=0.005,0,Z69*(1+W$6))</f>
        <v/>
      </c>
      <c r="X70" s="152">
        <f>MIN(W70,W$7)</f>
        <v/>
      </c>
      <c r="Y70" s="152">
        <f>MAX(0,MIN(W70-X70,AQ70-(E70+I70+M70+Q70+U70)))</f>
        <v/>
      </c>
      <c r="Z70" s="152">
        <f>W70-X70-Y70</f>
        <v/>
      </c>
      <c r="AA70" s="152">
        <f>IF(AD69&lt;=0.005,0,AD69*(1+AA$6))</f>
        <v/>
      </c>
      <c r="AB70" s="152">
        <f>MIN(AA70,AA$7)</f>
        <v/>
      </c>
      <c r="AC70" s="152">
        <f>MAX(0,MIN(AA70-AB70,AQ70-(E70+I70+M70+Q70+U70+Y70)))</f>
        <v/>
      </c>
      <c r="AD70" s="152">
        <f>AA70-AB70-AC70</f>
        <v/>
      </c>
      <c r="AE70" s="152">
        <f>IF(AH69&lt;=0.005,0,AH69*(1+AE$6))</f>
        <v/>
      </c>
      <c r="AF70" s="152">
        <f>MIN(AE70,AE$7)</f>
        <v/>
      </c>
      <c r="AG70" s="152">
        <f>MAX(0,MIN(AE70-AF70,AQ70-(E70+I70+M70+Q70+U70+Y70+AC70)))</f>
        <v/>
      </c>
      <c r="AH70" s="152">
        <f>AE70-AF70-AG70</f>
        <v/>
      </c>
      <c r="AI70" s="152">
        <f>IF(AL69&lt;=0.005,0,AL69*(1+AI$6))</f>
        <v/>
      </c>
      <c r="AJ70" s="152">
        <f>MIN(AI70,AI$7)</f>
        <v/>
      </c>
      <c r="AK70" s="152">
        <f>MAX(0,MIN(AI70-AJ70,AQ70-(E70+I70+M70+Q70+U70+Y70+AC70+AG70)))</f>
        <v/>
      </c>
      <c r="AL70" s="152">
        <f>AI70-AJ70-AK70</f>
        <v/>
      </c>
      <c r="AM70" s="152">
        <f>IF(AP69&lt;=0.005,0,AP69*(1+AM$6))</f>
        <v/>
      </c>
      <c r="AN70" s="152">
        <f>MIN(AM70,AM$7)</f>
        <v/>
      </c>
      <c r="AO70" s="152">
        <f>MAX(0,MIN(AM70-AN70,AQ70-(E70+I70+M70+Q70+U70+Y70+AC70+AG70+AK70)))</f>
        <v/>
      </c>
      <c r="AP70" s="152">
        <f>AM70-AN70-AO70</f>
        <v/>
      </c>
      <c r="AQ70" s="152">
        <f>'Debt Payoff'!$C$8-SUM(D70,H70,L70,P70,T70,X70,AB70,AF70,AJ70,AN70)</f>
        <v/>
      </c>
      <c r="AR70" s="152">
        <f>SUM(D70,H70,L70,P70,T70,X70,AB70,AF70,AJ70,AN70)+SUM(E70,I70,M70,Q70,U70,Y70,AC70,AG70,AK70,AO70)</f>
        <v/>
      </c>
      <c r="AS70" s="152">
        <f>SUM(F70,J70,N70,R70,V70,Z70,AD70,AH70,AL70,AP70)</f>
        <v/>
      </c>
      <c r="AT70" s="152">
        <f>IF(B70&gt;AS$6,NA(),B70)</f>
        <v/>
      </c>
      <c r="AU70" s="152">
        <f>IF(B70&gt;AS$6,NA(),AS70)</f>
        <v/>
      </c>
      <c r="AV70" s="152" t="n"/>
      <c r="AW70" s="152" t="n">
        <v>59</v>
      </c>
      <c r="AX70" s="152">
        <f>IF(BA69&lt;=0.005,0,BA69*(1+AX$6))</f>
        <v/>
      </c>
      <c r="AY70" s="152">
        <f>MIN(AX70,AX$7)</f>
        <v/>
      </c>
      <c r="AZ70" s="152">
        <f>MAX(0,MIN(AX70-AY70,CL70))</f>
        <v/>
      </c>
      <c r="BA70" s="152">
        <f>AX70-AY70-AZ70</f>
        <v/>
      </c>
      <c r="BB70" s="152">
        <f>IF(BE69&lt;=0.005,0,BE69*(1+BB$6))</f>
        <v/>
      </c>
      <c r="BC70" s="152">
        <f>MIN(BB70,BB$7)</f>
        <v/>
      </c>
      <c r="BD70" s="152">
        <f>MAX(0,MIN(BB70-BC70,CL70-(AZ70)))</f>
        <v/>
      </c>
      <c r="BE70" s="152">
        <f>BB70-BC70-BD70</f>
        <v/>
      </c>
      <c r="BF70" s="152">
        <f>IF(BI69&lt;=0.005,0,BI69*(1+BF$6))</f>
        <v/>
      </c>
      <c r="BG70" s="152">
        <f>MIN(BF70,BF$7)</f>
        <v/>
      </c>
      <c r="BH70" s="152">
        <f>MAX(0,MIN(BF70-BG70,CL70-(AZ70+BD70)))</f>
        <v/>
      </c>
      <c r="BI70" s="152">
        <f>BF70-BG70-BH70</f>
        <v/>
      </c>
      <c r="BJ70" s="152">
        <f>IF(BM69&lt;=0.005,0,BM69*(1+BJ$6))</f>
        <v/>
      </c>
      <c r="BK70" s="152">
        <f>MIN(BJ70,BJ$7)</f>
        <v/>
      </c>
      <c r="BL70" s="152">
        <f>MAX(0,MIN(BJ70-BK70,CL70-(AZ70+BD70+BH70)))</f>
        <v/>
      </c>
      <c r="BM70" s="152">
        <f>BJ70-BK70-BL70</f>
        <v/>
      </c>
      <c r="BN70" s="152">
        <f>IF(BQ69&lt;=0.005,0,BQ69*(1+BN$6))</f>
        <v/>
      </c>
      <c r="BO70" s="152">
        <f>MIN(BN70,BN$7)</f>
        <v/>
      </c>
      <c r="BP70" s="152">
        <f>MAX(0,MIN(BN70-BO70,CL70-(AZ70+BD70+BH70+BL70)))</f>
        <v/>
      </c>
      <c r="BQ70" s="152">
        <f>BN70-BO70-BP70</f>
        <v/>
      </c>
      <c r="BR70" s="152">
        <f>IF(BU69&lt;=0.005,0,BU69*(1+BR$6))</f>
        <v/>
      </c>
      <c r="BS70" s="152">
        <f>MIN(BR70,BR$7)</f>
        <v/>
      </c>
      <c r="BT70" s="152">
        <f>MAX(0,MIN(BR70-BS70,CL70-(AZ70+BD70+BH70+BL70+BP70)))</f>
        <v/>
      </c>
      <c r="BU70" s="152">
        <f>BR70-BS70-BT70</f>
        <v/>
      </c>
      <c r="BV70" s="152">
        <f>IF(BY69&lt;=0.005,0,BY69*(1+BV$6))</f>
        <v/>
      </c>
      <c r="BW70" s="152">
        <f>MIN(BV70,BV$7)</f>
        <v/>
      </c>
      <c r="BX70" s="152">
        <f>MAX(0,MIN(BV70-BW70,CL70-(AZ70+BD70+BH70+BL70+BP70+BT70)))</f>
        <v/>
      </c>
      <c r="BY70" s="152">
        <f>BV70-BW70-BX70</f>
        <v/>
      </c>
      <c r="BZ70" s="152">
        <f>IF(CC69&lt;=0.005,0,CC69*(1+BZ$6))</f>
        <v/>
      </c>
      <c r="CA70" s="152">
        <f>MIN(BZ70,BZ$7)</f>
        <v/>
      </c>
      <c r="CB70" s="152">
        <f>MAX(0,MIN(BZ70-CA70,CL70-(AZ70+BD70+BH70+BL70+BP70+BT70+BX70)))</f>
        <v/>
      </c>
      <c r="CC70" s="152">
        <f>BZ70-CA70-CB70</f>
        <v/>
      </c>
      <c r="CD70" s="152">
        <f>IF(CG69&lt;=0.005,0,CG69*(1+CD$6))</f>
        <v/>
      </c>
      <c r="CE70" s="152">
        <f>MIN(CD70,CD$7)</f>
        <v/>
      </c>
      <c r="CF70" s="152">
        <f>MAX(0,MIN(CD70-CE70,CL70-(AZ70+BD70+BH70+BL70+BP70+BT70+BX70+CB70)))</f>
        <v/>
      </c>
      <c r="CG70" s="152">
        <f>CD70-CE70-CF70</f>
        <v/>
      </c>
      <c r="CH70" s="152">
        <f>IF(CK69&lt;=0.005,0,CK69*(1+CH$6))</f>
        <v/>
      </c>
      <c r="CI70" s="152">
        <f>MIN(CH70,CH$7)</f>
        <v/>
      </c>
      <c r="CJ70" s="152">
        <f>MAX(0,MIN(CH70-CI70,CL70-(AZ70+BD70+BH70+BL70+BP70+BT70+BX70+CB70+CF70)))</f>
        <v/>
      </c>
      <c r="CK70" s="152">
        <f>CH70-CI70-CJ70</f>
        <v/>
      </c>
      <c r="CL70" s="152">
        <f>'Debt Payoff'!$C$8-SUM(AY70,BC70,BG70,BK70,BO70,BS70,BW70,CA70,CE70,CI70)</f>
        <v/>
      </c>
      <c r="CM70" s="152">
        <f>SUM(AY70,BC70,BG70,BK70,BO70,BS70,BW70,CA70,CE70,CI70)+SUM(AZ70,BD70,BH70,BL70,BP70,BT70,BX70,CB70,CF70,CJ70)</f>
        <v/>
      </c>
      <c r="CN70" s="152">
        <f>SUM(BA70,BE70,BI70,BM70,BQ70,BU70,BY70,CC70,CG70,CK70)</f>
        <v/>
      </c>
      <c r="CO70" s="152">
        <f>IF(AW70&gt;CN$6,NA(),AW70)</f>
        <v/>
      </c>
      <c r="CP70" s="152">
        <f>IF(AW70&gt;CN$6,NA(),CN70)</f>
        <v/>
      </c>
    </row>
    <row r="71">
      <c r="B71" s="152" t="n">
        <v>60</v>
      </c>
      <c r="C71" s="152">
        <f>IF(F70&lt;=0.005,0,F70*(1+C$6))</f>
        <v/>
      </c>
      <c r="D71" s="152">
        <f>MIN(C71,C$7)</f>
        <v/>
      </c>
      <c r="E71" s="152">
        <f>MAX(0,MIN(C71-D71,AQ71))</f>
        <v/>
      </c>
      <c r="F71" s="152">
        <f>C71-D71-E71</f>
        <v/>
      </c>
      <c r="G71" s="152">
        <f>IF(J70&lt;=0.005,0,J70*(1+G$6))</f>
        <v/>
      </c>
      <c r="H71" s="152">
        <f>MIN(G71,G$7)</f>
        <v/>
      </c>
      <c r="I71" s="152">
        <f>MAX(0,MIN(G71-H71,AQ71-(E71)))</f>
        <v/>
      </c>
      <c r="J71" s="152">
        <f>G71-H71-I71</f>
        <v/>
      </c>
      <c r="K71" s="152">
        <f>IF(N70&lt;=0.005,0,N70*(1+K$6))</f>
        <v/>
      </c>
      <c r="L71" s="152">
        <f>MIN(K71,K$7)</f>
        <v/>
      </c>
      <c r="M71" s="152">
        <f>MAX(0,MIN(K71-L71,AQ71-(E71+I71)))</f>
        <v/>
      </c>
      <c r="N71" s="152">
        <f>K71-L71-M71</f>
        <v/>
      </c>
      <c r="O71" s="152">
        <f>IF(R70&lt;=0.005,0,R70*(1+O$6))</f>
        <v/>
      </c>
      <c r="P71" s="152">
        <f>MIN(O71,O$7)</f>
        <v/>
      </c>
      <c r="Q71" s="152">
        <f>MAX(0,MIN(O71-P71,AQ71-(E71+I71+M71)))</f>
        <v/>
      </c>
      <c r="R71" s="152">
        <f>O71-P71-Q71</f>
        <v/>
      </c>
      <c r="S71" s="152">
        <f>IF(V70&lt;=0.005,0,V70*(1+S$6))</f>
        <v/>
      </c>
      <c r="T71" s="152">
        <f>MIN(S71,S$7)</f>
        <v/>
      </c>
      <c r="U71" s="152">
        <f>MAX(0,MIN(S71-T71,AQ71-(E71+I71+M71+Q71)))</f>
        <v/>
      </c>
      <c r="V71" s="152">
        <f>S71-T71-U71</f>
        <v/>
      </c>
      <c r="W71" s="152">
        <f>IF(Z70&lt;=0.005,0,Z70*(1+W$6))</f>
        <v/>
      </c>
      <c r="X71" s="152">
        <f>MIN(W71,W$7)</f>
        <v/>
      </c>
      <c r="Y71" s="152">
        <f>MAX(0,MIN(W71-X71,AQ71-(E71+I71+M71+Q71+U71)))</f>
        <v/>
      </c>
      <c r="Z71" s="152">
        <f>W71-X71-Y71</f>
        <v/>
      </c>
      <c r="AA71" s="152">
        <f>IF(AD70&lt;=0.005,0,AD70*(1+AA$6))</f>
        <v/>
      </c>
      <c r="AB71" s="152">
        <f>MIN(AA71,AA$7)</f>
        <v/>
      </c>
      <c r="AC71" s="152">
        <f>MAX(0,MIN(AA71-AB71,AQ71-(E71+I71+M71+Q71+U71+Y71)))</f>
        <v/>
      </c>
      <c r="AD71" s="152">
        <f>AA71-AB71-AC71</f>
        <v/>
      </c>
      <c r="AE71" s="152">
        <f>IF(AH70&lt;=0.005,0,AH70*(1+AE$6))</f>
        <v/>
      </c>
      <c r="AF71" s="152">
        <f>MIN(AE71,AE$7)</f>
        <v/>
      </c>
      <c r="AG71" s="152">
        <f>MAX(0,MIN(AE71-AF71,AQ71-(E71+I71+M71+Q71+U71+Y71+AC71)))</f>
        <v/>
      </c>
      <c r="AH71" s="152">
        <f>AE71-AF71-AG71</f>
        <v/>
      </c>
      <c r="AI71" s="152">
        <f>IF(AL70&lt;=0.005,0,AL70*(1+AI$6))</f>
        <v/>
      </c>
      <c r="AJ71" s="152">
        <f>MIN(AI71,AI$7)</f>
        <v/>
      </c>
      <c r="AK71" s="152">
        <f>MAX(0,MIN(AI71-AJ71,AQ71-(E71+I71+M71+Q71+U71+Y71+AC71+AG71)))</f>
        <v/>
      </c>
      <c r="AL71" s="152">
        <f>AI71-AJ71-AK71</f>
        <v/>
      </c>
      <c r="AM71" s="152">
        <f>IF(AP70&lt;=0.005,0,AP70*(1+AM$6))</f>
        <v/>
      </c>
      <c r="AN71" s="152">
        <f>MIN(AM71,AM$7)</f>
        <v/>
      </c>
      <c r="AO71" s="152">
        <f>MAX(0,MIN(AM71-AN71,AQ71-(E71+I71+M71+Q71+U71+Y71+AC71+AG71+AK71)))</f>
        <v/>
      </c>
      <c r="AP71" s="152">
        <f>AM71-AN71-AO71</f>
        <v/>
      </c>
      <c r="AQ71" s="152">
        <f>'Debt Payoff'!$C$8-SUM(D71,H71,L71,P71,T71,X71,AB71,AF71,AJ71,AN71)</f>
        <v/>
      </c>
      <c r="AR71" s="152">
        <f>SUM(D71,H71,L71,P71,T71,X71,AB71,AF71,AJ71,AN71)+SUM(E71,I71,M71,Q71,U71,Y71,AC71,AG71,AK71,AO71)</f>
        <v/>
      </c>
      <c r="AS71" s="152">
        <f>SUM(F71,J71,N71,R71,V71,Z71,AD71,AH71,AL71,AP71)</f>
        <v/>
      </c>
      <c r="AT71" s="152">
        <f>IF(B71&gt;AS$6,NA(),B71)</f>
        <v/>
      </c>
      <c r="AU71" s="152">
        <f>IF(B71&gt;AS$6,NA(),AS71)</f>
        <v/>
      </c>
      <c r="AV71" s="152" t="n"/>
      <c r="AW71" s="152" t="n">
        <v>60</v>
      </c>
      <c r="AX71" s="152">
        <f>IF(BA70&lt;=0.005,0,BA70*(1+AX$6))</f>
        <v/>
      </c>
      <c r="AY71" s="152">
        <f>MIN(AX71,AX$7)</f>
        <v/>
      </c>
      <c r="AZ71" s="152">
        <f>MAX(0,MIN(AX71-AY71,CL71))</f>
        <v/>
      </c>
      <c r="BA71" s="152">
        <f>AX71-AY71-AZ71</f>
        <v/>
      </c>
      <c r="BB71" s="152">
        <f>IF(BE70&lt;=0.005,0,BE70*(1+BB$6))</f>
        <v/>
      </c>
      <c r="BC71" s="152">
        <f>MIN(BB71,BB$7)</f>
        <v/>
      </c>
      <c r="BD71" s="152">
        <f>MAX(0,MIN(BB71-BC71,CL71-(AZ71)))</f>
        <v/>
      </c>
      <c r="BE71" s="152">
        <f>BB71-BC71-BD71</f>
        <v/>
      </c>
      <c r="BF71" s="152">
        <f>IF(BI70&lt;=0.005,0,BI70*(1+BF$6))</f>
        <v/>
      </c>
      <c r="BG71" s="152">
        <f>MIN(BF71,BF$7)</f>
        <v/>
      </c>
      <c r="BH71" s="152">
        <f>MAX(0,MIN(BF71-BG71,CL71-(AZ71+BD71)))</f>
        <v/>
      </c>
      <c r="BI71" s="152">
        <f>BF71-BG71-BH71</f>
        <v/>
      </c>
      <c r="BJ71" s="152">
        <f>IF(BM70&lt;=0.005,0,BM70*(1+BJ$6))</f>
        <v/>
      </c>
      <c r="BK71" s="152">
        <f>MIN(BJ71,BJ$7)</f>
        <v/>
      </c>
      <c r="BL71" s="152">
        <f>MAX(0,MIN(BJ71-BK71,CL71-(AZ71+BD71+BH71)))</f>
        <v/>
      </c>
      <c r="BM71" s="152">
        <f>BJ71-BK71-BL71</f>
        <v/>
      </c>
      <c r="BN71" s="152">
        <f>IF(BQ70&lt;=0.005,0,BQ70*(1+BN$6))</f>
        <v/>
      </c>
      <c r="BO71" s="152">
        <f>MIN(BN71,BN$7)</f>
        <v/>
      </c>
      <c r="BP71" s="152">
        <f>MAX(0,MIN(BN71-BO71,CL71-(AZ71+BD71+BH71+BL71)))</f>
        <v/>
      </c>
      <c r="BQ71" s="152">
        <f>BN71-BO71-BP71</f>
        <v/>
      </c>
      <c r="BR71" s="152">
        <f>IF(BU70&lt;=0.005,0,BU70*(1+BR$6))</f>
        <v/>
      </c>
      <c r="BS71" s="152">
        <f>MIN(BR71,BR$7)</f>
        <v/>
      </c>
      <c r="BT71" s="152">
        <f>MAX(0,MIN(BR71-BS71,CL71-(AZ71+BD71+BH71+BL71+BP71)))</f>
        <v/>
      </c>
      <c r="BU71" s="152">
        <f>BR71-BS71-BT71</f>
        <v/>
      </c>
      <c r="BV71" s="152">
        <f>IF(BY70&lt;=0.005,0,BY70*(1+BV$6))</f>
        <v/>
      </c>
      <c r="BW71" s="152">
        <f>MIN(BV71,BV$7)</f>
        <v/>
      </c>
      <c r="BX71" s="152">
        <f>MAX(0,MIN(BV71-BW71,CL71-(AZ71+BD71+BH71+BL71+BP71+BT71)))</f>
        <v/>
      </c>
      <c r="BY71" s="152">
        <f>BV71-BW71-BX71</f>
        <v/>
      </c>
      <c r="BZ71" s="152">
        <f>IF(CC70&lt;=0.005,0,CC70*(1+BZ$6))</f>
        <v/>
      </c>
      <c r="CA71" s="152">
        <f>MIN(BZ71,BZ$7)</f>
        <v/>
      </c>
      <c r="CB71" s="152">
        <f>MAX(0,MIN(BZ71-CA71,CL71-(AZ71+BD71+BH71+BL71+BP71+BT71+BX71)))</f>
        <v/>
      </c>
      <c r="CC71" s="152">
        <f>BZ71-CA71-CB71</f>
        <v/>
      </c>
      <c r="CD71" s="152">
        <f>IF(CG70&lt;=0.005,0,CG70*(1+CD$6))</f>
        <v/>
      </c>
      <c r="CE71" s="152">
        <f>MIN(CD71,CD$7)</f>
        <v/>
      </c>
      <c r="CF71" s="152">
        <f>MAX(0,MIN(CD71-CE71,CL71-(AZ71+BD71+BH71+BL71+BP71+BT71+BX71+CB71)))</f>
        <v/>
      </c>
      <c r="CG71" s="152">
        <f>CD71-CE71-CF71</f>
        <v/>
      </c>
      <c r="CH71" s="152">
        <f>IF(CK70&lt;=0.005,0,CK70*(1+CH$6))</f>
        <v/>
      </c>
      <c r="CI71" s="152">
        <f>MIN(CH71,CH$7)</f>
        <v/>
      </c>
      <c r="CJ71" s="152">
        <f>MAX(0,MIN(CH71-CI71,CL71-(AZ71+BD71+BH71+BL71+BP71+BT71+BX71+CB71+CF71)))</f>
        <v/>
      </c>
      <c r="CK71" s="152">
        <f>CH71-CI71-CJ71</f>
        <v/>
      </c>
      <c r="CL71" s="152">
        <f>'Debt Payoff'!$C$8-SUM(AY71,BC71,BG71,BK71,BO71,BS71,BW71,CA71,CE71,CI71)</f>
        <v/>
      </c>
      <c r="CM71" s="152">
        <f>SUM(AY71,BC71,BG71,BK71,BO71,BS71,BW71,CA71,CE71,CI71)+SUM(AZ71,BD71,BH71,BL71,BP71,BT71,BX71,CB71,CF71,CJ71)</f>
        <v/>
      </c>
      <c r="CN71" s="152">
        <f>SUM(BA71,BE71,BI71,BM71,BQ71,BU71,BY71,CC71,CG71,CK71)</f>
        <v/>
      </c>
      <c r="CO71" s="152">
        <f>IF(AW71&gt;CN$6,NA(),AW71)</f>
        <v/>
      </c>
      <c r="CP71" s="152">
        <f>IF(AW71&gt;CN$6,NA(),CN71)</f>
        <v/>
      </c>
    </row>
    <row r="72">
      <c r="B72" s="152" t="n">
        <v>61</v>
      </c>
      <c r="C72" s="152">
        <f>IF(F71&lt;=0.005,0,F71*(1+C$6))</f>
        <v/>
      </c>
      <c r="D72" s="152">
        <f>MIN(C72,C$7)</f>
        <v/>
      </c>
      <c r="E72" s="152">
        <f>MAX(0,MIN(C72-D72,AQ72))</f>
        <v/>
      </c>
      <c r="F72" s="152">
        <f>C72-D72-E72</f>
        <v/>
      </c>
      <c r="G72" s="152">
        <f>IF(J71&lt;=0.005,0,J71*(1+G$6))</f>
        <v/>
      </c>
      <c r="H72" s="152">
        <f>MIN(G72,G$7)</f>
        <v/>
      </c>
      <c r="I72" s="152">
        <f>MAX(0,MIN(G72-H72,AQ72-(E72)))</f>
        <v/>
      </c>
      <c r="J72" s="152">
        <f>G72-H72-I72</f>
        <v/>
      </c>
      <c r="K72" s="152">
        <f>IF(N71&lt;=0.005,0,N71*(1+K$6))</f>
        <v/>
      </c>
      <c r="L72" s="152">
        <f>MIN(K72,K$7)</f>
        <v/>
      </c>
      <c r="M72" s="152">
        <f>MAX(0,MIN(K72-L72,AQ72-(E72+I72)))</f>
        <v/>
      </c>
      <c r="N72" s="152">
        <f>K72-L72-M72</f>
        <v/>
      </c>
      <c r="O72" s="152">
        <f>IF(R71&lt;=0.005,0,R71*(1+O$6))</f>
        <v/>
      </c>
      <c r="P72" s="152">
        <f>MIN(O72,O$7)</f>
        <v/>
      </c>
      <c r="Q72" s="152">
        <f>MAX(0,MIN(O72-P72,AQ72-(E72+I72+M72)))</f>
        <v/>
      </c>
      <c r="R72" s="152">
        <f>O72-P72-Q72</f>
        <v/>
      </c>
      <c r="S72" s="152">
        <f>IF(V71&lt;=0.005,0,V71*(1+S$6))</f>
        <v/>
      </c>
      <c r="T72" s="152">
        <f>MIN(S72,S$7)</f>
        <v/>
      </c>
      <c r="U72" s="152">
        <f>MAX(0,MIN(S72-T72,AQ72-(E72+I72+M72+Q72)))</f>
        <v/>
      </c>
      <c r="V72" s="152">
        <f>S72-T72-U72</f>
        <v/>
      </c>
      <c r="W72" s="152">
        <f>IF(Z71&lt;=0.005,0,Z71*(1+W$6))</f>
        <v/>
      </c>
      <c r="X72" s="152">
        <f>MIN(W72,W$7)</f>
        <v/>
      </c>
      <c r="Y72" s="152">
        <f>MAX(0,MIN(W72-X72,AQ72-(E72+I72+M72+Q72+U72)))</f>
        <v/>
      </c>
      <c r="Z72" s="152">
        <f>W72-X72-Y72</f>
        <v/>
      </c>
      <c r="AA72" s="152">
        <f>IF(AD71&lt;=0.005,0,AD71*(1+AA$6))</f>
        <v/>
      </c>
      <c r="AB72" s="152">
        <f>MIN(AA72,AA$7)</f>
        <v/>
      </c>
      <c r="AC72" s="152">
        <f>MAX(0,MIN(AA72-AB72,AQ72-(E72+I72+M72+Q72+U72+Y72)))</f>
        <v/>
      </c>
      <c r="AD72" s="152">
        <f>AA72-AB72-AC72</f>
        <v/>
      </c>
      <c r="AE72" s="152">
        <f>IF(AH71&lt;=0.005,0,AH71*(1+AE$6))</f>
        <v/>
      </c>
      <c r="AF72" s="152">
        <f>MIN(AE72,AE$7)</f>
        <v/>
      </c>
      <c r="AG72" s="152">
        <f>MAX(0,MIN(AE72-AF72,AQ72-(E72+I72+M72+Q72+U72+Y72+AC72)))</f>
        <v/>
      </c>
      <c r="AH72" s="152">
        <f>AE72-AF72-AG72</f>
        <v/>
      </c>
      <c r="AI72" s="152">
        <f>IF(AL71&lt;=0.005,0,AL71*(1+AI$6))</f>
        <v/>
      </c>
      <c r="AJ72" s="152">
        <f>MIN(AI72,AI$7)</f>
        <v/>
      </c>
      <c r="AK72" s="152">
        <f>MAX(0,MIN(AI72-AJ72,AQ72-(E72+I72+M72+Q72+U72+Y72+AC72+AG72)))</f>
        <v/>
      </c>
      <c r="AL72" s="152">
        <f>AI72-AJ72-AK72</f>
        <v/>
      </c>
      <c r="AM72" s="152">
        <f>IF(AP71&lt;=0.005,0,AP71*(1+AM$6))</f>
        <v/>
      </c>
      <c r="AN72" s="152">
        <f>MIN(AM72,AM$7)</f>
        <v/>
      </c>
      <c r="AO72" s="152">
        <f>MAX(0,MIN(AM72-AN72,AQ72-(E72+I72+M72+Q72+U72+Y72+AC72+AG72+AK72)))</f>
        <v/>
      </c>
      <c r="AP72" s="152">
        <f>AM72-AN72-AO72</f>
        <v/>
      </c>
      <c r="AQ72" s="152">
        <f>'Debt Payoff'!$C$8-SUM(D72,H72,L72,P72,T72,X72,AB72,AF72,AJ72,AN72)</f>
        <v/>
      </c>
      <c r="AR72" s="152">
        <f>SUM(D72,H72,L72,P72,T72,X72,AB72,AF72,AJ72,AN72)+SUM(E72,I72,M72,Q72,U72,Y72,AC72,AG72,AK72,AO72)</f>
        <v/>
      </c>
      <c r="AS72" s="152">
        <f>SUM(F72,J72,N72,R72,V72,Z72,AD72,AH72,AL72,AP72)</f>
        <v/>
      </c>
      <c r="AT72" s="152">
        <f>IF(B72&gt;AS$6,NA(),B72)</f>
        <v/>
      </c>
      <c r="AU72" s="152">
        <f>IF(B72&gt;AS$6,NA(),AS72)</f>
        <v/>
      </c>
      <c r="AV72" s="152" t="n"/>
      <c r="AW72" s="152" t="n">
        <v>61</v>
      </c>
      <c r="AX72" s="152">
        <f>IF(BA71&lt;=0.005,0,BA71*(1+AX$6))</f>
        <v/>
      </c>
      <c r="AY72" s="152">
        <f>MIN(AX72,AX$7)</f>
        <v/>
      </c>
      <c r="AZ72" s="152">
        <f>MAX(0,MIN(AX72-AY72,CL72))</f>
        <v/>
      </c>
      <c r="BA72" s="152">
        <f>AX72-AY72-AZ72</f>
        <v/>
      </c>
      <c r="BB72" s="152">
        <f>IF(BE71&lt;=0.005,0,BE71*(1+BB$6))</f>
        <v/>
      </c>
      <c r="BC72" s="152">
        <f>MIN(BB72,BB$7)</f>
        <v/>
      </c>
      <c r="BD72" s="152">
        <f>MAX(0,MIN(BB72-BC72,CL72-(AZ72)))</f>
        <v/>
      </c>
      <c r="BE72" s="152">
        <f>BB72-BC72-BD72</f>
        <v/>
      </c>
      <c r="BF72" s="152">
        <f>IF(BI71&lt;=0.005,0,BI71*(1+BF$6))</f>
        <v/>
      </c>
      <c r="BG72" s="152">
        <f>MIN(BF72,BF$7)</f>
        <v/>
      </c>
      <c r="BH72" s="152">
        <f>MAX(0,MIN(BF72-BG72,CL72-(AZ72+BD72)))</f>
        <v/>
      </c>
      <c r="BI72" s="152">
        <f>BF72-BG72-BH72</f>
        <v/>
      </c>
      <c r="BJ72" s="152">
        <f>IF(BM71&lt;=0.005,0,BM71*(1+BJ$6))</f>
        <v/>
      </c>
      <c r="BK72" s="152">
        <f>MIN(BJ72,BJ$7)</f>
        <v/>
      </c>
      <c r="BL72" s="152">
        <f>MAX(0,MIN(BJ72-BK72,CL72-(AZ72+BD72+BH72)))</f>
        <v/>
      </c>
      <c r="BM72" s="152">
        <f>BJ72-BK72-BL72</f>
        <v/>
      </c>
      <c r="BN72" s="152">
        <f>IF(BQ71&lt;=0.005,0,BQ71*(1+BN$6))</f>
        <v/>
      </c>
      <c r="BO72" s="152">
        <f>MIN(BN72,BN$7)</f>
        <v/>
      </c>
      <c r="BP72" s="152">
        <f>MAX(0,MIN(BN72-BO72,CL72-(AZ72+BD72+BH72+BL72)))</f>
        <v/>
      </c>
      <c r="BQ72" s="152">
        <f>BN72-BO72-BP72</f>
        <v/>
      </c>
      <c r="BR72" s="152">
        <f>IF(BU71&lt;=0.005,0,BU71*(1+BR$6))</f>
        <v/>
      </c>
      <c r="BS72" s="152">
        <f>MIN(BR72,BR$7)</f>
        <v/>
      </c>
      <c r="BT72" s="152">
        <f>MAX(0,MIN(BR72-BS72,CL72-(AZ72+BD72+BH72+BL72+BP72)))</f>
        <v/>
      </c>
      <c r="BU72" s="152">
        <f>BR72-BS72-BT72</f>
        <v/>
      </c>
      <c r="BV72" s="152">
        <f>IF(BY71&lt;=0.005,0,BY71*(1+BV$6))</f>
        <v/>
      </c>
      <c r="BW72" s="152">
        <f>MIN(BV72,BV$7)</f>
        <v/>
      </c>
      <c r="BX72" s="152">
        <f>MAX(0,MIN(BV72-BW72,CL72-(AZ72+BD72+BH72+BL72+BP72+BT72)))</f>
        <v/>
      </c>
      <c r="BY72" s="152">
        <f>BV72-BW72-BX72</f>
        <v/>
      </c>
      <c r="BZ72" s="152">
        <f>IF(CC71&lt;=0.005,0,CC71*(1+BZ$6))</f>
        <v/>
      </c>
      <c r="CA72" s="152">
        <f>MIN(BZ72,BZ$7)</f>
        <v/>
      </c>
      <c r="CB72" s="152">
        <f>MAX(0,MIN(BZ72-CA72,CL72-(AZ72+BD72+BH72+BL72+BP72+BT72+BX72)))</f>
        <v/>
      </c>
      <c r="CC72" s="152">
        <f>BZ72-CA72-CB72</f>
        <v/>
      </c>
      <c r="CD72" s="152">
        <f>IF(CG71&lt;=0.005,0,CG71*(1+CD$6))</f>
        <v/>
      </c>
      <c r="CE72" s="152">
        <f>MIN(CD72,CD$7)</f>
        <v/>
      </c>
      <c r="CF72" s="152">
        <f>MAX(0,MIN(CD72-CE72,CL72-(AZ72+BD72+BH72+BL72+BP72+BT72+BX72+CB72)))</f>
        <v/>
      </c>
      <c r="CG72" s="152">
        <f>CD72-CE72-CF72</f>
        <v/>
      </c>
      <c r="CH72" s="152">
        <f>IF(CK71&lt;=0.005,0,CK71*(1+CH$6))</f>
        <v/>
      </c>
      <c r="CI72" s="152">
        <f>MIN(CH72,CH$7)</f>
        <v/>
      </c>
      <c r="CJ72" s="152">
        <f>MAX(0,MIN(CH72-CI72,CL72-(AZ72+BD72+BH72+BL72+BP72+BT72+BX72+CB72+CF72)))</f>
        <v/>
      </c>
      <c r="CK72" s="152">
        <f>CH72-CI72-CJ72</f>
        <v/>
      </c>
      <c r="CL72" s="152">
        <f>'Debt Payoff'!$C$8-SUM(AY72,BC72,BG72,BK72,BO72,BS72,BW72,CA72,CE72,CI72)</f>
        <v/>
      </c>
      <c r="CM72" s="152">
        <f>SUM(AY72,BC72,BG72,BK72,BO72,BS72,BW72,CA72,CE72,CI72)+SUM(AZ72,BD72,BH72,BL72,BP72,BT72,BX72,CB72,CF72,CJ72)</f>
        <v/>
      </c>
      <c r="CN72" s="152">
        <f>SUM(BA72,BE72,BI72,BM72,BQ72,BU72,BY72,CC72,CG72,CK72)</f>
        <v/>
      </c>
      <c r="CO72" s="152">
        <f>IF(AW72&gt;CN$6,NA(),AW72)</f>
        <v/>
      </c>
      <c r="CP72" s="152">
        <f>IF(AW72&gt;CN$6,NA(),CN72)</f>
        <v/>
      </c>
    </row>
    <row r="73">
      <c r="B73" s="152" t="n">
        <v>62</v>
      </c>
      <c r="C73" s="152">
        <f>IF(F72&lt;=0.005,0,F72*(1+C$6))</f>
        <v/>
      </c>
      <c r="D73" s="152">
        <f>MIN(C73,C$7)</f>
        <v/>
      </c>
      <c r="E73" s="152">
        <f>MAX(0,MIN(C73-D73,AQ73))</f>
        <v/>
      </c>
      <c r="F73" s="152">
        <f>C73-D73-E73</f>
        <v/>
      </c>
      <c r="G73" s="152">
        <f>IF(J72&lt;=0.005,0,J72*(1+G$6))</f>
        <v/>
      </c>
      <c r="H73" s="152">
        <f>MIN(G73,G$7)</f>
        <v/>
      </c>
      <c r="I73" s="152">
        <f>MAX(0,MIN(G73-H73,AQ73-(E73)))</f>
        <v/>
      </c>
      <c r="J73" s="152">
        <f>G73-H73-I73</f>
        <v/>
      </c>
      <c r="K73" s="152">
        <f>IF(N72&lt;=0.005,0,N72*(1+K$6))</f>
        <v/>
      </c>
      <c r="L73" s="152">
        <f>MIN(K73,K$7)</f>
        <v/>
      </c>
      <c r="M73" s="152">
        <f>MAX(0,MIN(K73-L73,AQ73-(E73+I73)))</f>
        <v/>
      </c>
      <c r="N73" s="152">
        <f>K73-L73-M73</f>
        <v/>
      </c>
      <c r="O73" s="152">
        <f>IF(R72&lt;=0.005,0,R72*(1+O$6))</f>
        <v/>
      </c>
      <c r="P73" s="152">
        <f>MIN(O73,O$7)</f>
        <v/>
      </c>
      <c r="Q73" s="152">
        <f>MAX(0,MIN(O73-P73,AQ73-(E73+I73+M73)))</f>
        <v/>
      </c>
      <c r="R73" s="152">
        <f>O73-P73-Q73</f>
        <v/>
      </c>
      <c r="S73" s="152">
        <f>IF(V72&lt;=0.005,0,V72*(1+S$6))</f>
        <v/>
      </c>
      <c r="T73" s="152">
        <f>MIN(S73,S$7)</f>
        <v/>
      </c>
      <c r="U73" s="152">
        <f>MAX(0,MIN(S73-T73,AQ73-(E73+I73+M73+Q73)))</f>
        <v/>
      </c>
      <c r="V73" s="152">
        <f>S73-T73-U73</f>
        <v/>
      </c>
      <c r="W73" s="152">
        <f>IF(Z72&lt;=0.005,0,Z72*(1+W$6))</f>
        <v/>
      </c>
      <c r="X73" s="152">
        <f>MIN(W73,W$7)</f>
        <v/>
      </c>
      <c r="Y73" s="152">
        <f>MAX(0,MIN(W73-X73,AQ73-(E73+I73+M73+Q73+U73)))</f>
        <v/>
      </c>
      <c r="Z73" s="152">
        <f>W73-X73-Y73</f>
        <v/>
      </c>
      <c r="AA73" s="152">
        <f>IF(AD72&lt;=0.005,0,AD72*(1+AA$6))</f>
        <v/>
      </c>
      <c r="AB73" s="152">
        <f>MIN(AA73,AA$7)</f>
        <v/>
      </c>
      <c r="AC73" s="152">
        <f>MAX(0,MIN(AA73-AB73,AQ73-(E73+I73+M73+Q73+U73+Y73)))</f>
        <v/>
      </c>
      <c r="AD73" s="152">
        <f>AA73-AB73-AC73</f>
        <v/>
      </c>
      <c r="AE73" s="152">
        <f>IF(AH72&lt;=0.005,0,AH72*(1+AE$6))</f>
        <v/>
      </c>
      <c r="AF73" s="152">
        <f>MIN(AE73,AE$7)</f>
        <v/>
      </c>
      <c r="AG73" s="152">
        <f>MAX(0,MIN(AE73-AF73,AQ73-(E73+I73+M73+Q73+U73+Y73+AC73)))</f>
        <v/>
      </c>
      <c r="AH73" s="152">
        <f>AE73-AF73-AG73</f>
        <v/>
      </c>
      <c r="AI73" s="152">
        <f>IF(AL72&lt;=0.005,0,AL72*(1+AI$6))</f>
        <v/>
      </c>
      <c r="AJ73" s="152">
        <f>MIN(AI73,AI$7)</f>
        <v/>
      </c>
      <c r="AK73" s="152">
        <f>MAX(0,MIN(AI73-AJ73,AQ73-(E73+I73+M73+Q73+U73+Y73+AC73+AG73)))</f>
        <v/>
      </c>
      <c r="AL73" s="152">
        <f>AI73-AJ73-AK73</f>
        <v/>
      </c>
      <c r="AM73" s="152">
        <f>IF(AP72&lt;=0.005,0,AP72*(1+AM$6))</f>
        <v/>
      </c>
      <c r="AN73" s="152">
        <f>MIN(AM73,AM$7)</f>
        <v/>
      </c>
      <c r="AO73" s="152">
        <f>MAX(0,MIN(AM73-AN73,AQ73-(E73+I73+M73+Q73+U73+Y73+AC73+AG73+AK73)))</f>
        <v/>
      </c>
      <c r="AP73" s="152">
        <f>AM73-AN73-AO73</f>
        <v/>
      </c>
      <c r="AQ73" s="152">
        <f>'Debt Payoff'!$C$8-SUM(D73,H73,L73,P73,T73,X73,AB73,AF73,AJ73,AN73)</f>
        <v/>
      </c>
      <c r="AR73" s="152">
        <f>SUM(D73,H73,L73,P73,T73,X73,AB73,AF73,AJ73,AN73)+SUM(E73,I73,M73,Q73,U73,Y73,AC73,AG73,AK73,AO73)</f>
        <v/>
      </c>
      <c r="AS73" s="152">
        <f>SUM(F73,J73,N73,R73,V73,Z73,AD73,AH73,AL73,AP73)</f>
        <v/>
      </c>
      <c r="AT73" s="152">
        <f>IF(B73&gt;AS$6,NA(),B73)</f>
        <v/>
      </c>
      <c r="AU73" s="152">
        <f>IF(B73&gt;AS$6,NA(),AS73)</f>
        <v/>
      </c>
      <c r="AV73" s="152" t="n"/>
      <c r="AW73" s="152" t="n">
        <v>62</v>
      </c>
      <c r="AX73" s="152">
        <f>IF(BA72&lt;=0.005,0,BA72*(1+AX$6))</f>
        <v/>
      </c>
      <c r="AY73" s="152">
        <f>MIN(AX73,AX$7)</f>
        <v/>
      </c>
      <c r="AZ73" s="152">
        <f>MAX(0,MIN(AX73-AY73,CL73))</f>
        <v/>
      </c>
      <c r="BA73" s="152">
        <f>AX73-AY73-AZ73</f>
        <v/>
      </c>
      <c r="BB73" s="152">
        <f>IF(BE72&lt;=0.005,0,BE72*(1+BB$6))</f>
        <v/>
      </c>
      <c r="BC73" s="152">
        <f>MIN(BB73,BB$7)</f>
        <v/>
      </c>
      <c r="BD73" s="152">
        <f>MAX(0,MIN(BB73-BC73,CL73-(AZ73)))</f>
        <v/>
      </c>
      <c r="BE73" s="152">
        <f>BB73-BC73-BD73</f>
        <v/>
      </c>
      <c r="BF73" s="152">
        <f>IF(BI72&lt;=0.005,0,BI72*(1+BF$6))</f>
        <v/>
      </c>
      <c r="BG73" s="152">
        <f>MIN(BF73,BF$7)</f>
        <v/>
      </c>
      <c r="BH73" s="152">
        <f>MAX(0,MIN(BF73-BG73,CL73-(AZ73+BD73)))</f>
        <v/>
      </c>
      <c r="BI73" s="152">
        <f>BF73-BG73-BH73</f>
        <v/>
      </c>
      <c r="BJ73" s="152">
        <f>IF(BM72&lt;=0.005,0,BM72*(1+BJ$6))</f>
        <v/>
      </c>
      <c r="BK73" s="152">
        <f>MIN(BJ73,BJ$7)</f>
        <v/>
      </c>
      <c r="BL73" s="152">
        <f>MAX(0,MIN(BJ73-BK73,CL73-(AZ73+BD73+BH73)))</f>
        <v/>
      </c>
      <c r="BM73" s="152">
        <f>BJ73-BK73-BL73</f>
        <v/>
      </c>
      <c r="BN73" s="152">
        <f>IF(BQ72&lt;=0.005,0,BQ72*(1+BN$6))</f>
        <v/>
      </c>
      <c r="BO73" s="152">
        <f>MIN(BN73,BN$7)</f>
        <v/>
      </c>
      <c r="BP73" s="152">
        <f>MAX(0,MIN(BN73-BO73,CL73-(AZ73+BD73+BH73+BL73)))</f>
        <v/>
      </c>
      <c r="BQ73" s="152">
        <f>BN73-BO73-BP73</f>
        <v/>
      </c>
      <c r="BR73" s="152">
        <f>IF(BU72&lt;=0.005,0,BU72*(1+BR$6))</f>
        <v/>
      </c>
      <c r="BS73" s="152">
        <f>MIN(BR73,BR$7)</f>
        <v/>
      </c>
      <c r="BT73" s="152">
        <f>MAX(0,MIN(BR73-BS73,CL73-(AZ73+BD73+BH73+BL73+BP73)))</f>
        <v/>
      </c>
      <c r="BU73" s="152">
        <f>BR73-BS73-BT73</f>
        <v/>
      </c>
      <c r="BV73" s="152">
        <f>IF(BY72&lt;=0.005,0,BY72*(1+BV$6))</f>
        <v/>
      </c>
      <c r="BW73" s="152">
        <f>MIN(BV73,BV$7)</f>
        <v/>
      </c>
      <c r="BX73" s="152">
        <f>MAX(0,MIN(BV73-BW73,CL73-(AZ73+BD73+BH73+BL73+BP73+BT73)))</f>
        <v/>
      </c>
      <c r="BY73" s="152">
        <f>BV73-BW73-BX73</f>
        <v/>
      </c>
      <c r="BZ73" s="152">
        <f>IF(CC72&lt;=0.005,0,CC72*(1+BZ$6))</f>
        <v/>
      </c>
      <c r="CA73" s="152">
        <f>MIN(BZ73,BZ$7)</f>
        <v/>
      </c>
      <c r="CB73" s="152">
        <f>MAX(0,MIN(BZ73-CA73,CL73-(AZ73+BD73+BH73+BL73+BP73+BT73+BX73)))</f>
        <v/>
      </c>
      <c r="CC73" s="152">
        <f>BZ73-CA73-CB73</f>
        <v/>
      </c>
      <c r="CD73" s="152">
        <f>IF(CG72&lt;=0.005,0,CG72*(1+CD$6))</f>
        <v/>
      </c>
      <c r="CE73" s="152">
        <f>MIN(CD73,CD$7)</f>
        <v/>
      </c>
      <c r="CF73" s="152">
        <f>MAX(0,MIN(CD73-CE73,CL73-(AZ73+BD73+BH73+BL73+BP73+BT73+BX73+CB73)))</f>
        <v/>
      </c>
      <c r="CG73" s="152">
        <f>CD73-CE73-CF73</f>
        <v/>
      </c>
      <c r="CH73" s="152">
        <f>IF(CK72&lt;=0.005,0,CK72*(1+CH$6))</f>
        <v/>
      </c>
      <c r="CI73" s="152">
        <f>MIN(CH73,CH$7)</f>
        <v/>
      </c>
      <c r="CJ73" s="152">
        <f>MAX(0,MIN(CH73-CI73,CL73-(AZ73+BD73+BH73+BL73+BP73+BT73+BX73+CB73+CF73)))</f>
        <v/>
      </c>
      <c r="CK73" s="152">
        <f>CH73-CI73-CJ73</f>
        <v/>
      </c>
      <c r="CL73" s="152">
        <f>'Debt Payoff'!$C$8-SUM(AY73,BC73,BG73,BK73,BO73,BS73,BW73,CA73,CE73,CI73)</f>
        <v/>
      </c>
      <c r="CM73" s="152">
        <f>SUM(AY73,BC73,BG73,BK73,BO73,BS73,BW73,CA73,CE73,CI73)+SUM(AZ73,BD73,BH73,BL73,BP73,BT73,BX73,CB73,CF73,CJ73)</f>
        <v/>
      </c>
      <c r="CN73" s="152">
        <f>SUM(BA73,BE73,BI73,BM73,BQ73,BU73,BY73,CC73,CG73,CK73)</f>
        <v/>
      </c>
      <c r="CO73" s="152">
        <f>IF(AW73&gt;CN$6,NA(),AW73)</f>
        <v/>
      </c>
      <c r="CP73" s="152">
        <f>IF(AW73&gt;CN$6,NA(),CN73)</f>
        <v/>
      </c>
    </row>
    <row r="74">
      <c r="B74" s="152" t="n">
        <v>63</v>
      </c>
      <c r="C74" s="152">
        <f>IF(F73&lt;=0.005,0,F73*(1+C$6))</f>
        <v/>
      </c>
      <c r="D74" s="152">
        <f>MIN(C74,C$7)</f>
        <v/>
      </c>
      <c r="E74" s="152">
        <f>MAX(0,MIN(C74-D74,AQ74))</f>
        <v/>
      </c>
      <c r="F74" s="152">
        <f>C74-D74-E74</f>
        <v/>
      </c>
      <c r="G74" s="152">
        <f>IF(J73&lt;=0.005,0,J73*(1+G$6))</f>
        <v/>
      </c>
      <c r="H74" s="152">
        <f>MIN(G74,G$7)</f>
        <v/>
      </c>
      <c r="I74" s="152">
        <f>MAX(0,MIN(G74-H74,AQ74-(E74)))</f>
        <v/>
      </c>
      <c r="J74" s="152">
        <f>G74-H74-I74</f>
        <v/>
      </c>
      <c r="K74" s="152">
        <f>IF(N73&lt;=0.005,0,N73*(1+K$6))</f>
        <v/>
      </c>
      <c r="L74" s="152">
        <f>MIN(K74,K$7)</f>
        <v/>
      </c>
      <c r="M74" s="152">
        <f>MAX(0,MIN(K74-L74,AQ74-(E74+I74)))</f>
        <v/>
      </c>
      <c r="N74" s="152">
        <f>K74-L74-M74</f>
        <v/>
      </c>
      <c r="O74" s="152">
        <f>IF(R73&lt;=0.005,0,R73*(1+O$6))</f>
        <v/>
      </c>
      <c r="P74" s="152">
        <f>MIN(O74,O$7)</f>
        <v/>
      </c>
      <c r="Q74" s="152">
        <f>MAX(0,MIN(O74-P74,AQ74-(E74+I74+M74)))</f>
        <v/>
      </c>
      <c r="R74" s="152">
        <f>O74-P74-Q74</f>
        <v/>
      </c>
      <c r="S74" s="152">
        <f>IF(V73&lt;=0.005,0,V73*(1+S$6))</f>
        <v/>
      </c>
      <c r="T74" s="152">
        <f>MIN(S74,S$7)</f>
        <v/>
      </c>
      <c r="U74" s="152">
        <f>MAX(0,MIN(S74-T74,AQ74-(E74+I74+M74+Q74)))</f>
        <v/>
      </c>
      <c r="V74" s="152">
        <f>S74-T74-U74</f>
        <v/>
      </c>
      <c r="W74" s="152">
        <f>IF(Z73&lt;=0.005,0,Z73*(1+W$6))</f>
        <v/>
      </c>
      <c r="X74" s="152">
        <f>MIN(W74,W$7)</f>
        <v/>
      </c>
      <c r="Y74" s="152">
        <f>MAX(0,MIN(W74-X74,AQ74-(E74+I74+M74+Q74+U74)))</f>
        <v/>
      </c>
      <c r="Z74" s="152">
        <f>W74-X74-Y74</f>
        <v/>
      </c>
      <c r="AA74" s="152">
        <f>IF(AD73&lt;=0.005,0,AD73*(1+AA$6))</f>
        <v/>
      </c>
      <c r="AB74" s="152">
        <f>MIN(AA74,AA$7)</f>
        <v/>
      </c>
      <c r="AC74" s="152">
        <f>MAX(0,MIN(AA74-AB74,AQ74-(E74+I74+M74+Q74+U74+Y74)))</f>
        <v/>
      </c>
      <c r="AD74" s="152">
        <f>AA74-AB74-AC74</f>
        <v/>
      </c>
      <c r="AE74" s="152">
        <f>IF(AH73&lt;=0.005,0,AH73*(1+AE$6))</f>
        <v/>
      </c>
      <c r="AF74" s="152">
        <f>MIN(AE74,AE$7)</f>
        <v/>
      </c>
      <c r="AG74" s="152">
        <f>MAX(0,MIN(AE74-AF74,AQ74-(E74+I74+M74+Q74+U74+Y74+AC74)))</f>
        <v/>
      </c>
      <c r="AH74" s="152">
        <f>AE74-AF74-AG74</f>
        <v/>
      </c>
      <c r="AI74" s="152">
        <f>IF(AL73&lt;=0.005,0,AL73*(1+AI$6))</f>
        <v/>
      </c>
      <c r="AJ74" s="152">
        <f>MIN(AI74,AI$7)</f>
        <v/>
      </c>
      <c r="AK74" s="152">
        <f>MAX(0,MIN(AI74-AJ74,AQ74-(E74+I74+M74+Q74+U74+Y74+AC74+AG74)))</f>
        <v/>
      </c>
      <c r="AL74" s="152">
        <f>AI74-AJ74-AK74</f>
        <v/>
      </c>
      <c r="AM74" s="152">
        <f>IF(AP73&lt;=0.005,0,AP73*(1+AM$6))</f>
        <v/>
      </c>
      <c r="AN74" s="152">
        <f>MIN(AM74,AM$7)</f>
        <v/>
      </c>
      <c r="AO74" s="152">
        <f>MAX(0,MIN(AM74-AN74,AQ74-(E74+I74+M74+Q74+U74+Y74+AC74+AG74+AK74)))</f>
        <v/>
      </c>
      <c r="AP74" s="152">
        <f>AM74-AN74-AO74</f>
        <v/>
      </c>
      <c r="AQ74" s="152">
        <f>'Debt Payoff'!$C$8-SUM(D74,H74,L74,P74,T74,X74,AB74,AF74,AJ74,AN74)</f>
        <v/>
      </c>
      <c r="AR74" s="152">
        <f>SUM(D74,H74,L74,P74,T74,X74,AB74,AF74,AJ74,AN74)+SUM(E74,I74,M74,Q74,U74,Y74,AC74,AG74,AK74,AO74)</f>
        <v/>
      </c>
      <c r="AS74" s="152">
        <f>SUM(F74,J74,N74,R74,V74,Z74,AD74,AH74,AL74,AP74)</f>
        <v/>
      </c>
      <c r="AT74" s="152">
        <f>IF(B74&gt;AS$6,NA(),B74)</f>
        <v/>
      </c>
      <c r="AU74" s="152">
        <f>IF(B74&gt;AS$6,NA(),AS74)</f>
        <v/>
      </c>
      <c r="AV74" s="152" t="n"/>
      <c r="AW74" s="152" t="n">
        <v>63</v>
      </c>
      <c r="AX74" s="152">
        <f>IF(BA73&lt;=0.005,0,BA73*(1+AX$6))</f>
        <v/>
      </c>
      <c r="AY74" s="152">
        <f>MIN(AX74,AX$7)</f>
        <v/>
      </c>
      <c r="AZ74" s="152">
        <f>MAX(0,MIN(AX74-AY74,CL74))</f>
        <v/>
      </c>
      <c r="BA74" s="152">
        <f>AX74-AY74-AZ74</f>
        <v/>
      </c>
      <c r="BB74" s="152">
        <f>IF(BE73&lt;=0.005,0,BE73*(1+BB$6))</f>
        <v/>
      </c>
      <c r="BC74" s="152">
        <f>MIN(BB74,BB$7)</f>
        <v/>
      </c>
      <c r="BD74" s="152">
        <f>MAX(0,MIN(BB74-BC74,CL74-(AZ74)))</f>
        <v/>
      </c>
      <c r="BE74" s="152">
        <f>BB74-BC74-BD74</f>
        <v/>
      </c>
      <c r="BF74" s="152">
        <f>IF(BI73&lt;=0.005,0,BI73*(1+BF$6))</f>
        <v/>
      </c>
      <c r="BG74" s="152">
        <f>MIN(BF74,BF$7)</f>
        <v/>
      </c>
      <c r="BH74" s="152">
        <f>MAX(0,MIN(BF74-BG74,CL74-(AZ74+BD74)))</f>
        <v/>
      </c>
      <c r="BI74" s="152">
        <f>BF74-BG74-BH74</f>
        <v/>
      </c>
      <c r="BJ74" s="152">
        <f>IF(BM73&lt;=0.005,0,BM73*(1+BJ$6))</f>
        <v/>
      </c>
      <c r="BK74" s="152">
        <f>MIN(BJ74,BJ$7)</f>
        <v/>
      </c>
      <c r="BL74" s="152">
        <f>MAX(0,MIN(BJ74-BK74,CL74-(AZ74+BD74+BH74)))</f>
        <v/>
      </c>
      <c r="BM74" s="152">
        <f>BJ74-BK74-BL74</f>
        <v/>
      </c>
      <c r="BN74" s="152">
        <f>IF(BQ73&lt;=0.005,0,BQ73*(1+BN$6))</f>
        <v/>
      </c>
      <c r="BO74" s="152">
        <f>MIN(BN74,BN$7)</f>
        <v/>
      </c>
      <c r="BP74" s="152">
        <f>MAX(0,MIN(BN74-BO74,CL74-(AZ74+BD74+BH74+BL74)))</f>
        <v/>
      </c>
      <c r="BQ74" s="152">
        <f>BN74-BO74-BP74</f>
        <v/>
      </c>
      <c r="BR74" s="152">
        <f>IF(BU73&lt;=0.005,0,BU73*(1+BR$6))</f>
        <v/>
      </c>
      <c r="BS74" s="152">
        <f>MIN(BR74,BR$7)</f>
        <v/>
      </c>
      <c r="BT74" s="152">
        <f>MAX(0,MIN(BR74-BS74,CL74-(AZ74+BD74+BH74+BL74+BP74)))</f>
        <v/>
      </c>
      <c r="BU74" s="152">
        <f>BR74-BS74-BT74</f>
        <v/>
      </c>
      <c r="BV74" s="152">
        <f>IF(BY73&lt;=0.005,0,BY73*(1+BV$6))</f>
        <v/>
      </c>
      <c r="BW74" s="152">
        <f>MIN(BV74,BV$7)</f>
        <v/>
      </c>
      <c r="BX74" s="152">
        <f>MAX(0,MIN(BV74-BW74,CL74-(AZ74+BD74+BH74+BL74+BP74+BT74)))</f>
        <v/>
      </c>
      <c r="BY74" s="152">
        <f>BV74-BW74-BX74</f>
        <v/>
      </c>
      <c r="BZ74" s="152">
        <f>IF(CC73&lt;=0.005,0,CC73*(1+BZ$6))</f>
        <v/>
      </c>
      <c r="CA74" s="152">
        <f>MIN(BZ74,BZ$7)</f>
        <v/>
      </c>
      <c r="CB74" s="152">
        <f>MAX(0,MIN(BZ74-CA74,CL74-(AZ74+BD74+BH74+BL74+BP74+BT74+BX74)))</f>
        <v/>
      </c>
      <c r="CC74" s="152">
        <f>BZ74-CA74-CB74</f>
        <v/>
      </c>
      <c r="CD74" s="152">
        <f>IF(CG73&lt;=0.005,0,CG73*(1+CD$6))</f>
        <v/>
      </c>
      <c r="CE74" s="152">
        <f>MIN(CD74,CD$7)</f>
        <v/>
      </c>
      <c r="CF74" s="152">
        <f>MAX(0,MIN(CD74-CE74,CL74-(AZ74+BD74+BH74+BL74+BP74+BT74+BX74+CB74)))</f>
        <v/>
      </c>
      <c r="CG74" s="152">
        <f>CD74-CE74-CF74</f>
        <v/>
      </c>
      <c r="CH74" s="152">
        <f>IF(CK73&lt;=0.005,0,CK73*(1+CH$6))</f>
        <v/>
      </c>
      <c r="CI74" s="152">
        <f>MIN(CH74,CH$7)</f>
        <v/>
      </c>
      <c r="CJ74" s="152">
        <f>MAX(0,MIN(CH74-CI74,CL74-(AZ74+BD74+BH74+BL74+BP74+BT74+BX74+CB74+CF74)))</f>
        <v/>
      </c>
      <c r="CK74" s="152">
        <f>CH74-CI74-CJ74</f>
        <v/>
      </c>
      <c r="CL74" s="152">
        <f>'Debt Payoff'!$C$8-SUM(AY74,BC74,BG74,BK74,BO74,BS74,BW74,CA74,CE74,CI74)</f>
        <v/>
      </c>
      <c r="CM74" s="152">
        <f>SUM(AY74,BC74,BG74,BK74,BO74,BS74,BW74,CA74,CE74,CI74)+SUM(AZ74,BD74,BH74,BL74,BP74,BT74,BX74,CB74,CF74,CJ74)</f>
        <v/>
      </c>
      <c r="CN74" s="152">
        <f>SUM(BA74,BE74,BI74,BM74,BQ74,BU74,BY74,CC74,CG74,CK74)</f>
        <v/>
      </c>
      <c r="CO74" s="152">
        <f>IF(AW74&gt;CN$6,NA(),AW74)</f>
        <v/>
      </c>
      <c r="CP74" s="152">
        <f>IF(AW74&gt;CN$6,NA(),CN74)</f>
        <v/>
      </c>
    </row>
    <row r="75">
      <c r="B75" s="152" t="n">
        <v>64</v>
      </c>
      <c r="C75" s="152">
        <f>IF(F74&lt;=0.005,0,F74*(1+C$6))</f>
        <v/>
      </c>
      <c r="D75" s="152">
        <f>MIN(C75,C$7)</f>
        <v/>
      </c>
      <c r="E75" s="152">
        <f>MAX(0,MIN(C75-D75,AQ75))</f>
        <v/>
      </c>
      <c r="F75" s="152">
        <f>C75-D75-E75</f>
        <v/>
      </c>
      <c r="G75" s="152">
        <f>IF(J74&lt;=0.005,0,J74*(1+G$6))</f>
        <v/>
      </c>
      <c r="H75" s="152">
        <f>MIN(G75,G$7)</f>
        <v/>
      </c>
      <c r="I75" s="152">
        <f>MAX(0,MIN(G75-H75,AQ75-(E75)))</f>
        <v/>
      </c>
      <c r="J75" s="152">
        <f>G75-H75-I75</f>
        <v/>
      </c>
      <c r="K75" s="152">
        <f>IF(N74&lt;=0.005,0,N74*(1+K$6))</f>
        <v/>
      </c>
      <c r="L75" s="152">
        <f>MIN(K75,K$7)</f>
        <v/>
      </c>
      <c r="M75" s="152">
        <f>MAX(0,MIN(K75-L75,AQ75-(E75+I75)))</f>
        <v/>
      </c>
      <c r="N75" s="152">
        <f>K75-L75-M75</f>
        <v/>
      </c>
      <c r="O75" s="152">
        <f>IF(R74&lt;=0.005,0,R74*(1+O$6))</f>
        <v/>
      </c>
      <c r="P75" s="152">
        <f>MIN(O75,O$7)</f>
        <v/>
      </c>
      <c r="Q75" s="152">
        <f>MAX(0,MIN(O75-P75,AQ75-(E75+I75+M75)))</f>
        <v/>
      </c>
      <c r="R75" s="152">
        <f>O75-P75-Q75</f>
        <v/>
      </c>
      <c r="S75" s="152">
        <f>IF(V74&lt;=0.005,0,V74*(1+S$6))</f>
        <v/>
      </c>
      <c r="T75" s="152">
        <f>MIN(S75,S$7)</f>
        <v/>
      </c>
      <c r="U75" s="152">
        <f>MAX(0,MIN(S75-T75,AQ75-(E75+I75+M75+Q75)))</f>
        <v/>
      </c>
      <c r="V75" s="152">
        <f>S75-T75-U75</f>
        <v/>
      </c>
      <c r="W75" s="152">
        <f>IF(Z74&lt;=0.005,0,Z74*(1+W$6))</f>
        <v/>
      </c>
      <c r="X75" s="152">
        <f>MIN(W75,W$7)</f>
        <v/>
      </c>
      <c r="Y75" s="152">
        <f>MAX(0,MIN(W75-X75,AQ75-(E75+I75+M75+Q75+U75)))</f>
        <v/>
      </c>
      <c r="Z75" s="152">
        <f>W75-X75-Y75</f>
        <v/>
      </c>
      <c r="AA75" s="152">
        <f>IF(AD74&lt;=0.005,0,AD74*(1+AA$6))</f>
        <v/>
      </c>
      <c r="AB75" s="152">
        <f>MIN(AA75,AA$7)</f>
        <v/>
      </c>
      <c r="AC75" s="152">
        <f>MAX(0,MIN(AA75-AB75,AQ75-(E75+I75+M75+Q75+U75+Y75)))</f>
        <v/>
      </c>
      <c r="AD75" s="152">
        <f>AA75-AB75-AC75</f>
        <v/>
      </c>
      <c r="AE75" s="152">
        <f>IF(AH74&lt;=0.005,0,AH74*(1+AE$6))</f>
        <v/>
      </c>
      <c r="AF75" s="152">
        <f>MIN(AE75,AE$7)</f>
        <v/>
      </c>
      <c r="AG75" s="152">
        <f>MAX(0,MIN(AE75-AF75,AQ75-(E75+I75+M75+Q75+U75+Y75+AC75)))</f>
        <v/>
      </c>
      <c r="AH75" s="152">
        <f>AE75-AF75-AG75</f>
        <v/>
      </c>
      <c r="AI75" s="152">
        <f>IF(AL74&lt;=0.005,0,AL74*(1+AI$6))</f>
        <v/>
      </c>
      <c r="AJ75" s="152">
        <f>MIN(AI75,AI$7)</f>
        <v/>
      </c>
      <c r="AK75" s="152">
        <f>MAX(0,MIN(AI75-AJ75,AQ75-(E75+I75+M75+Q75+U75+Y75+AC75+AG75)))</f>
        <v/>
      </c>
      <c r="AL75" s="152">
        <f>AI75-AJ75-AK75</f>
        <v/>
      </c>
      <c r="AM75" s="152">
        <f>IF(AP74&lt;=0.005,0,AP74*(1+AM$6))</f>
        <v/>
      </c>
      <c r="AN75" s="152">
        <f>MIN(AM75,AM$7)</f>
        <v/>
      </c>
      <c r="AO75" s="152">
        <f>MAX(0,MIN(AM75-AN75,AQ75-(E75+I75+M75+Q75+U75+Y75+AC75+AG75+AK75)))</f>
        <v/>
      </c>
      <c r="AP75" s="152">
        <f>AM75-AN75-AO75</f>
        <v/>
      </c>
      <c r="AQ75" s="152">
        <f>'Debt Payoff'!$C$8-SUM(D75,H75,L75,P75,T75,X75,AB75,AF75,AJ75,AN75)</f>
        <v/>
      </c>
      <c r="AR75" s="152">
        <f>SUM(D75,H75,L75,P75,T75,X75,AB75,AF75,AJ75,AN75)+SUM(E75,I75,M75,Q75,U75,Y75,AC75,AG75,AK75,AO75)</f>
        <v/>
      </c>
      <c r="AS75" s="152">
        <f>SUM(F75,J75,N75,R75,V75,Z75,AD75,AH75,AL75,AP75)</f>
        <v/>
      </c>
      <c r="AT75" s="152">
        <f>IF(B75&gt;AS$6,NA(),B75)</f>
        <v/>
      </c>
      <c r="AU75" s="152">
        <f>IF(B75&gt;AS$6,NA(),AS75)</f>
        <v/>
      </c>
      <c r="AV75" s="152" t="n"/>
      <c r="AW75" s="152" t="n">
        <v>64</v>
      </c>
      <c r="AX75" s="152">
        <f>IF(BA74&lt;=0.005,0,BA74*(1+AX$6))</f>
        <v/>
      </c>
      <c r="AY75" s="152">
        <f>MIN(AX75,AX$7)</f>
        <v/>
      </c>
      <c r="AZ75" s="152">
        <f>MAX(0,MIN(AX75-AY75,CL75))</f>
        <v/>
      </c>
      <c r="BA75" s="152">
        <f>AX75-AY75-AZ75</f>
        <v/>
      </c>
      <c r="BB75" s="152">
        <f>IF(BE74&lt;=0.005,0,BE74*(1+BB$6))</f>
        <v/>
      </c>
      <c r="BC75" s="152">
        <f>MIN(BB75,BB$7)</f>
        <v/>
      </c>
      <c r="BD75" s="152">
        <f>MAX(0,MIN(BB75-BC75,CL75-(AZ75)))</f>
        <v/>
      </c>
      <c r="BE75" s="152">
        <f>BB75-BC75-BD75</f>
        <v/>
      </c>
      <c r="BF75" s="152">
        <f>IF(BI74&lt;=0.005,0,BI74*(1+BF$6))</f>
        <v/>
      </c>
      <c r="BG75" s="152">
        <f>MIN(BF75,BF$7)</f>
        <v/>
      </c>
      <c r="BH75" s="152">
        <f>MAX(0,MIN(BF75-BG75,CL75-(AZ75+BD75)))</f>
        <v/>
      </c>
      <c r="BI75" s="152">
        <f>BF75-BG75-BH75</f>
        <v/>
      </c>
      <c r="BJ75" s="152">
        <f>IF(BM74&lt;=0.005,0,BM74*(1+BJ$6))</f>
        <v/>
      </c>
      <c r="BK75" s="152">
        <f>MIN(BJ75,BJ$7)</f>
        <v/>
      </c>
      <c r="BL75" s="152">
        <f>MAX(0,MIN(BJ75-BK75,CL75-(AZ75+BD75+BH75)))</f>
        <v/>
      </c>
      <c r="BM75" s="152">
        <f>BJ75-BK75-BL75</f>
        <v/>
      </c>
      <c r="BN75" s="152">
        <f>IF(BQ74&lt;=0.005,0,BQ74*(1+BN$6))</f>
        <v/>
      </c>
      <c r="BO75" s="152">
        <f>MIN(BN75,BN$7)</f>
        <v/>
      </c>
      <c r="BP75" s="152">
        <f>MAX(0,MIN(BN75-BO75,CL75-(AZ75+BD75+BH75+BL75)))</f>
        <v/>
      </c>
      <c r="BQ75" s="152">
        <f>BN75-BO75-BP75</f>
        <v/>
      </c>
      <c r="BR75" s="152">
        <f>IF(BU74&lt;=0.005,0,BU74*(1+BR$6))</f>
        <v/>
      </c>
      <c r="BS75" s="152">
        <f>MIN(BR75,BR$7)</f>
        <v/>
      </c>
      <c r="BT75" s="152">
        <f>MAX(0,MIN(BR75-BS75,CL75-(AZ75+BD75+BH75+BL75+BP75)))</f>
        <v/>
      </c>
      <c r="BU75" s="152">
        <f>BR75-BS75-BT75</f>
        <v/>
      </c>
      <c r="BV75" s="152">
        <f>IF(BY74&lt;=0.005,0,BY74*(1+BV$6))</f>
        <v/>
      </c>
      <c r="BW75" s="152">
        <f>MIN(BV75,BV$7)</f>
        <v/>
      </c>
      <c r="BX75" s="152">
        <f>MAX(0,MIN(BV75-BW75,CL75-(AZ75+BD75+BH75+BL75+BP75+BT75)))</f>
        <v/>
      </c>
      <c r="BY75" s="152">
        <f>BV75-BW75-BX75</f>
        <v/>
      </c>
      <c r="BZ75" s="152">
        <f>IF(CC74&lt;=0.005,0,CC74*(1+BZ$6))</f>
        <v/>
      </c>
      <c r="CA75" s="152">
        <f>MIN(BZ75,BZ$7)</f>
        <v/>
      </c>
      <c r="CB75" s="152">
        <f>MAX(0,MIN(BZ75-CA75,CL75-(AZ75+BD75+BH75+BL75+BP75+BT75+BX75)))</f>
        <v/>
      </c>
      <c r="CC75" s="152">
        <f>BZ75-CA75-CB75</f>
        <v/>
      </c>
      <c r="CD75" s="152">
        <f>IF(CG74&lt;=0.005,0,CG74*(1+CD$6))</f>
        <v/>
      </c>
      <c r="CE75" s="152">
        <f>MIN(CD75,CD$7)</f>
        <v/>
      </c>
      <c r="CF75" s="152">
        <f>MAX(0,MIN(CD75-CE75,CL75-(AZ75+BD75+BH75+BL75+BP75+BT75+BX75+CB75)))</f>
        <v/>
      </c>
      <c r="CG75" s="152">
        <f>CD75-CE75-CF75</f>
        <v/>
      </c>
      <c r="CH75" s="152">
        <f>IF(CK74&lt;=0.005,0,CK74*(1+CH$6))</f>
        <v/>
      </c>
      <c r="CI75" s="152">
        <f>MIN(CH75,CH$7)</f>
        <v/>
      </c>
      <c r="CJ75" s="152">
        <f>MAX(0,MIN(CH75-CI75,CL75-(AZ75+BD75+BH75+BL75+BP75+BT75+BX75+CB75+CF75)))</f>
        <v/>
      </c>
      <c r="CK75" s="152">
        <f>CH75-CI75-CJ75</f>
        <v/>
      </c>
      <c r="CL75" s="152">
        <f>'Debt Payoff'!$C$8-SUM(AY75,BC75,BG75,BK75,BO75,BS75,BW75,CA75,CE75,CI75)</f>
        <v/>
      </c>
      <c r="CM75" s="152">
        <f>SUM(AY75,BC75,BG75,BK75,BO75,BS75,BW75,CA75,CE75,CI75)+SUM(AZ75,BD75,BH75,BL75,BP75,BT75,BX75,CB75,CF75,CJ75)</f>
        <v/>
      </c>
      <c r="CN75" s="152">
        <f>SUM(BA75,BE75,BI75,BM75,BQ75,BU75,BY75,CC75,CG75,CK75)</f>
        <v/>
      </c>
      <c r="CO75" s="152">
        <f>IF(AW75&gt;CN$6,NA(),AW75)</f>
        <v/>
      </c>
      <c r="CP75" s="152">
        <f>IF(AW75&gt;CN$6,NA(),CN75)</f>
        <v/>
      </c>
    </row>
    <row r="76">
      <c r="B76" s="152" t="n">
        <v>65</v>
      </c>
      <c r="C76" s="152">
        <f>IF(F75&lt;=0.005,0,F75*(1+C$6))</f>
        <v/>
      </c>
      <c r="D76" s="152">
        <f>MIN(C76,C$7)</f>
        <v/>
      </c>
      <c r="E76" s="152">
        <f>MAX(0,MIN(C76-D76,AQ76))</f>
        <v/>
      </c>
      <c r="F76" s="152">
        <f>C76-D76-E76</f>
        <v/>
      </c>
      <c r="G76" s="152">
        <f>IF(J75&lt;=0.005,0,J75*(1+G$6))</f>
        <v/>
      </c>
      <c r="H76" s="152">
        <f>MIN(G76,G$7)</f>
        <v/>
      </c>
      <c r="I76" s="152">
        <f>MAX(0,MIN(G76-H76,AQ76-(E76)))</f>
        <v/>
      </c>
      <c r="J76" s="152">
        <f>G76-H76-I76</f>
        <v/>
      </c>
      <c r="K76" s="152">
        <f>IF(N75&lt;=0.005,0,N75*(1+K$6))</f>
        <v/>
      </c>
      <c r="L76" s="152">
        <f>MIN(K76,K$7)</f>
        <v/>
      </c>
      <c r="M76" s="152">
        <f>MAX(0,MIN(K76-L76,AQ76-(E76+I76)))</f>
        <v/>
      </c>
      <c r="N76" s="152">
        <f>K76-L76-M76</f>
        <v/>
      </c>
      <c r="O76" s="152">
        <f>IF(R75&lt;=0.005,0,R75*(1+O$6))</f>
        <v/>
      </c>
      <c r="P76" s="152">
        <f>MIN(O76,O$7)</f>
        <v/>
      </c>
      <c r="Q76" s="152">
        <f>MAX(0,MIN(O76-P76,AQ76-(E76+I76+M76)))</f>
        <v/>
      </c>
      <c r="R76" s="152">
        <f>O76-P76-Q76</f>
        <v/>
      </c>
      <c r="S76" s="152">
        <f>IF(V75&lt;=0.005,0,V75*(1+S$6))</f>
        <v/>
      </c>
      <c r="T76" s="152">
        <f>MIN(S76,S$7)</f>
        <v/>
      </c>
      <c r="U76" s="152">
        <f>MAX(0,MIN(S76-T76,AQ76-(E76+I76+M76+Q76)))</f>
        <v/>
      </c>
      <c r="V76" s="152">
        <f>S76-T76-U76</f>
        <v/>
      </c>
      <c r="W76" s="152">
        <f>IF(Z75&lt;=0.005,0,Z75*(1+W$6))</f>
        <v/>
      </c>
      <c r="X76" s="152">
        <f>MIN(W76,W$7)</f>
        <v/>
      </c>
      <c r="Y76" s="152">
        <f>MAX(0,MIN(W76-X76,AQ76-(E76+I76+M76+Q76+U76)))</f>
        <v/>
      </c>
      <c r="Z76" s="152">
        <f>W76-X76-Y76</f>
        <v/>
      </c>
      <c r="AA76" s="152">
        <f>IF(AD75&lt;=0.005,0,AD75*(1+AA$6))</f>
        <v/>
      </c>
      <c r="AB76" s="152">
        <f>MIN(AA76,AA$7)</f>
        <v/>
      </c>
      <c r="AC76" s="152">
        <f>MAX(0,MIN(AA76-AB76,AQ76-(E76+I76+M76+Q76+U76+Y76)))</f>
        <v/>
      </c>
      <c r="AD76" s="152">
        <f>AA76-AB76-AC76</f>
        <v/>
      </c>
      <c r="AE76" s="152">
        <f>IF(AH75&lt;=0.005,0,AH75*(1+AE$6))</f>
        <v/>
      </c>
      <c r="AF76" s="152">
        <f>MIN(AE76,AE$7)</f>
        <v/>
      </c>
      <c r="AG76" s="152">
        <f>MAX(0,MIN(AE76-AF76,AQ76-(E76+I76+M76+Q76+U76+Y76+AC76)))</f>
        <v/>
      </c>
      <c r="AH76" s="152">
        <f>AE76-AF76-AG76</f>
        <v/>
      </c>
      <c r="AI76" s="152">
        <f>IF(AL75&lt;=0.005,0,AL75*(1+AI$6))</f>
        <v/>
      </c>
      <c r="AJ76" s="152">
        <f>MIN(AI76,AI$7)</f>
        <v/>
      </c>
      <c r="AK76" s="152">
        <f>MAX(0,MIN(AI76-AJ76,AQ76-(E76+I76+M76+Q76+U76+Y76+AC76+AG76)))</f>
        <v/>
      </c>
      <c r="AL76" s="152">
        <f>AI76-AJ76-AK76</f>
        <v/>
      </c>
      <c r="AM76" s="152">
        <f>IF(AP75&lt;=0.005,0,AP75*(1+AM$6))</f>
        <v/>
      </c>
      <c r="AN76" s="152">
        <f>MIN(AM76,AM$7)</f>
        <v/>
      </c>
      <c r="AO76" s="152">
        <f>MAX(0,MIN(AM76-AN76,AQ76-(E76+I76+M76+Q76+U76+Y76+AC76+AG76+AK76)))</f>
        <v/>
      </c>
      <c r="AP76" s="152">
        <f>AM76-AN76-AO76</f>
        <v/>
      </c>
      <c r="AQ76" s="152">
        <f>'Debt Payoff'!$C$8-SUM(D76,H76,L76,P76,T76,X76,AB76,AF76,AJ76,AN76)</f>
        <v/>
      </c>
      <c r="AR76" s="152">
        <f>SUM(D76,H76,L76,P76,T76,X76,AB76,AF76,AJ76,AN76)+SUM(E76,I76,M76,Q76,U76,Y76,AC76,AG76,AK76,AO76)</f>
        <v/>
      </c>
      <c r="AS76" s="152">
        <f>SUM(F76,J76,N76,R76,V76,Z76,AD76,AH76,AL76,AP76)</f>
        <v/>
      </c>
      <c r="AT76" s="152">
        <f>IF(B76&gt;AS$6,NA(),B76)</f>
        <v/>
      </c>
      <c r="AU76" s="152">
        <f>IF(B76&gt;AS$6,NA(),AS76)</f>
        <v/>
      </c>
      <c r="AV76" s="152" t="n"/>
      <c r="AW76" s="152" t="n">
        <v>65</v>
      </c>
      <c r="AX76" s="152">
        <f>IF(BA75&lt;=0.005,0,BA75*(1+AX$6))</f>
        <v/>
      </c>
      <c r="AY76" s="152">
        <f>MIN(AX76,AX$7)</f>
        <v/>
      </c>
      <c r="AZ76" s="152">
        <f>MAX(0,MIN(AX76-AY76,CL76))</f>
        <v/>
      </c>
      <c r="BA76" s="152">
        <f>AX76-AY76-AZ76</f>
        <v/>
      </c>
      <c r="BB76" s="152">
        <f>IF(BE75&lt;=0.005,0,BE75*(1+BB$6))</f>
        <v/>
      </c>
      <c r="BC76" s="152">
        <f>MIN(BB76,BB$7)</f>
        <v/>
      </c>
      <c r="BD76" s="152">
        <f>MAX(0,MIN(BB76-BC76,CL76-(AZ76)))</f>
        <v/>
      </c>
      <c r="BE76" s="152">
        <f>BB76-BC76-BD76</f>
        <v/>
      </c>
      <c r="BF76" s="152">
        <f>IF(BI75&lt;=0.005,0,BI75*(1+BF$6))</f>
        <v/>
      </c>
      <c r="BG76" s="152">
        <f>MIN(BF76,BF$7)</f>
        <v/>
      </c>
      <c r="BH76" s="152">
        <f>MAX(0,MIN(BF76-BG76,CL76-(AZ76+BD76)))</f>
        <v/>
      </c>
      <c r="BI76" s="152">
        <f>BF76-BG76-BH76</f>
        <v/>
      </c>
      <c r="BJ76" s="152">
        <f>IF(BM75&lt;=0.005,0,BM75*(1+BJ$6))</f>
        <v/>
      </c>
      <c r="BK76" s="152">
        <f>MIN(BJ76,BJ$7)</f>
        <v/>
      </c>
      <c r="BL76" s="152">
        <f>MAX(0,MIN(BJ76-BK76,CL76-(AZ76+BD76+BH76)))</f>
        <v/>
      </c>
      <c r="BM76" s="152">
        <f>BJ76-BK76-BL76</f>
        <v/>
      </c>
      <c r="BN76" s="152">
        <f>IF(BQ75&lt;=0.005,0,BQ75*(1+BN$6))</f>
        <v/>
      </c>
      <c r="BO76" s="152">
        <f>MIN(BN76,BN$7)</f>
        <v/>
      </c>
      <c r="BP76" s="152">
        <f>MAX(0,MIN(BN76-BO76,CL76-(AZ76+BD76+BH76+BL76)))</f>
        <v/>
      </c>
      <c r="BQ76" s="152">
        <f>BN76-BO76-BP76</f>
        <v/>
      </c>
      <c r="BR76" s="152">
        <f>IF(BU75&lt;=0.005,0,BU75*(1+BR$6))</f>
        <v/>
      </c>
      <c r="BS76" s="152">
        <f>MIN(BR76,BR$7)</f>
        <v/>
      </c>
      <c r="BT76" s="152">
        <f>MAX(0,MIN(BR76-BS76,CL76-(AZ76+BD76+BH76+BL76+BP76)))</f>
        <v/>
      </c>
      <c r="BU76" s="152">
        <f>BR76-BS76-BT76</f>
        <v/>
      </c>
      <c r="BV76" s="152">
        <f>IF(BY75&lt;=0.005,0,BY75*(1+BV$6))</f>
        <v/>
      </c>
      <c r="BW76" s="152">
        <f>MIN(BV76,BV$7)</f>
        <v/>
      </c>
      <c r="BX76" s="152">
        <f>MAX(0,MIN(BV76-BW76,CL76-(AZ76+BD76+BH76+BL76+BP76+BT76)))</f>
        <v/>
      </c>
      <c r="BY76" s="152">
        <f>BV76-BW76-BX76</f>
        <v/>
      </c>
      <c r="BZ76" s="152">
        <f>IF(CC75&lt;=0.005,0,CC75*(1+BZ$6))</f>
        <v/>
      </c>
      <c r="CA76" s="152">
        <f>MIN(BZ76,BZ$7)</f>
        <v/>
      </c>
      <c r="CB76" s="152">
        <f>MAX(0,MIN(BZ76-CA76,CL76-(AZ76+BD76+BH76+BL76+BP76+BT76+BX76)))</f>
        <v/>
      </c>
      <c r="CC76" s="152">
        <f>BZ76-CA76-CB76</f>
        <v/>
      </c>
      <c r="CD76" s="152">
        <f>IF(CG75&lt;=0.005,0,CG75*(1+CD$6))</f>
        <v/>
      </c>
      <c r="CE76" s="152">
        <f>MIN(CD76,CD$7)</f>
        <v/>
      </c>
      <c r="CF76" s="152">
        <f>MAX(0,MIN(CD76-CE76,CL76-(AZ76+BD76+BH76+BL76+BP76+BT76+BX76+CB76)))</f>
        <v/>
      </c>
      <c r="CG76" s="152">
        <f>CD76-CE76-CF76</f>
        <v/>
      </c>
      <c r="CH76" s="152">
        <f>IF(CK75&lt;=0.005,0,CK75*(1+CH$6))</f>
        <v/>
      </c>
      <c r="CI76" s="152">
        <f>MIN(CH76,CH$7)</f>
        <v/>
      </c>
      <c r="CJ76" s="152">
        <f>MAX(0,MIN(CH76-CI76,CL76-(AZ76+BD76+BH76+BL76+BP76+BT76+BX76+CB76+CF76)))</f>
        <v/>
      </c>
      <c r="CK76" s="152">
        <f>CH76-CI76-CJ76</f>
        <v/>
      </c>
      <c r="CL76" s="152">
        <f>'Debt Payoff'!$C$8-SUM(AY76,BC76,BG76,BK76,BO76,BS76,BW76,CA76,CE76,CI76)</f>
        <v/>
      </c>
      <c r="CM76" s="152">
        <f>SUM(AY76,BC76,BG76,BK76,BO76,BS76,BW76,CA76,CE76,CI76)+SUM(AZ76,BD76,BH76,BL76,BP76,BT76,BX76,CB76,CF76,CJ76)</f>
        <v/>
      </c>
      <c r="CN76" s="152">
        <f>SUM(BA76,BE76,BI76,BM76,BQ76,BU76,BY76,CC76,CG76,CK76)</f>
        <v/>
      </c>
      <c r="CO76" s="152">
        <f>IF(AW76&gt;CN$6,NA(),AW76)</f>
        <v/>
      </c>
      <c r="CP76" s="152">
        <f>IF(AW76&gt;CN$6,NA(),CN76)</f>
        <v/>
      </c>
    </row>
    <row r="77">
      <c r="B77" s="152" t="n">
        <v>66</v>
      </c>
      <c r="C77" s="152">
        <f>IF(F76&lt;=0.005,0,F76*(1+C$6))</f>
        <v/>
      </c>
      <c r="D77" s="152">
        <f>MIN(C77,C$7)</f>
        <v/>
      </c>
      <c r="E77" s="152">
        <f>MAX(0,MIN(C77-D77,AQ77))</f>
        <v/>
      </c>
      <c r="F77" s="152">
        <f>C77-D77-E77</f>
        <v/>
      </c>
      <c r="G77" s="152">
        <f>IF(J76&lt;=0.005,0,J76*(1+G$6))</f>
        <v/>
      </c>
      <c r="H77" s="152">
        <f>MIN(G77,G$7)</f>
        <v/>
      </c>
      <c r="I77" s="152">
        <f>MAX(0,MIN(G77-H77,AQ77-(E77)))</f>
        <v/>
      </c>
      <c r="J77" s="152">
        <f>G77-H77-I77</f>
        <v/>
      </c>
      <c r="K77" s="152">
        <f>IF(N76&lt;=0.005,0,N76*(1+K$6))</f>
        <v/>
      </c>
      <c r="L77" s="152">
        <f>MIN(K77,K$7)</f>
        <v/>
      </c>
      <c r="M77" s="152">
        <f>MAX(0,MIN(K77-L77,AQ77-(E77+I77)))</f>
        <v/>
      </c>
      <c r="N77" s="152">
        <f>K77-L77-M77</f>
        <v/>
      </c>
      <c r="O77" s="152">
        <f>IF(R76&lt;=0.005,0,R76*(1+O$6))</f>
        <v/>
      </c>
      <c r="P77" s="152">
        <f>MIN(O77,O$7)</f>
        <v/>
      </c>
      <c r="Q77" s="152">
        <f>MAX(0,MIN(O77-P77,AQ77-(E77+I77+M77)))</f>
        <v/>
      </c>
      <c r="R77" s="152">
        <f>O77-P77-Q77</f>
        <v/>
      </c>
      <c r="S77" s="152">
        <f>IF(V76&lt;=0.005,0,V76*(1+S$6))</f>
        <v/>
      </c>
      <c r="T77" s="152">
        <f>MIN(S77,S$7)</f>
        <v/>
      </c>
      <c r="U77" s="152">
        <f>MAX(0,MIN(S77-T77,AQ77-(E77+I77+M77+Q77)))</f>
        <v/>
      </c>
      <c r="V77" s="152">
        <f>S77-T77-U77</f>
        <v/>
      </c>
      <c r="W77" s="152">
        <f>IF(Z76&lt;=0.005,0,Z76*(1+W$6))</f>
        <v/>
      </c>
      <c r="X77" s="152">
        <f>MIN(W77,W$7)</f>
        <v/>
      </c>
      <c r="Y77" s="152">
        <f>MAX(0,MIN(W77-X77,AQ77-(E77+I77+M77+Q77+U77)))</f>
        <v/>
      </c>
      <c r="Z77" s="152">
        <f>W77-X77-Y77</f>
        <v/>
      </c>
      <c r="AA77" s="152">
        <f>IF(AD76&lt;=0.005,0,AD76*(1+AA$6))</f>
        <v/>
      </c>
      <c r="AB77" s="152">
        <f>MIN(AA77,AA$7)</f>
        <v/>
      </c>
      <c r="AC77" s="152">
        <f>MAX(0,MIN(AA77-AB77,AQ77-(E77+I77+M77+Q77+U77+Y77)))</f>
        <v/>
      </c>
      <c r="AD77" s="152">
        <f>AA77-AB77-AC77</f>
        <v/>
      </c>
      <c r="AE77" s="152">
        <f>IF(AH76&lt;=0.005,0,AH76*(1+AE$6))</f>
        <v/>
      </c>
      <c r="AF77" s="152">
        <f>MIN(AE77,AE$7)</f>
        <v/>
      </c>
      <c r="AG77" s="152">
        <f>MAX(0,MIN(AE77-AF77,AQ77-(E77+I77+M77+Q77+U77+Y77+AC77)))</f>
        <v/>
      </c>
      <c r="AH77" s="152">
        <f>AE77-AF77-AG77</f>
        <v/>
      </c>
      <c r="AI77" s="152">
        <f>IF(AL76&lt;=0.005,0,AL76*(1+AI$6))</f>
        <v/>
      </c>
      <c r="AJ77" s="152">
        <f>MIN(AI77,AI$7)</f>
        <v/>
      </c>
      <c r="AK77" s="152">
        <f>MAX(0,MIN(AI77-AJ77,AQ77-(E77+I77+M77+Q77+U77+Y77+AC77+AG77)))</f>
        <v/>
      </c>
      <c r="AL77" s="152">
        <f>AI77-AJ77-AK77</f>
        <v/>
      </c>
      <c r="AM77" s="152">
        <f>IF(AP76&lt;=0.005,0,AP76*(1+AM$6))</f>
        <v/>
      </c>
      <c r="AN77" s="152">
        <f>MIN(AM77,AM$7)</f>
        <v/>
      </c>
      <c r="AO77" s="152">
        <f>MAX(0,MIN(AM77-AN77,AQ77-(E77+I77+M77+Q77+U77+Y77+AC77+AG77+AK77)))</f>
        <v/>
      </c>
      <c r="AP77" s="152">
        <f>AM77-AN77-AO77</f>
        <v/>
      </c>
      <c r="AQ77" s="152">
        <f>'Debt Payoff'!$C$8-SUM(D77,H77,L77,P77,T77,X77,AB77,AF77,AJ77,AN77)</f>
        <v/>
      </c>
      <c r="AR77" s="152">
        <f>SUM(D77,H77,L77,P77,T77,X77,AB77,AF77,AJ77,AN77)+SUM(E77,I77,M77,Q77,U77,Y77,AC77,AG77,AK77,AO77)</f>
        <v/>
      </c>
      <c r="AS77" s="152">
        <f>SUM(F77,J77,N77,R77,V77,Z77,AD77,AH77,AL77,AP77)</f>
        <v/>
      </c>
      <c r="AT77" s="152">
        <f>IF(B77&gt;AS$6,NA(),B77)</f>
        <v/>
      </c>
      <c r="AU77" s="152">
        <f>IF(B77&gt;AS$6,NA(),AS77)</f>
        <v/>
      </c>
      <c r="AV77" s="152" t="n"/>
      <c r="AW77" s="152" t="n">
        <v>66</v>
      </c>
      <c r="AX77" s="152">
        <f>IF(BA76&lt;=0.005,0,BA76*(1+AX$6))</f>
        <v/>
      </c>
      <c r="AY77" s="152">
        <f>MIN(AX77,AX$7)</f>
        <v/>
      </c>
      <c r="AZ77" s="152">
        <f>MAX(0,MIN(AX77-AY77,CL77))</f>
        <v/>
      </c>
      <c r="BA77" s="152">
        <f>AX77-AY77-AZ77</f>
        <v/>
      </c>
      <c r="BB77" s="152">
        <f>IF(BE76&lt;=0.005,0,BE76*(1+BB$6))</f>
        <v/>
      </c>
      <c r="BC77" s="152">
        <f>MIN(BB77,BB$7)</f>
        <v/>
      </c>
      <c r="BD77" s="152">
        <f>MAX(0,MIN(BB77-BC77,CL77-(AZ77)))</f>
        <v/>
      </c>
      <c r="BE77" s="152">
        <f>BB77-BC77-BD77</f>
        <v/>
      </c>
      <c r="BF77" s="152">
        <f>IF(BI76&lt;=0.005,0,BI76*(1+BF$6))</f>
        <v/>
      </c>
      <c r="BG77" s="152">
        <f>MIN(BF77,BF$7)</f>
        <v/>
      </c>
      <c r="BH77" s="152">
        <f>MAX(0,MIN(BF77-BG77,CL77-(AZ77+BD77)))</f>
        <v/>
      </c>
      <c r="BI77" s="152">
        <f>BF77-BG77-BH77</f>
        <v/>
      </c>
      <c r="BJ77" s="152">
        <f>IF(BM76&lt;=0.005,0,BM76*(1+BJ$6))</f>
        <v/>
      </c>
      <c r="BK77" s="152">
        <f>MIN(BJ77,BJ$7)</f>
        <v/>
      </c>
      <c r="BL77" s="152">
        <f>MAX(0,MIN(BJ77-BK77,CL77-(AZ77+BD77+BH77)))</f>
        <v/>
      </c>
      <c r="BM77" s="152">
        <f>BJ77-BK77-BL77</f>
        <v/>
      </c>
      <c r="BN77" s="152">
        <f>IF(BQ76&lt;=0.005,0,BQ76*(1+BN$6))</f>
        <v/>
      </c>
      <c r="BO77" s="152">
        <f>MIN(BN77,BN$7)</f>
        <v/>
      </c>
      <c r="BP77" s="152">
        <f>MAX(0,MIN(BN77-BO77,CL77-(AZ77+BD77+BH77+BL77)))</f>
        <v/>
      </c>
      <c r="BQ77" s="152">
        <f>BN77-BO77-BP77</f>
        <v/>
      </c>
      <c r="BR77" s="152">
        <f>IF(BU76&lt;=0.005,0,BU76*(1+BR$6))</f>
        <v/>
      </c>
      <c r="BS77" s="152">
        <f>MIN(BR77,BR$7)</f>
        <v/>
      </c>
      <c r="BT77" s="152">
        <f>MAX(0,MIN(BR77-BS77,CL77-(AZ77+BD77+BH77+BL77+BP77)))</f>
        <v/>
      </c>
      <c r="BU77" s="152">
        <f>BR77-BS77-BT77</f>
        <v/>
      </c>
      <c r="BV77" s="152">
        <f>IF(BY76&lt;=0.005,0,BY76*(1+BV$6))</f>
        <v/>
      </c>
      <c r="BW77" s="152">
        <f>MIN(BV77,BV$7)</f>
        <v/>
      </c>
      <c r="BX77" s="152">
        <f>MAX(0,MIN(BV77-BW77,CL77-(AZ77+BD77+BH77+BL77+BP77+BT77)))</f>
        <v/>
      </c>
      <c r="BY77" s="152">
        <f>BV77-BW77-BX77</f>
        <v/>
      </c>
      <c r="BZ77" s="152">
        <f>IF(CC76&lt;=0.005,0,CC76*(1+BZ$6))</f>
        <v/>
      </c>
      <c r="CA77" s="152">
        <f>MIN(BZ77,BZ$7)</f>
        <v/>
      </c>
      <c r="CB77" s="152">
        <f>MAX(0,MIN(BZ77-CA77,CL77-(AZ77+BD77+BH77+BL77+BP77+BT77+BX77)))</f>
        <v/>
      </c>
      <c r="CC77" s="152">
        <f>BZ77-CA77-CB77</f>
        <v/>
      </c>
      <c r="CD77" s="152">
        <f>IF(CG76&lt;=0.005,0,CG76*(1+CD$6))</f>
        <v/>
      </c>
      <c r="CE77" s="152">
        <f>MIN(CD77,CD$7)</f>
        <v/>
      </c>
      <c r="CF77" s="152">
        <f>MAX(0,MIN(CD77-CE77,CL77-(AZ77+BD77+BH77+BL77+BP77+BT77+BX77+CB77)))</f>
        <v/>
      </c>
      <c r="CG77" s="152">
        <f>CD77-CE77-CF77</f>
        <v/>
      </c>
      <c r="CH77" s="152">
        <f>IF(CK76&lt;=0.005,0,CK76*(1+CH$6))</f>
        <v/>
      </c>
      <c r="CI77" s="152">
        <f>MIN(CH77,CH$7)</f>
        <v/>
      </c>
      <c r="CJ77" s="152">
        <f>MAX(0,MIN(CH77-CI77,CL77-(AZ77+BD77+BH77+BL77+BP77+BT77+BX77+CB77+CF77)))</f>
        <v/>
      </c>
      <c r="CK77" s="152">
        <f>CH77-CI77-CJ77</f>
        <v/>
      </c>
      <c r="CL77" s="152">
        <f>'Debt Payoff'!$C$8-SUM(AY77,BC77,BG77,BK77,BO77,BS77,BW77,CA77,CE77,CI77)</f>
        <v/>
      </c>
      <c r="CM77" s="152">
        <f>SUM(AY77,BC77,BG77,BK77,BO77,BS77,BW77,CA77,CE77,CI77)+SUM(AZ77,BD77,BH77,BL77,BP77,BT77,BX77,CB77,CF77,CJ77)</f>
        <v/>
      </c>
      <c r="CN77" s="152">
        <f>SUM(BA77,BE77,BI77,BM77,BQ77,BU77,BY77,CC77,CG77,CK77)</f>
        <v/>
      </c>
      <c r="CO77" s="152">
        <f>IF(AW77&gt;CN$6,NA(),AW77)</f>
        <v/>
      </c>
      <c r="CP77" s="152">
        <f>IF(AW77&gt;CN$6,NA(),CN77)</f>
        <v/>
      </c>
    </row>
    <row r="78">
      <c r="B78" s="152" t="n">
        <v>67</v>
      </c>
      <c r="C78" s="152">
        <f>IF(F77&lt;=0.005,0,F77*(1+C$6))</f>
        <v/>
      </c>
      <c r="D78" s="152">
        <f>MIN(C78,C$7)</f>
        <v/>
      </c>
      <c r="E78" s="152">
        <f>MAX(0,MIN(C78-D78,AQ78))</f>
        <v/>
      </c>
      <c r="F78" s="152">
        <f>C78-D78-E78</f>
        <v/>
      </c>
      <c r="G78" s="152">
        <f>IF(J77&lt;=0.005,0,J77*(1+G$6))</f>
        <v/>
      </c>
      <c r="H78" s="152">
        <f>MIN(G78,G$7)</f>
        <v/>
      </c>
      <c r="I78" s="152">
        <f>MAX(0,MIN(G78-H78,AQ78-(E78)))</f>
        <v/>
      </c>
      <c r="J78" s="152">
        <f>G78-H78-I78</f>
        <v/>
      </c>
      <c r="K78" s="152">
        <f>IF(N77&lt;=0.005,0,N77*(1+K$6))</f>
        <v/>
      </c>
      <c r="L78" s="152">
        <f>MIN(K78,K$7)</f>
        <v/>
      </c>
      <c r="M78" s="152">
        <f>MAX(0,MIN(K78-L78,AQ78-(E78+I78)))</f>
        <v/>
      </c>
      <c r="N78" s="152">
        <f>K78-L78-M78</f>
        <v/>
      </c>
      <c r="O78" s="152">
        <f>IF(R77&lt;=0.005,0,R77*(1+O$6))</f>
        <v/>
      </c>
      <c r="P78" s="152">
        <f>MIN(O78,O$7)</f>
        <v/>
      </c>
      <c r="Q78" s="152">
        <f>MAX(0,MIN(O78-P78,AQ78-(E78+I78+M78)))</f>
        <v/>
      </c>
      <c r="R78" s="152">
        <f>O78-P78-Q78</f>
        <v/>
      </c>
      <c r="S78" s="152">
        <f>IF(V77&lt;=0.005,0,V77*(1+S$6))</f>
        <v/>
      </c>
      <c r="T78" s="152">
        <f>MIN(S78,S$7)</f>
        <v/>
      </c>
      <c r="U78" s="152">
        <f>MAX(0,MIN(S78-T78,AQ78-(E78+I78+M78+Q78)))</f>
        <v/>
      </c>
      <c r="V78" s="152">
        <f>S78-T78-U78</f>
        <v/>
      </c>
      <c r="W78" s="152">
        <f>IF(Z77&lt;=0.005,0,Z77*(1+W$6))</f>
        <v/>
      </c>
      <c r="X78" s="152">
        <f>MIN(W78,W$7)</f>
        <v/>
      </c>
      <c r="Y78" s="152">
        <f>MAX(0,MIN(W78-X78,AQ78-(E78+I78+M78+Q78+U78)))</f>
        <v/>
      </c>
      <c r="Z78" s="152">
        <f>W78-X78-Y78</f>
        <v/>
      </c>
      <c r="AA78" s="152">
        <f>IF(AD77&lt;=0.005,0,AD77*(1+AA$6))</f>
        <v/>
      </c>
      <c r="AB78" s="152">
        <f>MIN(AA78,AA$7)</f>
        <v/>
      </c>
      <c r="AC78" s="152">
        <f>MAX(0,MIN(AA78-AB78,AQ78-(E78+I78+M78+Q78+U78+Y78)))</f>
        <v/>
      </c>
      <c r="AD78" s="152">
        <f>AA78-AB78-AC78</f>
        <v/>
      </c>
      <c r="AE78" s="152">
        <f>IF(AH77&lt;=0.005,0,AH77*(1+AE$6))</f>
        <v/>
      </c>
      <c r="AF78" s="152">
        <f>MIN(AE78,AE$7)</f>
        <v/>
      </c>
      <c r="AG78" s="152">
        <f>MAX(0,MIN(AE78-AF78,AQ78-(E78+I78+M78+Q78+U78+Y78+AC78)))</f>
        <v/>
      </c>
      <c r="AH78" s="152">
        <f>AE78-AF78-AG78</f>
        <v/>
      </c>
      <c r="AI78" s="152">
        <f>IF(AL77&lt;=0.005,0,AL77*(1+AI$6))</f>
        <v/>
      </c>
      <c r="AJ78" s="152">
        <f>MIN(AI78,AI$7)</f>
        <v/>
      </c>
      <c r="AK78" s="152">
        <f>MAX(0,MIN(AI78-AJ78,AQ78-(E78+I78+M78+Q78+U78+Y78+AC78+AG78)))</f>
        <v/>
      </c>
      <c r="AL78" s="152">
        <f>AI78-AJ78-AK78</f>
        <v/>
      </c>
      <c r="AM78" s="152">
        <f>IF(AP77&lt;=0.005,0,AP77*(1+AM$6))</f>
        <v/>
      </c>
      <c r="AN78" s="152">
        <f>MIN(AM78,AM$7)</f>
        <v/>
      </c>
      <c r="AO78" s="152">
        <f>MAX(0,MIN(AM78-AN78,AQ78-(E78+I78+M78+Q78+U78+Y78+AC78+AG78+AK78)))</f>
        <v/>
      </c>
      <c r="AP78" s="152">
        <f>AM78-AN78-AO78</f>
        <v/>
      </c>
      <c r="AQ78" s="152">
        <f>'Debt Payoff'!$C$8-SUM(D78,H78,L78,P78,T78,X78,AB78,AF78,AJ78,AN78)</f>
        <v/>
      </c>
      <c r="AR78" s="152">
        <f>SUM(D78,H78,L78,P78,T78,X78,AB78,AF78,AJ78,AN78)+SUM(E78,I78,M78,Q78,U78,Y78,AC78,AG78,AK78,AO78)</f>
        <v/>
      </c>
      <c r="AS78" s="152">
        <f>SUM(F78,J78,N78,R78,V78,Z78,AD78,AH78,AL78,AP78)</f>
        <v/>
      </c>
      <c r="AT78" s="152">
        <f>IF(B78&gt;AS$6,NA(),B78)</f>
        <v/>
      </c>
      <c r="AU78" s="152">
        <f>IF(B78&gt;AS$6,NA(),AS78)</f>
        <v/>
      </c>
      <c r="AV78" s="152" t="n"/>
      <c r="AW78" s="152" t="n">
        <v>67</v>
      </c>
      <c r="AX78" s="152">
        <f>IF(BA77&lt;=0.005,0,BA77*(1+AX$6))</f>
        <v/>
      </c>
      <c r="AY78" s="152">
        <f>MIN(AX78,AX$7)</f>
        <v/>
      </c>
      <c r="AZ78" s="152">
        <f>MAX(0,MIN(AX78-AY78,CL78))</f>
        <v/>
      </c>
      <c r="BA78" s="152">
        <f>AX78-AY78-AZ78</f>
        <v/>
      </c>
      <c r="BB78" s="152">
        <f>IF(BE77&lt;=0.005,0,BE77*(1+BB$6))</f>
        <v/>
      </c>
      <c r="BC78" s="152">
        <f>MIN(BB78,BB$7)</f>
        <v/>
      </c>
      <c r="BD78" s="152">
        <f>MAX(0,MIN(BB78-BC78,CL78-(AZ78)))</f>
        <v/>
      </c>
      <c r="BE78" s="152">
        <f>BB78-BC78-BD78</f>
        <v/>
      </c>
      <c r="BF78" s="152">
        <f>IF(BI77&lt;=0.005,0,BI77*(1+BF$6))</f>
        <v/>
      </c>
      <c r="BG78" s="152">
        <f>MIN(BF78,BF$7)</f>
        <v/>
      </c>
      <c r="BH78" s="152">
        <f>MAX(0,MIN(BF78-BG78,CL78-(AZ78+BD78)))</f>
        <v/>
      </c>
      <c r="BI78" s="152">
        <f>BF78-BG78-BH78</f>
        <v/>
      </c>
      <c r="BJ78" s="152">
        <f>IF(BM77&lt;=0.005,0,BM77*(1+BJ$6))</f>
        <v/>
      </c>
      <c r="BK78" s="152">
        <f>MIN(BJ78,BJ$7)</f>
        <v/>
      </c>
      <c r="BL78" s="152">
        <f>MAX(0,MIN(BJ78-BK78,CL78-(AZ78+BD78+BH78)))</f>
        <v/>
      </c>
      <c r="BM78" s="152">
        <f>BJ78-BK78-BL78</f>
        <v/>
      </c>
      <c r="BN78" s="152">
        <f>IF(BQ77&lt;=0.005,0,BQ77*(1+BN$6))</f>
        <v/>
      </c>
      <c r="BO78" s="152">
        <f>MIN(BN78,BN$7)</f>
        <v/>
      </c>
      <c r="BP78" s="152">
        <f>MAX(0,MIN(BN78-BO78,CL78-(AZ78+BD78+BH78+BL78)))</f>
        <v/>
      </c>
      <c r="BQ78" s="152">
        <f>BN78-BO78-BP78</f>
        <v/>
      </c>
      <c r="BR78" s="152">
        <f>IF(BU77&lt;=0.005,0,BU77*(1+BR$6))</f>
        <v/>
      </c>
      <c r="BS78" s="152">
        <f>MIN(BR78,BR$7)</f>
        <v/>
      </c>
      <c r="BT78" s="152">
        <f>MAX(0,MIN(BR78-BS78,CL78-(AZ78+BD78+BH78+BL78+BP78)))</f>
        <v/>
      </c>
      <c r="BU78" s="152">
        <f>BR78-BS78-BT78</f>
        <v/>
      </c>
      <c r="BV78" s="152">
        <f>IF(BY77&lt;=0.005,0,BY77*(1+BV$6))</f>
        <v/>
      </c>
      <c r="BW78" s="152">
        <f>MIN(BV78,BV$7)</f>
        <v/>
      </c>
      <c r="BX78" s="152">
        <f>MAX(0,MIN(BV78-BW78,CL78-(AZ78+BD78+BH78+BL78+BP78+BT78)))</f>
        <v/>
      </c>
      <c r="BY78" s="152">
        <f>BV78-BW78-BX78</f>
        <v/>
      </c>
      <c r="BZ78" s="152">
        <f>IF(CC77&lt;=0.005,0,CC77*(1+BZ$6))</f>
        <v/>
      </c>
      <c r="CA78" s="152">
        <f>MIN(BZ78,BZ$7)</f>
        <v/>
      </c>
      <c r="CB78" s="152">
        <f>MAX(0,MIN(BZ78-CA78,CL78-(AZ78+BD78+BH78+BL78+BP78+BT78+BX78)))</f>
        <v/>
      </c>
      <c r="CC78" s="152">
        <f>BZ78-CA78-CB78</f>
        <v/>
      </c>
      <c r="CD78" s="152">
        <f>IF(CG77&lt;=0.005,0,CG77*(1+CD$6))</f>
        <v/>
      </c>
      <c r="CE78" s="152">
        <f>MIN(CD78,CD$7)</f>
        <v/>
      </c>
      <c r="CF78" s="152">
        <f>MAX(0,MIN(CD78-CE78,CL78-(AZ78+BD78+BH78+BL78+BP78+BT78+BX78+CB78)))</f>
        <v/>
      </c>
      <c r="CG78" s="152">
        <f>CD78-CE78-CF78</f>
        <v/>
      </c>
      <c r="CH78" s="152">
        <f>IF(CK77&lt;=0.005,0,CK77*(1+CH$6))</f>
        <v/>
      </c>
      <c r="CI78" s="152">
        <f>MIN(CH78,CH$7)</f>
        <v/>
      </c>
      <c r="CJ78" s="152">
        <f>MAX(0,MIN(CH78-CI78,CL78-(AZ78+BD78+BH78+BL78+BP78+BT78+BX78+CB78+CF78)))</f>
        <v/>
      </c>
      <c r="CK78" s="152">
        <f>CH78-CI78-CJ78</f>
        <v/>
      </c>
      <c r="CL78" s="152">
        <f>'Debt Payoff'!$C$8-SUM(AY78,BC78,BG78,BK78,BO78,BS78,BW78,CA78,CE78,CI78)</f>
        <v/>
      </c>
      <c r="CM78" s="152">
        <f>SUM(AY78,BC78,BG78,BK78,BO78,BS78,BW78,CA78,CE78,CI78)+SUM(AZ78,BD78,BH78,BL78,BP78,BT78,BX78,CB78,CF78,CJ78)</f>
        <v/>
      </c>
      <c r="CN78" s="152">
        <f>SUM(BA78,BE78,BI78,BM78,BQ78,BU78,BY78,CC78,CG78,CK78)</f>
        <v/>
      </c>
      <c r="CO78" s="152">
        <f>IF(AW78&gt;CN$6,NA(),AW78)</f>
        <v/>
      </c>
      <c r="CP78" s="152">
        <f>IF(AW78&gt;CN$6,NA(),CN78)</f>
        <v/>
      </c>
    </row>
    <row r="79">
      <c r="B79" s="152" t="n">
        <v>68</v>
      </c>
      <c r="C79" s="152">
        <f>IF(F78&lt;=0.005,0,F78*(1+C$6))</f>
        <v/>
      </c>
      <c r="D79" s="152">
        <f>MIN(C79,C$7)</f>
        <v/>
      </c>
      <c r="E79" s="152">
        <f>MAX(0,MIN(C79-D79,AQ79))</f>
        <v/>
      </c>
      <c r="F79" s="152">
        <f>C79-D79-E79</f>
        <v/>
      </c>
      <c r="G79" s="152">
        <f>IF(J78&lt;=0.005,0,J78*(1+G$6))</f>
        <v/>
      </c>
      <c r="H79" s="152">
        <f>MIN(G79,G$7)</f>
        <v/>
      </c>
      <c r="I79" s="152">
        <f>MAX(0,MIN(G79-H79,AQ79-(E79)))</f>
        <v/>
      </c>
      <c r="J79" s="152">
        <f>G79-H79-I79</f>
        <v/>
      </c>
      <c r="K79" s="152">
        <f>IF(N78&lt;=0.005,0,N78*(1+K$6))</f>
        <v/>
      </c>
      <c r="L79" s="152">
        <f>MIN(K79,K$7)</f>
        <v/>
      </c>
      <c r="M79" s="152">
        <f>MAX(0,MIN(K79-L79,AQ79-(E79+I79)))</f>
        <v/>
      </c>
      <c r="N79" s="152">
        <f>K79-L79-M79</f>
        <v/>
      </c>
      <c r="O79" s="152">
        <f>IF(R78&lt;=0.005,0,R78*(1+O$6))</f>
        <v/>
      </c>
      <c r="P79" s="152">
        <f>MIN(O79,O$7)</f>
        <v/>
      </c>
      <c r="Q79" s="152">
        <f>MAX(0,MIN(O79-P79,AQ79-(E79+I79+M79)))</f>
        <v/>
      </c>
      <c r="R79" s="152">
        <f>O79-P79-Q79</f>
        <v/>
      </c>
      <c r="S79" s="152">
        <f>IF(V78&lt;=0.005,0,V78*(1+S$6))</f>
        <v/>
      </c>
      <c r="T79" s="152">
        <f>MIN(S79,S$7)</f>
        <v/>
      </c>
      <c r="U79" s="152">
        <f>MAX(0,MIN(S79-T79,AQ79-(E79+I79+M79+Q79)))</f>
        <v/>
      </c>
      <c r="V79" s="152">
        <f>S79-T79-U79</f>
        <v/>
      </c>
      <c r="W79" s="152">
        <f>IF(Z78&lt;=0.005,0,Z78*(1+W$6))</f>
        <v/>
      </c>
      <c r="X79" s="152">
        <f>MIN(W79,W$7)</f>
        <v/>
      </c>
      <c r="Y79" s="152">
        <f>MAX(0,MIN(W79-X79,AQ79-(E79+I79+M79+Q79+U79)))</f>
        <v/>
      </c>
      <c r="Z79" s="152">
        <f>W79-X79-Y79</f>
        <v/>
      </c>
      <c r="AA79" s="152">
        <f>IF(AD78&lt;=0.005,0,AD78*(1+AA$6))</f>
        <v/>
      </c>
      <c r="AB79" s="152">
        <f>MIN(AA79,AA$7)</f>
        <v/>
      </c>
      <c r="AC79" s="152">
        <f>MAX(0,MIN(AA79-AB79,AQ79-(E79+I79+M79+Q79+U79+Y79)))</f>
        <v/>
      </c>
      <c r="AD79" s="152">
        <f>AA79-AB79-AC79</f>
        <v/>
      </c>
      <c r="AE79" s="152">
        <f>IF(AH78&lt;=0.005,0,AH78*(1+AE$6))</f>
        <v/>
      </c>
      <c r="AF79" s="152">
        <f>MIN(AE79,AE$7)</f>
        <v/>
      </c>
      <c r="AG79" s="152">
        <f>MAX(0,MIN(AE79-AF79,AQ79-(E79+I79+M79+Q79+U79+Y79+AC79)))</f>
        <v/>
      </c>
      <c r="AH79" s="152">
        <f>AE79-AF79-AG79</f>
        <v/>
      </c>
      <c r="AI79" s="152">
        <f>IF(AL78&lt;=0.005,0,AL78*(1+AI$6))</f>
        <v/>
      </c>
      <c r="AJ79" s="152">
        <f>MIN(AI79,AI$7)</f>
        <v/>
      </c>
      <c r="AK79" s="152">
        <f>MAX(0,MIN(AI79-AJ79,AQ79-(E79+I79+M79+Q79+U79+Y79+AC79+AG79)))</f>
        <v/>
      </c>
      <c r="AL79" s="152">
        <f>AI79-AJ79-AK79</f>
        <v/>
      </c>
      <c r="AM79" s="152">
        <f>IF(AP78&lt;=0.005,0,AP78*(1+AM$6))</f>
        <v/>
      </c>
      <c r="AN79" s="152">
        <f>MIN(AM79,AM$7)</f>
        <v/>
      </c>
      <c r="AO79" s="152">
        <f>MAX(0,MIN(AM79-AN79,AQ79-(E79+I79+M79+Q79+U79+Y79+AC79+AG79+AK79)))</f>
        <v/>
      </c>
      <c r="AP79" s="152">
        <f>AM79-AN79-AO79</f>
        <v/>
      </c>
      <c r="AQ79" s="152">
        <f>'Debt Payoff'!$C$8-SUM(D79,H79,L79,P79,T79,X79,AB79,AF79,AJ79,AN79)</f>
        <v/>
      </c>
      <c r="AR79" s="152">
        <f>SUM(D79,H79,L79,P79,T79,X79,AB79,AF79,AJ79,AN79)+SUM(E79,I79,M79,Q79,U79,Y79,AC79,AG79,AK79,AO79)</f>
        <v/>
      </c>
      <c r="AS79" s="152">
        <f>SUM(F79,J79,N79,R79,V79,Z79,AD79,AH79,AL79,AP79)</f>
        <v/>
      </c>
      <c r="AT79" s="152">
        <f>IF(B79&gt;AS$6,NA(),B79)</f>
        <v/>
      </c>
      <c r="AU79" s="152">
        <f>IF(B79&gt;AS$6,NA(),AS79)</f>
        <v/>
      </c>
      <c r="AV79" s="152" t="n"/>
      <c r="AW79" s="152" t="n">
        <v>68</v>
      </c>
      <c r="AX79" s="152">
        <f>IF(BA78&lt;=0.005,0,BA78*(1+AX$6))</f>
        <v/>
      </c>
      <c r="AY79" s="152">
        <f>MIN(AX79,AX$7)</f>
        <v/>
      </c>
      <c r="AZ79" s="152">
        <f>MAX(0,MIN(AX79-AY79,CL79))</f>
        <v/>
      </c>
      <c r="BA79" s="152">
        <f>AX79-AY79-AZ79</f>
        <v/>
      </c>
      <c r="BB79" s="152">
        <f>IF(BE78&lt;=0.005,0,BE78*(1+BB$6))</f>
        <v/>
      </c>
      <c r="BC79" s="152">
        <f>MIN(BB79,BB$7)</f>
        <v/>
      </c>
      <c r="BD79" s="152">
        <f>MAX(0,MIN(BB79-BC79,CL79-(AZ79)))</f>
        <v/>
      </c>
      <c r="BE79" s="152">
        <f>BB79-BC79-BD79</f>
        <v/>
      </c>
      <c r="BF79" s="152">
        <f>IF(BI78&lt;=0.005,0,BI78*(1+BF$6))</f>
        <v/>
      </c>
      <c r="BG79" s="152">
        <f>MIN(BF79,BF$7)</f>
        <v/>
      </c>
      <c r="BH79" s="152">
        <f>MAX(0,MIN(BF79-BG79,CL79-(AZ79+BD79)))</f>
        <v/>
      </c>
      <c r="BI79" s="152">
        <f>BF79-BG79-BH79</f>
        <v/>
      </c>
      <c r="BJ79" s="152">
        <f>IF(BM78&lt;=0.005,0,BM78*(1+BJ$6))</f>
        <v/>
      </c>
      <c r="BK79" s="152">
        <f>MIN(BJ79,BJ$7)</f>
        <v/>
      </c>
      <c r="BL79" s="152">
        <f>MAX(0,MIN(BJ79-BK79,CL79-(AZ79+BD79+BH79)))</f>
        <v/>
      </c>
      <c r="BM79" s="152">
        <f>BJ79-BK79-BL79</f>
        <v/>
      </c>
      <c r="BN79" s="152">
        <f>IF(BQ78&lt;=0.005,0,BQ78*(1+BN$6))</f>
        <v/>
      </c>
      <c r="BO79" s="152">
        <f>MIN(BN79,BN$7)</f>
        <v/>
      </c>
      <c r="BP79" s="152">
        <f>MAX(0,MIN(BN79-BO79,CL79-(AZ79+BD79+BH79+BL79)))</f>
        <v/>
      </c>
      <c r="BQ79" s="152">
        <f>BN79-BO79-BP79</f>
        <v/>
      </c>
      <c r="BR79" s="152">
        <f>IF(BU78&lt;=0.005,0,BU78*(1+BR$6))</f>
        <v/>
      </c>
      <c r="BS79" s="152">
        <f>MIN(BR79,BR$7)</f>
        <v/>
      </c>
      <c r="BT79" s="152">
        <f>MAX(0,MIN(BR79-BS79,CL79-(AZ79+BD79+BH79+BL79+BP79)))</f>
        <v/>
      </c>
      <c r="BU79" s="152">
        <f>BR79-BS79-BT79</f>
        <v/>
      </c>
      <c r="BV79" s="152">
        <f>IF(BY78&lt;=0.005,0,BY78*(1+BV$6))</f>
        <v/>
      </c>
      <c r="BW79" s="152">
        <f>MIN(BV79,BV$7)</f>
        <v/>
      </c>
      <c r="BX79" s="152">
        <f>MAX(0,MIN(BV79-BW79,CL79-(AZ79+BD79+BH79+BL79+BP79+BT79)))</f>
        <v/>
      </c>
      <c r="BY79" s="152">
        <f>BV79-BW79-BX79</f>
        <v/>
      </c>
      <c r="BZ79" s="152">
        <f>IF(CC78&lt;=0.005,0,CC78*(1+BZ$6))</f>
        <v/>
      </c>
      <c r="CA79" s="152">
        <f>MIN(BZ79,BZ$7)</f>
        <v/>
      </c>
      <c r="CB79" s="152">
        <f>MAX(0,MIN(BZ79-CA79,CL79-(AZ79+BD79+BH79+BL79+BP79+BT79+BX79)))</f>
        <v/>
      </c>
      <c r="CC79" s="152">
        <f>BZ79-CA79-CB79</f>
        <v/>
      </c>
      <c r="CD79" s="152">
        <f>IF(CG78&lt;=0.005,0,CG78*(1+CD$6))</f>
        <v/>
      </c>
      <c r="CE79" s="152">
        <f>MIN(CD79,CD$7)</f>
        <v/>
      </c>
      <c r="CF79" s="152">
        <f>MAX(0,MIN(CD79-CE79,CL79-(AZ79+BD79+BH79+BL79+BP79+BT79+BX79+CB79)))</f>
        <v/>
      </c>
      <c r="CG79" s="152">
        <f>CD79-CE79-CF79</f>
        <v/>
      </c>
      <c r="CH79" s="152">
        <f>IF(CK78&lt;=0.005,0,CK78*(1+CH$6))</f>
        <v/>
      </c>
      <c r="CI79" s="152">
        <f>MIN(CH79,CH$7)</f>
        <v/>
      </c>
      <c r="CJ79" s="152">
        <f>MAX(0,MIN(CH79-CI79,CL79-(AZ79+BD79+BH79+BL79+BP79+BT79+BX79+CB79+CF79)))</f>
        <v/>
      </c>
      <c r="CK79" s="152">
        <f>CH79-CI79-CJ79</f>
        <v/>
      </c>
      <c r="CL79" s="152">
        <f>'Debt Payoff'!$C$8-SUM(AY79,BC79,BG79,BK79,BO79,BS79,BW79,CA79,CE79,CI79)</f>
        <v/>
      </c>
      <c r="CM79" s="152">
        <f>SUM(AY79,BC79,BG79,BK79,BO79,BS79,BW79,CA79,CE79,CI79)+SUM(AZ79,BD79,BH79,BL79,BP79,BT79,BX79,CB79,CF79,CJ79)</f>
        <v/>
      </c>
      <c r="CN79" s="152">
        <f>SUM(BA79,BE79,BI79,BM79,BQ79,BU79,BY79,CC79,CG79,CK79)</f>
        <v/>
      </c>
      <c r="CO79" s="152">
        <f>IF(AW79&gt;CN$6,NA(),AW79)</f>
        <v/>
      </c>
      <c r="CP79" s="152">
        <f>IF(AW79&gt;CN$6,NA(),CN79)</f>
        <v/>
      </c>
    </row>
    <row r="80">
      <c r="B80" s="152" t="n">
        <v>69</v>
      </c>
      <c r="C80" s="152">
        <f>IF(F79&lt;=0.005,0,F79*(1+C$6))</f>
        <v/>
      </c>
      <c r="D80" s="152">
        <f>MIN(C80,C$7)</f>
        <v/>
      </c>
      <c r="E80" s="152">
        <f>MAX(0,MIN(C80-D80,AQ80))</f>
        <v/>
      </c>
      <c r="F80" s="152">
        <f>C80-D80-E80</f>
        <v/>
      </c>
      <c r="G80" s="152">
        <f>IF(J79&lt;=0.005,0,J79*(1+G$6))</f>
        <v/>
      </c>
      <c r="H80" s="152">
        <f>MIN(G80,G$7)</f>
        <v/>
      </c>
      <c r="I80" s="152">
        <f>MAX(0,MIN(G80-H80,AQ80-(E80)))</f>
        <v/>
      </c>
      <c r="J80" s="152">
        <f>G80-H80-I80</f>
        <v/>
      </c>
      <c r="K80" s="152">
        <f>IF(N79&lt;=0.005,0,N79*(1+K$6))</f>
        <v/>
      </c>
      <c r="L80" s="152">
        <f>MIN(K80,K$7)</f>
        <v/>
      </c>
      <c r="M80" s="152">
        <f>MAX(0,MIN(K80-L80,AQ80-(E80+I80)))</f>
        <v/>
      </c>
      <c r="N80" s="152">
        <f>K80-L80-M80</f>
        <v/>
      </c>
      <c r="O80" s="152">
        <f>IF(R79&lt;=0.005,0,R79*(1+O$6))</f>
        <v/>
      </c>
      <c r="P80" s="152">
        <f>MIN(O80,O$7)</f>
        <v/>
      </c>
      <c r="Q80" s="152">
        <f>MAX(0,MIN(O80-P80,AQ80-(E80+I80+M80)))</f>
        <v/>
      </c>
      <c r="R80" s="152">
        <f>O80-P80-Q80</f>
        <v/>
      </c>
      <c r="S80" s="152">
        <f>IF(V79&lt;=0.005,0,V79*(1+S$6))</f>
        <v/>
      </c>
      <c r="T80" s="152">
        <f>MIN(S80,S$7)</f>
        <v/>
      </c>
      <c r="U80" s="152">
        <f>MAX(0,MIN(S80-T80,AQ80-(E80+I80+M80+Q80)))</f>
        <v/>
      </c>
      <c r="V80" s="152">
        <f>S80-T80-U80</f>
        <v/>
      </c>
      <c r="W80" s="152">
        <f>IF(Z79&lt;=0.005,0,Z79*(1+W$6))</f>
        <v/>
      </c>
      <c r="X80" s="152">
        <f>MIN(W80,W$7)</f>
        <v/>
      </c>
      <c r="Y80" s="152">
        <f>MAX(0,MIN(W80-X80,AQ80-(E80+I80+M80+Q80+U80)))</f>
        <v/>
      </c>
      <c r="Z80" s="152">
        <f>W80-X80-Y80</f>
        <v/>
      </c>
      <c r="AA80" s="152">
        <f>IF(AD79&lt;=0.005,0,AD79*(1+AA$6))</f>
        <v/>
      </c>
      <c r="AB80" s="152">
        <f>MIN(AA80,AA$7)</f>
        <v/>
      </c>
      <c r="AC80" s="152">
        <f>MAX(0,MIN(AA80-AB80,AQ80-(E80+I80+M80+Q80+U80+Y80)))</f>
        <v/>
      </c>
      <c r="AD80" s="152">
        <f>AA80-AB80-AC80</f>
        <v/>
      </c>
      <c r="AE80" s="152">
        <f>IF(AH79&lt;=0.005,0,AH79*(1+AE$6))</f>
        <v/>
      </c>
      <c r="AF80" s="152">
        <f>MIN(AE80,AE$7)</f>
        <v/>
      </c>
      <c r="AG80" s="152">
        <f>MAX(0,MIN(AE80-AF80,AQ80-(E80+I80+M80+Q80+U80+Y80+AC80)))</f>
        <v/>
      </c>
      <c r="AH80" s="152">
        <f>AE80-AF80-AG80</f>
        <v/>
      </c>
      <c r="AI80" s="152">
        <f>IF(AL79&lt;=0.005,0,AL79*(1+AI$6))</f>
        <v/>
      </c>
      <c r="AJ80" s="152">
        <f>MIN(AI80,AI$7)</f>
        <v/>
      </c>
      <c r="AK80" s="152">
        <f>MAX(0,MIN(AI80-AJ80,AQ80-(E80+I80+M80+Q80+U80+Y80+AC80+AG80)))</f>
        <v/>
      </c>
      <c r="AL80" s="152">
        <f>AI80-AJ80-AK80</f>
        <v/>
      </c>
      <c r="AM80" s="152">
        <f>IF(AP79&lt;=0.005,0,AP79*(1+AM$6))</f>
        <v/>
      </c>
      <c r="AN80" s="152">
        <f>MIN(AM80,AM$7)</f>
        <v/>
      </c>
      <c r="AO80" s="152">
        <f>MAX(0,MIN(AM80-AN80,AQ80-(E80+I80+M80+Q80+U80+Y80+AC80+AG80+AK80)))</f>
        <v/>
      </c>
      <c r="AP80" s="152">
        <f>AM80-AN80-AO80</f>
        <v/>
      </c>
      <c r="AQ80" s="152">
        <f>'Debt Payoff'!$C$8-SUM(D80,H80,L80,P80,T80,X80,AB80,AF80,AJ80,AN80)</f>
        <v/>
      </c>
      <c r="AR80" s="152">
        <f>SUM(D80,H80,L80,P80,T80,X80,AB80,AF80,AJ80,AN80)+SUM(E80,I80,M80,Q80,U80,Y80,AC80,AG80,AK80,AO80)</f>
        <v/>
      </c>
      <c r="AS80" s="152">
        <f>SUM(F80,J80,N80,R80,V80,Z80,AD80,AH80,AL80,AP80)</f>
        <v/>
      </c>
      <c r="AT80" s="152">
        <f>IF(B80&gt;AS$6,NA(),B80)</f>
        <v/>
      </c>
      <c r="AU80" s="152">
        <f>IF(B80&gt;AS$6,NA(),AS80)</f>
        <v/>
      </c>
      <c r="AV80" s="152" t="n"/>
      <c r="AW80" s="152" t="n">
        <v>69</v>
      </c>
      <c r="AX80" s="152">
        <f>IF(BA79&lt;=0.005,0,BA79*(1+AX$6))</f>
        <v/>
      </c>
      <c r="AY80" s="152">
        <f>MIN(AX80,AX$7)</f>
        <v/>
      </c>
      <c r="AZ80" s="152">
        <f>MAX(0,MIN(AX80-AY80,CL80))</f>
        <v/>
      </c>
      <c r="BA80" s="152">
        <f>AX80-AY80-AZ80</f>
        <v/>
      </c>
      <c r="BB80" s="152">
        <f>IF(BE79&lt;=0.005,0,BE79*(1+BB$6))</f>
        <v/>
      </c>
      <c r="BC80" s="152">
        <f>MIN(BB80,BB$7)</f>
        <v/>
      </c>
      <c r="BD80" s="152">
        <f>MAX(0,MIN(BB80-BC80,CL80-(AZ80)))</f>
        <v/>
      </c>
      <c r="BE80" s="152">
        <f>BB80-BC80-BD80</f>
        <v/>
      </c>
      <c r="BF80" s="152">
        <f>IF(BI79&lt;=0.005,0,BI79*(1+BF$6))</f>
        <v/>
      </c>
      <c r="BG80" s="152">
        <f>MIN(BF80,BF$7)</f>
        <v/>
      </c>
      <c r="BH80" s="152">
        <f>MAX(0,MIN(BF80-BG80,CL80-(AZ80+BD80)))</f>
        <v/>
      </c>
      <c r="BI80" s="152">
        <f>BF80-BG80-BH80</f>
        <v/>
      </c>
      <c r="BJ80" s="152">
        <f>IF(BM79&lt;=0.005,0,BM79*(1+BJ$6))</f>
        <v/>
      </c>
      <c r="BK80" s="152">
        <f>MIN(BJ80,BJ$7)</f>
        <v/>
      </c>
      <c r="BL80" s="152">
        <f>MAX(0,MIN(BJ80-BK80,CL80-(AZ80+BD80+BH80)))</f>
        <v/>
      </c>
      <c r="BM80" s="152">
        <f>BJ80-BK80-BL80</f>
        <v/>
      </c>
      <c r="BN80" s="152">
        <f>IF(BQ79&lt;=0.005,0,BQ79*(1+BN$6))</f>
        <v/>
      </c>
      <c r="BO80" s="152">
        <f>MIN(BN80,BN$7)</f>
        <v/>
      </c>
      <c r="BP80" s="152">
        <f>MAX(0,MIN(BN80-BO80,CL80-(AZ80+BD80+BH80+BL80)))</f>
        <v/>
      </c>
      <c r="BQ80" s="152">
        <f>BN80-BO80-BP80</f>
        <v/>
      </c>
      <c r="BR80" s="152">
        <f>IF(BU79&lt;=0.005,0,BU79*(1+BR$6))</f>
        <v/>
      </c>
      <c r="BS80" s="152">
        <f>MIN(BR80,BR$7)</f>
        <v/>
      </c>
      <c r="BT80" s="152">
        <f>MAX(0,MIN(BR80-BS80,CL80-(AZ80+BD80+BH80+BL80+BP80)))</f>
        <v/>
      </c>
      <c r="BU80" s="152">
        <f>BR80-BS80-BT80</f>
        <v/>
      </c>
      <c r="BV80" s="152">
        <f>IF(BY79&lt;=0.005,0,BY79*(1+BV$6))</f>
        <v/>
      </c>
      <c r="BW80" s="152">
        <f>MIN(BV80,BV$7)</f>
        <v/>
      </c>
      <c r="BX80" s="152">
        <f>MAX(0,MIN(BV80-BW80,CL80-(AZ80+BD80+BH80+BL80+BP80+BT80)))</f>
        <v/>
      </c>
      <c r="BY80" s="152">
        <f>BV80-BW80-BX80</f>
        <v/>
      </c>
      <c r="BZ80" s="152">
        <f>IF(CC79&lt;=0.005,0,CC79*(1+BZ$6))</f>
        <v/>
      </c>
      <c r="CA80" s="152">
        <f>MIN(BZ80,BZ$7)</f>
        <v/>
      </c>
      <c r="CB80" s="152">
        <f>MAX(0,MIN(BZ80-CA80,CL80-(AZ80+BD80+BH80+BL80+BP80+BT80+BX80)))</f>
        <v/>
      </c>
      <c r="CC80" s="152">
        <f>BZ80-CA80-CB80</f>
        <v/>
      </c>
      <c r="CD80" s="152">
        <f>IF(CG79&lt;=0.005,0,CG79*(1+CD$6))</f>
        <v/>
      </c>
      <c r="CE80" s="152">
        <f>MIN(CD80,CD$7)</f>
        <v/>
      </c>
      <c r="CF80" s="152">
        <f>MAX(0,MIN(CD80-CE80,CL80-(AZ80+BD80+BH80+BL80+BP80+BT80+BX80+CB80)))</f>
        <v/>
      </c>
      <c r="CG80" s="152">
        <f>CD80-CE80-CF80</f>
        <v/>
      </c>
      <c r="CH80" s="152">
        <f>IF(CK79&lt;=0.005,0,CK79*(1+CH$6))</f>
        <v/>
      </c>
      <c r="CI80" s="152">
        <f>MIN(CH80,CH$7)</f>
        <v/>
      </c>
      <c r="CJ80" s="152">
        <f>MAX(0,MIN(CH80-CI80,CL80-(AZ80+BD80+BH80+BL80+BP80+BT80+BX80+CB80+CF80)))</f>
        <v/>
      </c>
      <c r="CK80" s="152">
        <f>CH80-CI80-CJ80</f>
        <v/>
      </c>
      <c r="CL80" s="152">
        <f>'Debt Payoff'!$C$8-SUM(AY80,BC80,BG80,BK80,BO80,BS80,BW80,CA80,CE80,CI80)</f>
        <v/>
      </c>
      <c r="CM80" s="152">
        <f>SUM(AY80,BC80,BG80,BK80,BO80,BS80,BW80,CA80,CE80,CI80)+SUM(AZ80,BD80,BH80,BL80,BP80,BT80,BX80,CB80,CF80,CJ80)</f>
        <v/>
      </c>
      <c r="CN80" s="152">
        <f>SUM(BA80,BE80,BI80,BM80,BQ80,BU80,BY80,CC80,CG80,CK80)</f>
        <v/>
      </c>
      <c r="CO80" s="152">
        <f>IF(AW80&gt;CN$6,NA(),AW80)</f>
        <v/>
      </c>
      <c r="CP80" s="152">
        <f>IF(AW80&gt;CN$6,NA(),CN80)</f>
        <v/>
      </c>
    </row>
    <row r="81">
      <c r="B81" s="152" t="n">
        <v>70</v>
      </c>
      <c r="C81" s="152">
        <f>IF(F80&lt;=0.005,0,F80*(1+C$6))</f>
        <v/>
      </c>
      <c r="D81" s="152">
        <f>MIN(C81,C$7)</f>
        <v/>
      </c>
      <c r="E81" s="152">
        <f>MAX(0,MIN(C81-D81,AQ81))</f>
        <v/>
      </c>
      <c r="F81" s="152">
        <f>C81-D81-E81</f>
        <v/>
      </c>
      <c r="G81" s="152">
        <f>IF(J80&lt;=0.005,0,J80*(1+G$6))</f>
        <v/>
      </c>
      <c r="H81" s="152">
        <f>MIN(G81,G$7)</f>
        <v/>
      </c>
      <c r="I81" s="152">
        <f>MAX(0,MIN(G81-H81,AQ81-(E81)))</f>
        <v/>
      </c>
      <c r="J81" s="152">
        <f>G81-H81-I81</f>
        <v/>
      </c>
      <c r="K81" s="152">
        <f>IF(N80&lt;=0.005,0,N80*(1+K$6))</f>
        <v/>
      </c>
      <c r="L81" s="152">
        <f>MIN(K81,K$7)</f>
        <v/>
      </c>
      <c r="M81" s="152">
        <f>MAX(0,MIN(K81-L81,AQ81-(E81+I81)))</f>
        <v/>
      </c>
      <c r="N81" s="152">
        <f>K81-L81-M81</f>
        <v/>
      </c>
      <c r="O81" s="152">
        <f>IF(R80&lt;=0.005,0,R80*(1+O$6))</f>
        <v/>
      </c>
      <c r="P81" s="152">
        <f>MIN(O81,O$7)</f>
        <v/>
      </c>
      <c r="Q81" s="152">
        <f>MAX(0,MIN(O81-P81,AQ81-(E81+I81+M81)))</f>
        <v/>
      </c>
      <c r="R81" s="152">
        <f>O81-P81-Q81</f>
        <v/>
      </c>
      <c r="S81" s="152">
        <f>IF(V80&lt;=0.005,0,V80*(1+S$6))</f>
        <v/>
      </c>
      <c r="T81" s="152">
        <f>MIN(S81,S$7)</f>
        <v/>
      </c>
      <c r="U81" s="152">
        <f>MAX(0,MIN(S81-T81,AQ81-(E81+I81+M81+Q81)))</f>
        <v/>
      </c>
      <c r="V81" s="152">
        <f>S81-T81-U81</f>
        <v/>
      </c>
      <c r="W81" s="152">
        <f>IF(Z80&lt;=0.005,0,Z80*(1+W$6))</f>
        <v/>
      </c>
      <c r="X81" s="152">
        <f>MIN(W81,W$7)</f>
        <v/>
      </c>
      <c r="Y81" s="152">
        <f>MAX(0,MIN(W81-X81,AQ81-(E81+I81+M81+Q81+U81)))</f>
        <v/>
      </c>
      <c r="Z81" s="152">
        <f>W81-X81-Y81</f>
        <v/>
      </c>
      <c r="AA81" s="152">
        <f>IF(AD80&lt;=0.005,0,AD80*(1+AA$6))</f>
        <v/>
      </c>
      <c r="AB81" s="152">
        <f>MIN(AA81,AA$7)</f>
        <v/>
      </c>
      <c r="AC81" s="152">
        <f>MAX(0,MIN(AA81-AB81,AQ81-(E81+I81+M81+Q81+U81+Y81)))</f>
        <v/>
      </c>
      <c r="AD81" s="152">
        <f>AA81-AB81-AC81</f>
        <v/>
      </c>
      <c r="AE81" s="152">
        <f>IF(AH80&lt;=0.005,0,AH80*(1+AE$6))</f>
        <v/>
      </c>
      <c r="AF81" s="152">
        <f>MIN(AE81,AE$7)</f>
        <v/>
      </c>
      <c r="AG81" s="152">
        <f>MAX(0,MIN(AE81-AF81,AQ81-(E81+I81+M81+Q81+U81+Y81+AC81)))</f>
        <v/>
      </c>
      <c r="AH81" s="152">
        <f>AE81-AF81-AG81</f>
        <v/>
      </c>
      <c r="AI81" s="152">
        <f>IF(AL80&lt;=0.005,0,AL80*(1+AI$6))</f>
        <v/>
      </c>
      <c r="AJ81" s="152">
        <f>MIN(AI81,AI$7)</f>
        <v/>
      </c>
      <c r="AK81" s="152">
        <f>MAX(0,MIN(AI81-AJ81,AQ81-(E81+I81+M81+Q81+U81+Y81+AC81+AG81)))</f>
        <v/>
      </c>
      <c r="AL81" s="152">
        <f>AI81-AJ81-AK81</f>
        <v/>
      </c>
      <c r="AM81" s="152">
        <f>IF(AP80&lt;=0.005,0,AP80*(1+AM$6))</f>
        <v/>
      </c>
      <c r="AN81" s="152">
        <f>MIN(AM81,AM$7)</f>
        <v/>
      </c>
      <c r="AO81" s="152">
        <f>MAX(0,MIN(AM81-AN81,AQ81-(E81+I81+M81+Q81+U81+Y81+AC81+AG81+AK81)))</f>
        <v/>
      </c>
      <c r="AP81" s="152">
        <f>AM81-AN81-AO81</f>
        <v/>
      </c>
      <c r="AQ81" s="152">
        <f>'Debt Payoff'!$C$8-SUM(D81,H81,L81,P81,T81,X81,AB81,AF81,AJ81,AN81)</f>
        <v/>
      </c>
      <c r="AR81" s="152">
        <f>SUM(D81,H81,L81,P81,T81,X81,AB81,AF81,AJ81,AN81)+SUM(E81,I81,M81,Q81,U81,Y81,AC81,AG81,AK81,AO81)</f>
        <v/>
      </c>
      <c r="AS81" s="152">
        <f>SUM(F81,J81,N81,R81,V81,Z81,AD81,AH81,AL81,AP81)</f>
        <v/>
      </c>
      <c r="AT81" s="152">
        <f>IF(B81&gt;AS$6,NA(),B81)</f>
        <v/>
      </c>
      <c r="AU81" s="152">
        <f>IF(B81&gt;AS$6,NA(),AS81)</f>
        <v/>
      </c>
      <c r="AV81" s="152" t="n"/>
      <c r="AW81" s="152" t="n">
        <v>70</v>
      </c>
      <c r="AX81" s="152">
        <f>IF(BA80&lt;=0.005,0,BA80*(1+AX$6))</f>
        <v/>
      </c>
      <c r="AY81" s="152">
        <f>MIN(AX81,AX$7)</f>
        <v/>
      </c>
      <c r="AZ81" s="152">
        <f>MAX(0,MIN(AX81-AY81,CL81))</f>
        <v/>
      </c>
      <c r="BA81" s="152">
        <f>AX81-AY81-AZ81</f>
        <v/>
      </c>
      <c r="BB81" s="152">
        <f>IF(BE80&lt;=0.005,0,BE80*(1+BB$6))</f>
        <v/>
      </c>
      <c r="BC81" s="152">
        <f>MIN(BB81,BB$7)</f>
        <v/>
      </c>
      <c r="BD81" s="152">
        <f>MAX(0,MIN(BB81-BC81,CL81-(AZ81)))</f>
        <v/>
      </c>
      <c r="BE81" s="152">
        <f>BB81-BC81-BD81</f>
        <v/>
      </c>
      <c r="BF81" s="152">
        <f>IF(BI80&lt;=0.005,0,BI80*(1+BF$6))</f>
        <v/>
      </c>
      <c r="BG81" s="152">
        <f>MIN(BF81,BF$7)</f>
        <v/>
      </c>
      <c r="BH81" s="152">
        <f>MAX(0,MIN(BF81-BG81,CL81-(AZ81+BD81)))</f>
        <v/>
      </c>
      <c r="BI81" s="152">
        <f>BF81-BG81-BH81</f>
        <v/>
      </c>
      <c r="BJ81" s="152">
        <f>IF(BM80&lt;=0.005,0,BM80*(1+BJ$6))</f>
        <v/>
      </c>
      <c r="BK81" s="152">
        <f>MIN(BJ81,BJ$7)</f>
        <v/>
      </c>
      <c r="BL81" s="152">
        <f>MAX(0,MIN(BJ81-BK81,CL81-(AZ81+BD81+BH81)))</f>
        <v/>
      </c>
      <c r="BM81" s="152">
        <f>BJ81-BK81-BL81</f>
        <v/>
      </c>
      <c r="BN81" s="152">
        <f>IF(BQ80&lt;=0.005,0,BQ80*(1+BN$6))</f>
        <v/>
      </c>
      <c r="BO81" s="152">
        <f>MIN(BN81,BN$7)</f>
        <v/>
      </c>
      <c r="BP81" s="152">
        <f>MAX(0,MIN(BN81-BO81,CL81-(AZ81+BD81+BH81+BL81)))</f>
        <v/>
      </c>
      <c r="BQ81" s="152">
        <f>BN81-BO81-BP81</f>
        <v/>
      </c>
      <c r="BR81" s="152">
        <f>IF(BU80&lt;=0.005,0,BU80*(1+BR$6))</f>
        <v/>
      </c>
      <c r="BS81" s="152">
        <f>MIN(BR81,BR$7)</f>
        <v/>
      </c>
      <c r="BT81" s="152">
        <f>MAX(0,MIN(BR81-BS81,CL81-(AZ81+BD81+BH81+BL81+BP81)))</f>
        <v/>
      </c>
      <c r="BU81" s="152">
        <f>BR81-BS81-BT81</f>
        <v/>
      </c>
      <c r="BV81" s="152">
        <f>IF(BY80&lt;=0.005,0,BY80*(1+BV$6))</f>
        <v/>
      </c>
      <c r="BW81" s="152">
        <f>MIN(BV81,BV$7)</f>
        <v/>
      </c>
      <c r="BX81" s="152">
        <f>MAX(0,MIN(BV81-BW81,CL81-(AZ81+BD81+BH81+BL81+BP81+BT81)))</f>
        <v/>
      </c>
      <c r="BY81" s="152">
        <f>BV81-BW81-BX81</f>
        <v/>
      </c>
      <c r="BZ81" s="152">
        <f>IF(CC80&lt;=0.005,0,CC80*(1+BZ$6))</f>
        <v/>
      </c>
      <c r="CA81" s="152">
        <f>MIN(BZ81,BZ$7)</f>
        <v/>
      </c>
      <c r="CB81" s="152">
        <f>MAX(0,MIN(BZ81-CA81,CL81-(AZ81+BD81+BH81+BL81+BP81+BT81+BX81)))</f>
        <v/>
      </c>
      <c r="CC81" s="152">
        <f>BZ81-CA81-CB81</f>
        <v/>
      </c>
      <c r="CD81" s="152">
        <f>IF(CG80&lt;=0.005,0,CG80*(1+CD$6))</f>
        <v/>
      </c>
      <c r="CE81" s="152">
        <f>MIN(CD81,CD$7)</f>
        <v/>
      </c>
      <c r="CF81" s="152">
        <f>MAX(0,MIN(CD81-CE81,CL81-(AZ81+BD81+BH81+BL81+BP81+BT81+BX81+CB81)))</f>
        <v/>
      </c>
      <c r="CG81" s="152">
        <f>CD81-CE81-CF81</f>
        <v/>
      </c>
      <c r="CH81" s="152">
        <f>IF(CK80&lt;=0.005,0,CK80*(1+CH$6))</f>
        <v/>
      </c>
      <c r="CI81" s="152">
        <f>MIN(CH81,CH$7)</f>
        <v/>
      </c>
      <c r="CJ81" s="152">
        <f>MAX(0,MIN(CH81-CI81,CL81-(AZ81+BD81+BH81+BL81+BP81+BT81+BX81+CB81+CF81)))</f>
        <v/>
      </c>
      <c r="CK81" s="152">
        <f>CH81-CI81-CJ81</f>
        <v/>
      </c>
      <c r="CL81" s="152">
        <f>'Debt Payoff'!$C$8-SUM(AY81,BC81,BG81,BK81,BO81,BS81,BW81,CA81,CE81,CI81)</f>
        <v/>
      </c>
      <c r="CM81" s="152">
        <f>SUM(AY81,BC81,BG81,BK81,BO81,BS81,BW81,CA81,CE81,CI81)+SUM(AZ81,BD81,BH81,BL81,BP81,BT81,BX81,CB81,CF81,CJ81)</f>
        <v/>
      </c>
      <c r="CN81" s="152">
        <f>SUM(BA81,BE81,BI81,BM81,BQ81,BU81,BY81,CC81,CG81,CK81)</f>
        <v/>
      </c>
      <c r="CO81" s="152">
        <f>IF(AW81&gt;CN$6,NA(),AW81)</f>
        <v/>
      </c>
      <c r="CP81" s="152">
        <f>IF(AW81&gt;CN$6,NA(),CN81)</f>
        <v/>
      </c>
    </row>
    <row r="82">
      <c r="B82" s="152" t="n">
        <v>71</v>
      </c>
      <c r="C82" s="152">
        <f>IF(F81&lt;=0.005,0,F81*(1+C$6))</f>
        <v/>
      </c>
      <c r="D82" s="152">
        <f>MIN(C82,C$7)</f>
        <v/>
      </c>
      <c r="E82" s="152">
        <f>MAX(0,MIN(C82-D82,AQ82))</f>
        <v/>
      </c>
      <c r="F82" s="152">
        <f>C82-D82-E82</f>
        <v/>
      </c>
      <c r="G82" s="152">
        <f>IF(J81&lt;=0.005,0,J81*(1+G$6))</f>
        <v/>
      </c>
      <c r="H82" s="152">
        <f>MIN(G82,G$7)</f>
        <v/>
      </c>
      <c r="I82" s="152">
        <f>MAX(0,MIN(G82-H82,AQ82-(E82)))</f>
        <v/>
      </c>
      <c r="J82" s="152">
        <f>G82-H82-I82</f>
        <v/>
      </c>
      <c r="K82" s="152">
        <f>IF(N81&lt;=0.005,0,N81*(1+K$6))</f>
        <v/>
      </c>
      <c r="L82" s="152">
        <f>MIN(K82,K$7)</f>
        <v/>
      </c>
      <c r="M82" s="152">
        <f>MAX(0,MIN(K82-L82,AQ82-(E82+I82)))</f>
        <v/>
      </c>
      <c r="N82" s="152">
        <f>K82-L82-M82</f>
        <v/>
      </c>
      <c r="O82" s="152">
        <f>IF(R81&lt;=0.005,0,R81*(1+O$6))</f>
        <v/>
      </c>
      <c r="P82" s="152">
        <f>MIN(O82,O$7)</f>
        <v/>
      </c>
      <c r="Q82" s="152">
        <f>MAX(0,MIN(O82-P82,AQ82-(E82+I82+M82)))</f>
        <v/>
      </c>
      <c r="R82" s="152">
        <f>O82-P82-Q82</f>
        <v/>
      </c>
      <c r="S82" s="152">
        <f>IF(V81&lt;=0.005,0,V81*(1+S$6))</f>
        <v/>
      </c>
      <c r="T82" s="152">
        <f>MIN(S82,S$7)</f>
        <v/>
      </c>
      <c r="U82" s="152">
        <f>MAX(0,MIN(S82-T82,AQ82-(E82+I82+M82+Q82)))</f>
        <v/>
      </c>
      <c r="V82" s="152">
        <f>S82-T82-U82</f>
        <v/>
      </c>
      <c r="W82" s="152">
        <f>IF(Z81&lt;=0.005,0,Z81*(1+W$6))</f>
        <v/>
      </c>
      <c r="X82" s="152">
        <f>MIN(W82,W$7)</f>
        <v/>
      </c>
      <c r="Y82" s="152">
        <f>MAX(0,MIN(W82-X82,AQ82-(E82+I82+M82+Q82+U82)))</f>
        <v/>
      </c>
      <c r="Z82" s="152">
        <f>W82-X82-Y82</f>
        <v/>
      </c>
      <c r="AA82" s="152">
        <f>IF(AD81&lt;=0.005,0,AD81*(1+AA$6))</f>
        <v/>
      </c>
      <c r="AB82" s="152">
        <f>MIN(AA82,AA$7)</f>
        <v/>
      </c>
      <c r="AC82" s="152">
        <f>MAX(0,MIN(AA82-AB82,AQ82-(E82+I82+M82+Q82+U82+Y82)))</f>
        <v/>
      </c>
      <c r="AD82" s="152">
        <f>AA82-AB82-AC82</f>
        <v/>
      </c>
      <c r="AE82" s="152">
        <f>IF(AH81&lt;=0.005,0,AH81*(1+AE$6))</f>
        <v/>
      </c>
      <c r="AF82" s="152">
        <f>MIN(AE82,AE$7)</f>
        <v/>
      </c>
      <c r="AG82" s="152">
        <f>MAX(0,MIN(AE82-AF82,AQ82-(E82+I82+M82+Q82+U82+Y82+AC82)))</f>
        <v/>
      </c>
      <c r="AH82" s="152">
        <f>AE82-AF82-AG82</f>
        <v/>
      </c>
      <c r="AI82" s="152">
        <f>IF(AL81&lt;=0.005,0,AL81*(1+AI$6))</f>
        <v/>
      </c>
      <c r="AJ82" s="152">
        <f>MIN(AI82,AI$7)</f>
        <v/>
      </c>
      <c r="AK82" s="152">
        <f>MAX(0,MIN(AI82-AJ82,AQ82-(E82+I82+M82+Q82+U82+Y82+AC82+AG82)))</f>
        <v/>
      </c>
      <c r="AL82" s="152">
        <f>AI82-AJ82-AK82</f>
        <v/>
      </c>
      <c r="AM82" s="152">
        <f>IF(AP81&lt;=0.005,0,AP81*(1+AM$6))</f>
        <v/>
      </c>
      <c r="AN82" s="152">
        <f>MIN(AM82,AM$7)</f>
        <v/>
      </c>
      <c r="AO82" s="152">
        <f>MAX(0,MIN(AM82-AN82,AQ82-(E82+I82+M82+Q82+U82+Y82+AC82+AG82+AK82)))</f>
        <v/>
      </c>
      <c r="AP82" s="152">
        <f>AM82-AN82-AO82</f>
        <v/>
      </c>
      <c r="AQ82" s="152">
        <f>'Debt Payoff'!$C$8-SUM(D82,H82,L82,P82,T82,X82,AB82,AF82,AJ82,AN82)</f>
        <v/>
      </c>
      <c r="AR82" s="152">
        <f>SUM(D82,H82,L82,P82,T82,X82,AB82,AF82,AJ82,AN82)+SUM(E82,I82,M82,Q82,U82,Y82,AC82,AG82,AK82,AO82)</f>
        <v/>
      </c>
      <c r="AS82" s="152">
        <f>SUM(F82,J82,N82,R82,V82,Z82,AD82,AH82,AL82,AP82)</f>
        <v/>
      </c>
      <c r="AT82" s="152">
        <f>IF(B82&gt;AS$6,NA(),B82)</f>
        <v/>
      </c>
      <c r="AU82" s="152">
        <f>IF(B82&gt;AS$6,NA(),AS82)</f>
        <v/>
      </c>
      <c r="AV82" s="152" t="n"/>
      <c r="AW82" s="152" t="n">
        <v>71</v>
      </c>
      <c r="AX82" s="152">
        <f>IF(BA81&lt;=0.005,0,BA81*(1+AX$6))</f>
        <v/>
      </c>
      <c r="AY82" s="152">
        <f>MIN(AX82,AX$7)</f>
        <v/>
      </c>
      <c r="AZ82" s="152">
        <f>MAX(0,MIN(AX82-AY82,CL82))</f>
        <v/>
      </c>
      <c r="BA82" s="152">
        <f>AX82-AY82-AZ82</f>
        <v/>
      </c>
      <c r="BB82" s="152">
        <f>IF(BE81&lt;=0.005,0,BE81*(1+BB$6))</f>
        <v/>
      </c>
      <c r="BC82" s="152">
        <f>MIN(BB82,BB$7)</f>
        <v/>
      </c>
      <c r="BD82" s="152">
        <f>MAX(0,MIN(BB82-BC82,CL82-(AZ82)))</f>
        <v/>
      </c>
      <c r="BE82" s="152">
        <f>BB82-BC82-BD82</f>
        <v/>
      </c>
      <c r="BF82" s="152">
        <f>IF(BI81&lt;=0.005,0,BI81*(1+BF$6))</f>
        <v/>
      </c>
      <c r="BG82" s="152">
        <f>MIN(BF82,BF$7)</f>
        <v/>
      </c>
      <c r="BH82" s="152">
        <f>MAX(0,MIN(BF82-BG82,CL82-(AZ82+BD82)))</f>
        <v/>
      </c>
      <c r="BI82" s="152">
        <f>BF82-BG82-BH82</f>
        <v/>
      </c>
      <c r="BJ82" s="152">
        <f>IF(BM81&lt;=0.005,0,BM81*(1+BJ$6))</f>
        <v/>
      </c>
      <c r="BK82" s="152">
        <f>MIN(BJ82,BJ$7)</f>
        <v/>
      </c>
      <c r="BL82" s="152">
        <f>MAX(0,MIN(BJ82-BK82,CL82-(AZ82+BD82+BH82)))</f>
        <v/>
      </c>
      <c r="BM82" s="152">
        <f>BJ82-BK82-BL82</f>
        <v/>
      </c>
      <c r="BN82" s="152">
        <f>IF(BQ81&lt;=0.005,0,BQ81*(1+BN$6))</f>
        <v/>
      </c>
      <c r="BO82" s="152">
        <f>MIN(BN82,BN$7)</f>
        <v/>
      </c>
      <c r="BP82" s="152">
        <f>MAX(0,MIN(BN82-BO82,CL82-(AZ82+BD82+BH82+BL82)))</f>
        <v/>
      </c>
      <c r="BQ82" s="152">
        <f>BN82-BO82-BP82</f>
        <v/>
      </c>
      <c r="BR82" s="152">
        <f>IF(BU81&lt;=0.005,0,BU81*(1+BR$6))</f>
        <v/>
      </c>
      <c r="BS82" s="152">
        <f>MIN(BR82,BR$7)</f>
        <v/>
      </c>
      <c r="BT82" s="152">
        <f>MAX(0,MIN(BR82-BS82,CL82-(AZ82+BD82+BH82+BL82+BP82)))</f>
        <v/>
      </c>
      <c r="BU82" s="152">
        <f>BR82-BS82-BT82</f>
        <v/>
      </c>
      <c r="BV82" s="152">
        <f>IF(BY81&lt;=0.005,0,BY81*(1+BV$6))</f>
        <v/>
      </c>
      <c r="BW82" s="152">
        <f>MIN(BV82,BV$7)</f>
        <v/>
      </c>
      <c r="BX82" s="152">
        <f>MAX(0,MIN(BV82-BW82,CL82-(AZ82+BD82+BH82+BL82+BP82+BT82)))</f>
        <v/>
      </c>
      <c r="BY82" s="152">
        <f>BV82-BW82-BX82</f>
        <v/>
      </c>
      <c r="BZ82" s="152">
        <f>IF(CC81&lt;=0.005,0,CC81*(1+BZ$6))</f>
        <v/>
      </c>
      <c r="CA82" s="152">
        <f>MIN(BZ82,BZ$7)</f>
        <v/>
      </c>
      <c r="CB82" s="152">
        <f>MAX(0,MIN(BZ82-CA82,CL82-(AZ82+BD82+BH82+BL82+BP82+BT82+BX82)))</f>
        <v/>
      </c>
      <c r="CC82" s="152">
        <f>BZ82-CA82-CB82</f>
        <v/>
      </c>
      <c r="CD82" s="152">
        <f>IF(CG81&lt;=0.005,0,CG81*(1+CD$6))</f>
        <v/>
      </c>
      <c r="CE82" s="152">
        <f>MIN(CD82,CD$7)</f>
        <v/>
      </c>
      <c r="CF82" s="152">
        <f>MAX(0,MIN(CD82-CE82,CL82-(AZ82+BD82+BH82+BL82+BP82+BT82+BX82+CB82)))</f>
        <v/>
      </c>
      <c r="CG82" s="152">
        <f>CD82-CE82-CF82</f>
        <v/>
      </c>
      <c r="CH82" s="152">
        <f>IF(CK81&lt;=0.005,0,CK81*(1+CH$6))</f>
        <v/>
      </c>
      <c r="CI82" s="152">
        <f>MIN(CH82,CH$7)</f>
        <v/>
      </c>
      <c r="CJ82" s="152">
        <f>MAX(0,MIN(CH82-CI82,CL82-(AZ82+BD82+BH82+BL82+BP82+BT82+BX82+CB82+CF82)))</f>
        <v/>
      </c>
      <c r="CK82" s="152">
        <f>CH82-CI82-CJ82</f>
        <v/>
      </c>
      <c r="CL82" s="152">
        <f>'Debt Payoff'!$C$8-SUM(AY82,BC82,BG82,BK82,BO82,BS82,BW82,CA82,CE82,CI82)</f>
        <v/>
      </c>
      <c r="CM82" s="152">
        <f>SUM(AY82,BC82,BG82,BK82,BO82,BS82,BW82,CA82,CE82,CI82)+SUM(AZ82,BD82,BH82,BL82,BP82,BT82,BX82,CB82,CF82,CJ82)</f>
        <v/>
      </c>
      <c r="CN82" s="152">
        <f>SUM(BA82,BE82,BI82,BM82,BQ82,BU82,BY82,CC82,CG82,CK82)</f>
        <v/>
      </c>
      <c r="CO82" s="152">
        <f>IF(AW82&gt;CN$6,NA(),AW82)</f>
        <v/>
      </c>
      <c r="CP82" s="152">
        <f>IF(AW82&gt;CN$6,NA(),CN82)</f>
        <v/>
      </c>
    </row>
    <row r="83">
      <c r="B83" s="152" t="n">
        <v>72</v>
      </c>
      <c r="C83" s="152">
        <f>IF(F82&lt;=0.005,0,F82*(1+C$6))</f>
        <v/>
      </c>
      <c r="D83" s="152">
        <f>MIN(C83,C$7)</f>
        <v/>
      </c>
      <c r="E83" s="152">
        <f>MAX(0,MIN(C83-D83,AQ83))</f>
        <v/>
      </c>
      <c r="F83" s="152">
        <f>C83-D83-E83</f>
        <v/>
      </c>
      <c r="G83" s="152">
        <f>IF(J82&lt;=0.005,0,J82*(1+G$6))</f>
        <v/>
      </c>
      <c r="H83" s="152">
        <f>MIN(G83,G$7)</f>
        <v/>
      </c>
      <c r="I83" s="152">
        <f>MAX(0,MIN(G83-H83,AQ83-(E83)))</f>
        <v/>
      </c>
      <c r="J83" s="152">
        <f>G83-H83-I83</f>
        <v/>
      </c>
      <c r="K83" s="152">
        <f>IF(N82&lt;=0.005,0,N82*(1+K$6))</f>
        <v/>
      </c>
      <c r="L83" s="152">
        <f>MIN(K83,K$7)</f>
        <v/>
      </c>
      <c r="M83" s="152">
        <f>MAX(0,MIN(K83-L83,AQ83-(E83+I83)))</f>
        <v/>
      </c>
      <c r="N83" s="152">
        <f>K83-L83-M83</f>
        <v/>
      </c>
      <c r="O83" s="152">
        <f>IF(R82&lt;=0.005,0,R82*(1+O$6))</f>
        <v/>
      </c>
      <c r="P83" s="152">
        <f>MIN(O83,O$7)</f>
        <v/>
      </c>
      <c r="Q83" s="152">
        <f>MAX(0,MIN(O83-P83,AQ83-(E83+I83+M83)))</f>
        <v/>
      </c>
      <c r="R83" s="152">
        <f>O83-P83-Q83</f>
        <v/>
      </c>
      <c r="S83" s="152">
        <f>IF(V82&lt;=0.005,0,V82*(1+S$6))</f>
        <v/>
      </c>
      <c r="T83" s="152">
        <f>MIN(S83,S$7)</f>
        <v/>
      </c>
      <c r="U83" s="152">
        <f>MAX(0,MIN(S83-T83,AQ83-(E83+I83+M83+Q83)))</f>
        <v/>
      </c>
      <c r="V83" s="152">
        <f>S83-T83-U83</f>
        <v/>
      </c>
      <c r="W83" s="152">
        <f>IF(Z82&lt;=0.005,0,Z82*(1+W$6))</f>
        <v/>
      </c>
      <c r="X83" s="152">
        <f>MIN(W83,W$7)</f>
        <v/>
      </c>
      <c r="Y83" s="152">
        <f>MAX(0,MIN(W83-X83,AQ83-(E83+I83+M83+Q83+U83)))</f>
        <v/>
      </c>
      <c r="Z83" s="152">
        <f>W83-X83-Y83</f>
        <v/>
      </c>
      <c r="AA83" s="152">
        <f>IF(AD82&lt;=0.005,0,AD82*(1+AA$6))</f>
        <v/>
      </c>
      <c r="AB83" s="152">
        <f>MIN(AA83,AA$7)</f>
        <v/>
      </c>
      <c r="AC83" s="152">
        <f>MAX(0,MIN(AA83-AB83,AQ83-(E83+I83+M83+Q83+U83+Y83)))</f>
        <v/>
      </c>
      <c r="AD83" s="152">
        <f>AA83-AB83-AC83</f>
        <v/>
      </c>
      <c r="AE83" s="152">
        <f>IF(AH82&lt;=0.005,0,AH82*(1+AE$6))</f>
        <v/>
      </c>
      <c r="AF83" s="152">
        <f>MIN(AE83,AE$7)</f>
        <v/>
      </c>
      <c r="AG83" s="152">
        <f>MAX(0,MIN(AE83-AF83,AQ83-(E83+I83+M83+Q83+U83+Y83+AC83)))</f>
        <v/>
      </c>
      <c r="AH83" s="152">
        <f>AE83-AF83-AG83</f>
        <v/>
      </c>
      <c r="AI83" s="152">
        <f>IF(AL82&lt;=0.005,0,AL82*(1+AI$6))</f>
        <v/>
      </c>
      <c r="AJ83" s="152">
        <f>MIN(AI83,AI$7)</f>
        <v/>
      </c>
      <c r="AK83" s="152">
        <f>MAX(0,MIN(AI83-AJ83,AQ83-(E83+I83+M83+Q83+U83+Y83+AC83+AG83)))</f>
        <v/>
      </c>
      <c r="AL83" s="152">
        <f>AI83-AJ83-AK83</f>
        <v/>
      </c>
      <c r="AM83" s="152">
        <f>IF(AP82&lt;=0.005,0,AP82*(1+AM$6))</f>
        <v/>
      </c>
      <c r="AN83" s="152">
        <f>MIN(AM83,AM$7)</f>
        <v/>
      </c>
      <c r="AO83" s="152">
        <f>MAX(0,MIN(AM83-AN83,AQ83-(E83+I83+M83+Q83+U83+Y83+AC83+AG83+AK83)))</f>
        <v/>
      </c>
      <c r="AP83" s="152">
        <f>AM83-AN83-AO83</f>
        <v/>
      </c>
      <c r="AQ83" s="152">
        <f>'Debt Payoff'!$C$8-SUM(D83,H83,L83,P83,T83,X83,AB83,AF83,AJ83,AN83)</f>
        <v/>
      </c>
      <c r="AR83" s="152">
        <f>SUM(D83,H83,L83,P83,T83,X83,AB83,AF83,AJ83,AN83)+SUM(E83,I83,M83,Q83,U83,Y83,AC83,AG83,AK83,AO83)</f>
        <v/>
      </c>
      <c r="AS83" s="152">
        <f>SUM(F83,J83,N83,R83,V83,Z83,AD83,AH83,AL83,AP83)</f>
        <v/>
      </c>
      <c r="AT83" s="152">
        <f>IF(B83&gt;AS$6,NA(),B83)</f>
        <v/>
      </c>
      <c r="AU83" s="152">
        <f>IF(B83&gt;AS$6,NA(),AS83)</f>
        <v/>
      </c>
      <c r="AV83" s="152" t="n"/>
      <c r="AW83" s="152" t="n">
        <v>72</v>
      </c>
      <c r="AX83" s="152">
        <f>IF(BA82&lt;=0.005,0,BA82*(1+AX$6))</f>
        <v/>
      </c>
      <c r="AY83" s="152">
        <f>MIN(AX83,AX$7)</f>
        <v/>
      </c>
      <c r="AZ83" s="152">
        <f>MAX(0,MIN(AX83-AY83,CL83))</f>
        <v/>
      </c>
      <c r="BA83" s="152">
        <f>AX83-AY83-AZ83</f>
        <v/>
      </c>
      <c r="BB83" s="152">
        <f>IF(BE82&lt;=0.005,0,BE82*(1+BB$6))</f>
        <v/>
      </c>
      <c r="BC83" s="152">
        <f>MIN(BB83,BB$7)</f>
        <v/>
      </c>
      <c r="BD83" s="152">
        <f>MAX(0,MIN(BB83-BC83,CL83-(AZ83)))</f>
        <v/>
      </c>
      <c r="BE83" s="152">
        <f>BB83-BC83-BD83</f>
        <v/>
      </c>
      <c r="BF83" s="152">
        <f>IF(BI82&lt;=0.005,0,BI82*(1+BF$6))</f>
        <v/>
      </c>
      <c r="BG83" s="152">
        <f>MIN(BF83,BF$7)</f>
        <v/>
      </c>
      <c r="BH83" s="152">
        <f>MAX(0,MIN(BF83-BG83,CL83-(AZ83+BD83)))</f>
        <v/>
      </c>
      <c r="BI83" s="152">
        <f>BF83-BG83-BH83</f>
        <v/>
      </c>
      <c r="BJ83" s="152">
        <f>IF(BM82&lt;=0.005,0,BM82*(1+BJ$6))</f>
        <v/>
      </c>
      <c r="BK83" s="152">
        <f>MIN(BJ83,BJ$7)</f>
        <v/>
      </c>
      <c r="BL83" s="152">
        <f>MAX(0,MIN(BJ83-BK83,CL83-(AZ83+BD83+BH83)))</f>
        <v/>
      </c>
      <c r="BM83" s="152">
        <f>BJ83-BK83-BL83</f>
        <v/>
      </c>
      <c r="BN83" s="152">
        <f>IF(BQ82&lt;=0.005,0,BQ82*(1+BN$6))</f>
        <v/>
      </c>
      <c r="BO83" s="152">
        <f>MIN(BN83,BN$7)</f>
        <v/>
      </c>
      <c r="BP83" s="152">
        <f>MAX(0,MIN(BN83-BO83,CL83-(AZ83+BD83+BH83+BL83)))</f>
        <v/>
      </c>
      <c r="BQ83" s="152">
        <f>BN83-BO83-BP83</f>
        <v/>
      </c>
      <c r="BR83" s="152">
        <f>IF(BU82&lt;=0.005,0,BU82*(1+BR$6))</f>
        <v/>
      </c>
      <c r="BS83" s="152">
        <f>MIN(BR83,BR$7)</f>
        <v/>
      </c>
      <c r="BT83" s="152">
        <f>MAX(0,MIN(BR83-BS83,CL83-(AZ83+BD83+BH83+BL83+BP83)))</f>
        <v/>
      </c>
      <c r="BU83" s="152">
        <f>BR83-BS83-BT83</f>
        <v/>
      </c>
      <c r="BV83" s="152">
        <f>IF(BY82&lt;=0.005,0,BY82*(1+BV$6))</f>
        <v/>
      </c>
      <c r="BW83" s="152">
        <f>MIN(BV83,BV$7)</f>
        <v/>
      </c>
      <c r="BX83" s="152">
        <f>MAX(0,MIN(BV83-BW83,CL83-(AZ83+BD83+BH83+BL83+BP83+BT83)))</f>
        <v/>
      </c>
      <c r="BY83" s="152">
        <f>BV83-BW83-BX83</f>
        <v/>
      </c>
      <c r="BZ83" s="152">
        <f>IF(CC82&lt;=0.005,0,CC82*(1+BZ$6))</f>
        <v/>
      </c>
      <c r="CA83" s="152">
        <f>MIN(BZ83,BZ$7)</f>
        <v/>
      </c>
      <c r="CB83" s="152">
        <f>MAX(0,MIN(BZ83-CA83,CL83-(AZ83+BD83+BH83+BL83+BP83+BT83+BX83)))</f>
        <v/>
      </c>
      <c r="CC83" s="152">
        <f>BZ83-CA83-CB83</f>
        <v/>
      </c>
      <c r="CD83" s="152">
        <f>IF(CG82&lt;=0.005,0,CG82*(1+CD$6))</f>
        <v/>
      </c>
      <c r="CE83" s="152">
        <f>MIN(CD83,CD$7)</f>
        <v/>
      </c>
      <c r="CF83" s="152">
        <f>MAX(0,MIN(CD83-CE83,CL83-(AZ83+BD83+BH83+BL83+BP83+BT83+BX83+CB83)))</f>
        <v/>
      </c>
      <c r="CG83" s="152">
        <f>CD83-CE83-CF83</f>
        <v/>
      </c>
      <c r="CH83" s="152">
        <f>IF(CK82&lt;=0.005,0,CK82*(1+CH$6))</f>
        <v/>
      </c>
      <c r="CI83" s="152">
        <f>MIN(CH83,CH$7)</f>
        <v/>
      </c>
      <c r="CJ83" s="152">
        <f>MAX(0,MIN(CH83-CI83,CL83-(AZ83+BD83+BH83+BL83+BP83+BT83+BX83+CB83+CF83)))</f>
        <v/>
      </c>
      <c r="CK83" s="152">
        <f>CH83-CI83-CJ83</f>
        <v/>
      </c>
      <c r="CL83" s="152">
        <f>'Debt Payoff'!$C$8-SUM(AY83,BC83,BG83,BK83,BO83,BS83,BW83,CA83,CE83,CI83)</f>
        <v/>
      </c>
      <c r="CM83" s="152">
        <f>SUM(AY83,BC83,BG83,BK83,BO83,BS83,BW83,CA83,CE83,CI83)+SUM(AZ83,BD83,BH83,BL83,BP83,BT83,BX83,CB83,CF83,CJ83)</f>
        <v/>
      </c>
      <c r="CN83" s="152">
        <f>SUM(BA83,BE83,BI83,BM83,BQ83,BU83,BY83,CC83,CG83,CK83)</f>
        <v/>
      </c>
      <c r="CO83" s="152">
        <f>IF(AW83&gt;CN$6,NA(),AW83)</f>
        <v/>
      </c>
      <c r="CP83" s="152">
        <f>IF(AW83&gt;CN$6,NA(),CN83)</f>
        <v/>
      </c>
    </row>
    <row r="84">
      <c r="B84" s="152" t="n">
        <v>73</v>
      </c>
      <c r="C84" s="152">
        <f>IF(F83&lt;=0.005,0,F83*(1+C$6))</f>
        <v/>
      </c>
      <c r="D84" s="152">
        <f>MIN(C84,C$7)</f>
        <v/>
      </c>
      <c r="E84" s="152">
        <f>MAX(0,MIN(C84-D84,AQ84))</f>
        <v/>
      </c>
      <c r="F84" s="152">
        <f>C84-D84-E84</f>
        <v/>
      </c>
      <c r="G84" s="152">
        <f>IF(J83&lt;=0.005,0,J83*(1+G$6))</f>
        <v/>
      </c>
      <c r="H84" s="152">
        <f>MIN(G84,G$7)</f>
        <v/>
      </c>
      <c r="I84" s="152">
        <f>MAX(0,MIN(G84-H84,AQ84-(E84)))</f>
        <v/>
      </c>
      <c r="J84" s="152">
        <f>G84-H84-I84</f>
        <v/>
      </c>
      <c r="K84" s="152">
        <f>IF(N83&lt;=0.005,0,N83*(1+K$6))</f>
        <v/>
      </c>
      <c r="L84" s="152">
        <f>MIN(K84,K$7)</f>
        <v/>
      </c>
      <c r="M84" s="152">
        <f>MAX(0,MIN(K84-L84,AQ84-(E84+I84)))</f>
        <v/>
      </c>
      <c r="N84" s="152">
        <f>K84-L84-M84</f>
        <v/>
      </c>
      <c r="O84" s="152">
        <f>IF(R83&lt;=0.005,0,R83*(1+O$6))</f>
        <v/>
      </c>
      <c r="P84" s="152">
        <f>MIN(O84,O$7)</f>
        <v/>
      </c>
      <c r="Q84" s="152">
        <f>MAX(0,MIN(O84-P84,AQ84-(E84+I84+M84)))</f>
        <v/>
      </c>
      <c r="R84" s="152">
        <f>O84-P84-Q84</f>
        <v/>
      </c>
      <c r="S84" s="152">
        <f>IF(V83&lt;=0.005,0,V83*(1+S$6))</f>
        <v/>
      </c>
      <c r="T84" s="152">
        <f>MIN(S84,S$7)</f>
        <v/>
      </c>
      <c r="U84" s="152">
        <f>MAX(0,MIN(S84-T84,AQ84-(E84+I84+M84+Q84)))</f>
        <v/>
      </c>
      <c r="V84" s="152">
        <f>S84-T84-U84</f>
        <v/>
      </c>
      <c r="W84" s="152">
        <f>IF(Z83&lt;=0.005,0,Z83*(1+W$6))</f>
        <v/>
      </c>
      <c r="X84" s="152">
        <f>MIN(W84,W$7)</f>
        <v/>
      </c>
      <c r="Y84" s="152">
        <f>MAX(0,MIN(W84-X84,AQ84-(E84+I84+M84+Q84+U84)))</f>
        <v/>
      </c>
      <c r="Z84" s="152">
        <f>W84-X84-Y84</f>
        <v/>
      </c>
      <c r="AA84" s="152">
        <f>IF(AD83&lt;=0.005,0,AD83*(1+AA$6))</f>
        <v/>
      </c>
      <c r="AB84" s="152">
        <f>MIN(AA84,AA$7)</f>
        <v/>
      </c>
      <c r="AC84" s="152">
        <f>MAX(0,MIN(AA84-AB84,AQ84-(E84+I84+M84+Q84+U84+Y84)))</f>
        <v/>
      </c>
      <c r="AD84" s="152">
        <f>AA84-AB84-AC84</f>
        <v/>
      </c>
      <c r="AE84" s="152">
        <f>IF(AH83&lt;=0.005,0,AH83*(1+AE$6))</f>
        <v/>
      </c>
      <c r="AF84" s="152">
        <f>MIN(AE84,AE$7)</f>
        <v/>
      </c>
      <c r="AG84" s="152">
        <f>MAX(0,MIN(AE84-AF84,AQ84-(E84+I84+M84+Q84+U84+Y84+AC84)))</f>
        <v/>
      </c>
      <c r="AH84" s="152">
        <f>AE84-AF84-AG84</f>
        <v/>
      </c>
      <c r="AI84" s="152">
        <f>IF(AL83&lt;=0.005,0,AL83*(1+AI$6))</f>
        <v/>
      </c>
      <c r="AJ84" s="152">
        <f>MIN(AI84,AI$7)</f>
        <v/>
      </c>
      <c r="AK84" s="152">
        <f>MAX(0,MIN(AI84-AJ84,AQ84-(E84+I84+M84+Q84+U84+Y84+AC84+AG84)))</f>
        <v/>
      </c>
      <c r="AL84" s="152">
        <f>AI84-AJ84-AK84</f>
        <v/>
      </c>
      <c r="AM84" s="152">
        <f>IF(AP83&lt;=0.005,0,AP83*(1+AM$6))</f>
        <v/>
      </c>
      <c r="AN84" s="152">
        <f>MIN(AM84,AM$7)</f>
        <v/>
      </c>
      <c r="AO84" s="152">
        <f>MAX(0,MIN(AM84-AN84,AQ84-(E84+I84+M84+Q84+U84+Y84+AC84+AG84+AK84)))</f>
        <v/>
      </c>
      <c r="AP84" s="152">
        <f>AM84-AN84-AO84</f>
        <v/>
      </c>
      <c r="AQ84" s="152">
        <f>'Debt Payoff'!$C$8-SUM(D84,H84,L84,P84,T84,X84,AB84,AF84,AJ84,AN84)</f>
        <v/>
      </c>
      <c r="AR84" s="152">
        <f>SUM(D84,H84,L84,P84,T84,X84,AB84,AF84,AJ84,AN84)+SUM(E84,I84,M84,Q84,U84,Y84,AC84,AG84,AK84,AO84)</f>
        <v/>
      </c>
      <c r="AS84" s="152">
        <f>SUM(F84,J84,N84,R84,V84,Z84,AD84,AH84,AL84,AP84)</f>
        <v/>
      </c>
      <c r="AT84" s="152">
        <f>IF(B84&gt;AS$6,NA(),B84)</f>
        <v/>
      </c>
      <c r="AU84" s="152">
        <f>IF(B84&gt;AS$6,NA(),AS84)</f>
        <v/>
      </c>
      <c r="AV84" s="152" t="n"/>
      <c r="AW84" s="152" t="n">
        <v>73</v>
      </c>
      <c r="AX84" s="152">
        <f>IF(BA83&lt;=0.005,0,BA83*(1+AX$6))</f>
        <v/>
      </c>
      <c r="AY84" s="152">
        <f>MIN(AX84,AX$7)</f>
        <v/>
      </c>
      <c r="AZ84" s="152">
        <f>MAX(0,MIN(AX84-AY84,CL84))</f>
        <v/>
      </c>
      <c r="BA84" s="152">
        <f>AX84-AY84-AZ84</f>
        <v/>
      </c>
      <c r="BB84" s="152">
        <f>IF(BE83&lt;=0.005,0,BE83*(1+BB$6))</f>
        <v/>
      </c>
      <c r="BC84" s="152">
        <f>MIN(BB84,BB$7)</f>
        <v/>
      </c>
      <c r="BD84" s="152">
        <f>MAX(0,MIN(BB84-BC84,CL84-(AZ84)))</f>
        <v/>
      </c>
      <c r="BE84" s="152">
        <f>BB84-BC84-BD84</f>
        <v/>
      </c>
      <c r="BF84" s="152">
        <f>IF(BI83&lt;=0.005,0,BI83*(1+BF$6))</f>
        <v/>
      </c>
      <c r="BG84" s="152">
        <f>MIN(BF84,BF$7)</f>
        <v/>
      </c>
      <c r="BH84" s="152">
        <f>MAX(0,MIN(BF84-BG84,CL84-(AZ84+BD84)))</f>
        <v/>
      </c>
      <c r="BI84" s="152">
        <f>BF84-BG84-BH84</f>
        <v/>
      </c>
      <c r="BJ84" s="152">
        <f>IF(BM83&lt;=0.005,0,BM83*(1+BJ$6))</f>
        <v/>
      </c>
      <c r="BK84" s="152">
        <f>MIN(BJ84,BJ$7)</f>
        <v/>
      </c>
      <c r="BL84" s="152">
        <f>MAX(0,MIN(BJ84-BK84,CL84-(AZ84+BD84+BH84)))</f>
        <v/>
      </c>
      <c r="BM84" s="152">
        <f>BJ84-BK84-BL84</f>
        <v/>
      </c>
      <c r="BN84" s="152">
        <f>IF(BQ83&lt;=0.005,0,BQ83*(1+BN$6))</f>
        <v/>
      </c>
      <c r="BO84" s="152">
        <f>MIN(BN84,BN$7)</f>
        <v/>
      </c>
      <c r="BP84" s="152">
        <f>MAX(0,MIN(BN84-BO84,CL84-(AZ84+BD84+BH84+BL84)))</f>
        <v/>
      </c>
      <c r="BQ84" s="152">
        <f>BN84-BO84-BP84</f>
        <v/>
      </c>
      <c r="BR84" s="152">
        <f>IF(BU83&lt;=0.005,0,BU83*(1+BR$6))</f>
        <v/>
      </c>
      <c r="BS84" s="152">
        <f>MIN(BR84,BR$7)</f>
        <v/>
      </c>
      <c r="BT84" s="152">
        <f>MAX(0,MIN(BR84-BS84,CL84-(AZ84+BD84+BH84+BL84+BP84)))</f>
        <v/>
      </c>
      <c r="BU84" s="152">
        <f>BR84-BS84-BT84</f>
        <v/>
      </c>
      <c r="BV84" s="152">
        <f>IF(BY83&lt;=0.005,0,BY83*(1+BV$6))</f>
        <v/>
      </c>
      <c r="BW84" s="152">
        <f>MIN(BV84,BV$7)</f>
        <v/>
      </c>
      <c r="BX84" s="152">
        <f>MAX(0,MIN(BV84-BW84,CL84-(AZ84+BD84+BH84+BL84+BP84+BT84)))</f>
        <v/>
      </c>
      <c r="BY84" s="152">
        <f>BV84-BW84-BX84</f>
        <v/>
      </c>
      <c r="BZ84" s="152">
        <f>IF(CC83&lt;=0.005,0,CC83*(1+BZ$6))</f>
        <v/>
      </c>
      <c r="CA84" s="152">
        <f>MIN(BZ84,BZ$7)</f>
        <v/>
      </c>
      <c r="CB84" s="152">
        <f>MAX(0,MIN(BZ84-CA84,CL84-(AZ84+BD84+BH84+BL84+BP84+BT84+BX84)))</f>
        <v/>
      </c>
      <c r="CC84" s="152">
        <f>BZ84-CA84-CB84</f>
        <v/>
      </c>
      <c r="CD84" s="152">
        <f>IF(CG83&lt;=0.005,0,CG83*(1+CD$6))</f>
        <v/>
      </c>
      <c r="CE84" s="152">
        <f>MIN(CD84,CD$7)</f>
        <v/>
      </c>
      <c r="CF84" s="152">
        <f>MAX(0,MIN(CD84-CE84,CL84-(AZ84+BD84+BH84+BL84+BP84+BT84+BX84+CB84)))</f>
        <v/>
      </c>
      <c r="CG84" s="152">
        <f>CD84-CE84-CF84</f>
        <v/>
      </c>
      <c r="CH84" s="152">
        <f>IF(CK83&lt;=0.005,0,CK83*(1+CH$6))</f>
        <v/>
      </c>
      <c r="CI84" s="152">
        <f>MIN(CH84,CH$7)</f>
        <v/>
      </c>
      <c r="CJ84" s="152">
        <f>MAX(0,MIN(CH84-CI84,CL84-(AZ84+BD84+BH84+BL84+BP84+BT84+BX84+CB84+CF84)))</f>
        <v/>
      </c>
      <c r="CK84" s="152">
        <f>CH84-CI84-CJ84</f>
        <v/>
      </c>
      <c r="CL84" s="152">
        <f>'Debt Payoff'!$C$8-SUM(AY84,BC84,BG84,BK84,BO84,BS84,BW84,CA84,CE84,CI84)</f>
        <v/>
      </c>
      <c r="CM84" s="152">
        <f>SUM(AY84,BC84,BG84,BK84,BO84,BS84,BW84,CA84,CE84,CI84)+SUM(AZ84,BD84,BH84,BL84,BP84,BT84,BX84,CB84,CF84,CJ84)</f>
        <v/>
      </c>
      <c r="CN84" s="152">
        <f>SUM(BA84,BE84,BI84,BM84,BQ84,BU84,BY84,CC84,CG84,CK84)</f>
        <v/>
      </c>
      <c r="CO84" s="152">
        <f>IF(AW84&gt;CN$6,NA(),AW84)</f>
        <v/>
      </c>
      <c r="CP84" s="152">
        <f>IF(AW84&gt;CN$6,NA(),CN84)</f>
        <v/>
      </c>
    </row>
    <row r="85">
      <c r="B85" s="152" t="n">
        <v>74</v>
      </c>
      <c r="C85" s="152">
        <f>IF(F84&lt;=0.005,0,F84*(1+C$6))</f>
        <v/>
      </c>
      <c r="D85" s="152">
        <f>MIN(C85,C$7)</f>
        <v/>
      </c>
      <c r="E85" s="152">
        <f>MAX(0,MIN(C85-D85,AQ85))</f>
        <v/>
      </c>
      <c r="F85" s="152">
        <f>C85-D85-E85</f>
        <v/>
      </c>
      <c r="G85" s="152">
        <f>IF(J84&lt;=0.005,0,J84*(1+G$6))</f>
        <v/>
      </c>
      <c r="H85" s="152">
        <f>MIN(G85,G$7)</f>
        <v/>
      </c>
      <c r="I85" s="152">
        <f>MAX(0,MIN(G85-H85,AQ85-(E85)))</f>
        <v/>
      </c>
      <c r="J85" s="152">
        <f>G85-H85-I85</f>
        <v/>
      </c>
      <c r="K85" s="152">
        <f>IF(N84&lt;=0.005,0,N84*(1+K$6))</f>
        <v/>
      </c>
      <c r="L85" s="152">
        <f>MIN(K85,K$7)</f>
        <v/>
      </c>
      <c r="M85" s="152">
        <f>MAX(0,MIN(K85-L85,AQ85-(E85+I85)))</f>
        <v/>
      </c>
      <c r="N85" s="152">
        <f>K85-L85-M85</f>
        <v/>
      </c>
      <c r="O85" s="152">
        <f>IF(R84&lt;=0.005,0,R84*(1+O$6))</f>
        <v/>
      </c>
      <c r="P85" s="152">
        <f>MIN(O85,O$7)</f>
        <v/>
      </c>
      <c r="Q85" s="152">
        <f>MAX(0,MIN(O85-P85,AQ85-(E85+I85+M85)))</f>
        <v/>
      </c>
      <c r="R85" s="152">
        <f>O85-P85-Q85</f>
        <v/>
      </c>
      <c r="S85" s="152">
        <f>IF(V84&lt;=0.005,0,V84*(1+S$6))</f>
        <v/>
      </c>
      <c r="T85" s="152">
        <f>MIN(S85,S$7)</f>
        <v/>
      </c>
      <c r="U85" s="152">
        <f>MAX(0,MIN(S85-T85,AQ85-(E85+I85+M85+Q85)))</f>
        <v/>
      </c>
      <c r="V85" s="152">
        <f>S85-T85-U85</f>
        <v/>
      </c>
      <c r="W85" s="152">
        <f>IF(Z84&lt;=0.005,0,Z84*(1+W$6))</f>
        <v/>
      </c>
      <c r="X85" s="152">
        <f>MIN(W85,W$7)</f>
        <v/>
      </c>
      <c r="Y85" s="152">
        <f>MAX(0,MIN(W85-X85,AQ85-(E85+I85+M85+Q85+U85)))</f>
        <v/>
      </c>
      <c r="Z85" s="152">
        <f>W85-X85-Y85</f>
        <v/>
      </c>
      <c r="AA85" s="152">
        <f>IF(AD84&lt;=0.005,0,AD84*(1+AA$6))</f>
        <v/>
      </c>
      <c r="AB85" s="152">
        <f>MIN(AA85,AA$7)</f>
        <v/>
      </c>
      <c r="AC85" s="152">
        <f>MAX(0,MIN(AA85-AB85,AQ85-(E85+I85+M85+Q85+U85+Y85)))</f>
        <v/>
      </c>
      <c r="AD85" s="152">
        <f>AA85-AB85-AC85</f>
        <v/>
      </c>
      <c r="AE85" s="152">
        <f>IF(AH84&lt;=0.005,0,AH84*(1+AE$6))</f>
        <v/>
      </c>
      <c r="AF85" s="152">
        <f>MIN(AE85,AE$7)</f>
        <v/>
      </c>
      <c r="AG85" s="152">
        <f>MAX(0,MIN(AE85-AF85,AQ85-(E85+I85+M85+Q85+U85+Y85+AC85)))</f>
        <v/>
      </c>
      <c r="AH85" s="152">
        <f>AE85-AF85-AG85</f>
        <v/>
      </c>
      <c r="AI85" s="152">
        <f>IF(AL84&lt;=0.005,0,AL84*(1+AI$6))</f>
        <v/>
      </c>
      <c r="AJ85" s="152">
        <f>MIN(AI85,AI$7)</f>
        <v/>
      </c>
      <c r="AK85" s="152">
        <f>MAX(0,MIN(AI85-AJ85,AQ85-(E85+I85+M85+Q85+U85+Y85+AC85+AG85)))</f>
        <v/>
      </c>
      <c r="AL85" s="152">
        <f>AI85-AJ85-AK85</f>
        <v/>
      </c>
      <c r="AM85" s="152">
        <f>IF(AP84&lt;=0.005,0,AP84*(1+AM$6))</f>
        <v/>
      </c>
      <c r="AN85" s="152">
        <f>MIN(AM85,AM$7)</f>
        <v/>
      </c>
      <c r="AO85" s="152">
        <f>MAX(0,MIN(AM85-AN85,AQ85-(E85+I85+M85+Q85+U85+Y85+AC85+AG85+AK85)))</f>
        <v/>
      </c>
      <c r="AP85" s="152">
        <f>AM85-AN85-AO85</f>
        <v/>
      </c>
      <c r="AQ85" s="152">
        <f>'Debt Payoff'!$C$8-SUM(D85,H85,L85,P85,T85,X85,AB85,AF85,AJ85,AN85)</f>
        <v/>
      </c>
      <c r="AR85" s="152">
        <f>SUM(D85,H85,L85,P85,T85,X85,AB85,AF85,AJ85,AN85)+SUM(E85,I85,M85,Q85,U85,Y85,AC85,AG85,AK85,AO85)</f>
        <v/>
      </c>
      <c r="AS85" s="152">
        <f>SUM(F85,J85,N85,R85,V85,Z85,AD85,AH85,AL85,AP85)</f>
        <v/>
      </c>
      <c r="AT85" s="152">
        <f>IF(B85&gt;AS$6,NA(),B85)</f>
        <v/>
      </c>
      <c r="AU85" s="152">
        <f>IF(B85&gt;AS$6,NA(),AS85)</f>
        <v/>
      </c>
      <c r="AV85" s="152" t="n"/>
      <c r="AW85" s="152" t="n">
        <v>74</v>
      </c>
      <c r="AX85" s="152">
        <f>IF(BA84&lt;=0.005,0,BA84*(1+AX$6))</f>
        <v/>
      </c>
      <c r="AY85" s="152">
        <f>MIN(AX85,AX$7)</f>
        <v/>
      </c>
      <c r="AZ85" s="152">
        <f>MAX(0,MIN(AX85-AY85,CL85))</f>
        <v/>
      </c>
      <c r="BA85" s="152">
        <f>AX85-AY85-AZ85</f>
        <v/>
      </c>
      <c r="BB85" s="152">
        <f>IF(BE84&lt;=0.005,0,BE84*(1+BB$6))</f>
        <v/>
      </c>
      <c r="BC85" s="152">
        <f>MIN(BB85,BB$7)</f>
        <v/>
      </c>
      <c r="BD85" s="152">
        <f>MAX(0,MIN(BB85-BC85,CL85-(AZ85)))</f>
        <v/>
      </c>
      <c r="BE85" s="152">
        <f>BB85-BC85-BD85</f>
        <v/>
      </c>
      <c r="BF85" s="152">
        <f>IF(BI84&lt;=0.005,0,BI84*(1+BF$6))</f>
        <v/>
      </c>
      <c r="BG85" s="152">
        <f>MIN(BF85,BF$7)</f>
        <v/>
      </c>
      <c r="BH85" s="152">
        <f>MAX(0,MIN(BF85-BG85,CL85-(AZ85+BD85)))</f>
        <v/>
      </c>
      <c r="BI85" s="152">
        <f>BF85-BG85-BH85</f>
        <v/>
      </c>
      <c r="BJ85" s="152">
        <f>IF(BM84&lt;=0.005,0,BM84*(1+BJ$6))</f>
        <v/>
      </c>
      <c r="BK85" s="152">
        <f>MIN(BJ85,BJ$7)</f>
        <v/>
      </c>
      <c r="BL85" s="152">
        <f>MAX(0,MIN(BJ85-BK85,CL85-(AZ85+BD85+BH85)))</f>
        <v/>
      </c>
      <c r="BM85" s="152">
        <f>BJ85-BK85-BL85</f>
        <v/>
      </c>
      <c r="BN85" s="152">
        <f>IF(BQ84&lt;=0.005,0,BQ84*(1+BN$6))</f>
        <v/>
      </c>
      <c r="BO85" s="152">
        <f>MIN(BN85,BN$7)</f>
        <v/>
      </c>
      <c r="BP85" s="152">
        <f>MAX(0,MIN(BN85-BO85,CL85-(AZ85+BD85+BH85+BL85)))</f>
        <v/>
      </c>
      <c r="BQ85" s="152">
        <f>BN85-BO85-BP85</f>
        <v/>
      </c>
      <c r="BR85" s="152">
        <f>IF(BU84&lt;=0.005,0,BU84*(1+BR$6))</f>
        <v/>
      </c>
      <c r="BS85" s="152">
        <f>MIN(BR85,BR$7)</f>
        <v/>
      </c>
      <c r="BT85" s="152">
        <f>MAX(0,MIN(BR85-BS85,CL85-(AZ85+BD85+BH85+BL85+BP85)))</f>
        <v/>
      </c>
      <c r="BU85" s="152">
        <f>BR85-BS85-BT85</f>
        <v/>
      </c>
      <c r="BV85" s="152">
        <f>IF(BY84&lt;=0.005,0,BY84*(1+BV$6))</f>
        <v/>
      </c>
      <c r="BW85" s="152">
        <f>MIN(BV85,BV$7)</f>
        <v/>
      </c>
      <c r="BX85" s="152">
        <f>MAX(0,MIN(BV85-BW85,CL85-(AZ85+BD85+BH85+BL85+BP85+BT85)))</f>
        <v/>
      </c>
      <c r="BY85" s="152">
        <f>BV85-BW85-BX85</f>
        <v/>
      </c>
      <c r="BZ85" s="152">
        <f>IF(CC84&lt;=0.005,0,CC84*(1+BZ$6))</f>
        <v/>
      </c>
      <c r="CA85" s="152">
        <f>MIN(BZ85,BZ$7)</f>
        <v/>
      </c>
      <c r="CB85" s="152">
        <f>MAX(0,MIN(BZ85-CA85,CL85-(AZ85+BD85+BH85+BL85+BP85+BT85+BX85)))</f>
        <v/>
      </c>
      <c r="CC85" s="152">
        <f>BZ85-CA85-CB85</f>
        <v/>
      </c>
      <c r="CD85" s="152">
        <f>IF(CG84&lt;=0.005,0,CG84*(1+CD$6))</f>
        <v/>
      </c>
      <c r="CE85" s="152">
        <f>MIN(CD85,CD$7)</f>
        <v/>
      </c>
      <c r="CF85" s="152">
        <f>MAX(0,MIN(CD85-CE85,CL85-(AZ85+BD85+BH85+BL85+BP85+BT85+BX85+CB85)))</f>
        <v/>
      </c>
      <c r="CG85" s="152">
        <f>CD85-CE85-CF85</f>
        <v/>
      </c>
      <c r="CH85" s="152">
        <f>IF(CK84&lt;=0.005,0,CK84*(1+CH$6))</f>
        <v/>
      </c>
      <c r="CI85" s="152">
        <f>MIN(CH85,CH$7)</f>
        <v/>
      </c>
      <c r="CJ85" s="152">
        <f>MAX(0,MIN(CH85-CI85,CL85-(AZ85+BD85+BH85+BL85+BP85+BT85+BX85+CB85+CF85)))</f>
        <v/>
      </c>
      <c r="CK85" s="152">
        <f>CH85-CI85-CJ85</f>
        <v/>
      </c>
      <c r="CL85" s="152">
        <f>'Debt Payoff'!$C$8-SUM(AY85,BC85,BG85,BK85,BO85,BS85,BW85,CA85,CE85,CI85)</f>
        <v/>
      </c>
      <c r="CM85" s="152">
        <f>SUM(AY85,BC85,BG85,BK85,BO85,BS85,BW85,CA85,CE85,CI85)+SUM(AZ85,BD85,BH85,BL85,BP85,BT85,BX85,CB85,CF85,CJ85)</f>
        <v/>
      </c>
      <c r="CN85" s="152">
        <f>SUM(BA85,BE85,BI85,BM85,BQ85,BU85,BY85,CC85,CG85,CK85)</f>
        <v/>
      </c>
      <c r="CO85" s="152">
        <f>IF(AW85&gt;CN$6,NA(),AW85)</f>
        <v/>
      </c>
      <c r="CP85" s="152">
        <f>IF(AW85&gt;CN$6,NA(),CN85)</f>
        <v/>
      </c>
    </row>
    <row r="86">
      <c r="B86" s="152" t="n">
        <v>75</v>
      </c>
      <c r="C86" s="152">
        <f>IF(F85&lt;=0.005,0,F85*(1+C$6))</f>
        <v/>
      </c>
      <c r="D86" s="152">
        <f>MIN(C86,C$7)</f>
        <v/>
      </c>
      <c r="E86" s="152">
        <f>MAX(0,MIN(C86-D86,AQ86))</f>
        <v/>
      </c>
      <c r="F86" s="152">
        <f>C86-D86-E86</f>
        <v/>
      </c>
      <c r="G86" s="152">
        <f>IF(J85&lt;=0.005,0,J85*(1+G$6))</f>
        <v/>
      </c>
      <c r="H86" s="152">
        <f>MIN(G86,G$7)</f>
        <v/>
      </c>
      <c r="I86" s="152">
        <f>MAX(0,MIN(G86-H86,AQ86-(E86)))</f>
        <v/>
      </c>
      <c r="J86" s="152">
        <f>G86-H86-I86</f>
        <v/>
      </c>
      <c r="K86" s="152">
        <f>IF(N85&lt;=0.005,0,N85*(1+K$6))</f>
        <v/>
      </c>
      <c r="L86" s="152">
        <f>MIN(K86,K$7)</f>
        <v/>
      </c>
      <c r="M86" s="152">
        <f>MAX(0,MIN(K86-L86,AQ86-(E86+I86)))</f>
        <v/>
      </c>
      <c r="N86" s="152">
        <f>K86-L86-M86</f>
        <v/>
      </c>
      <c r="O86" s="152">
        <f>IF(R85&lt;=0.005,0,R85*(1+O$6))</f>
        <v/>
      </c>
      <c r="P86" s="152">
        <f>MIN(O86,O$7)</f>
        <v/>
      </c>
      <c r="Q86" s="152">
        <f>MAX(0,MIN(O86-P86,AQ86-(E86+I86+M86)))</f>
        <v/>
      </c>
      <c r="R86" s="152">
        <f>O86-P86-Q86</f>
        <v/>
      </c>
      <c r="S86" s="152">
        <f>IF(V85&lt;=0.005,0,V85*(1+S$6))</f>
        <v/>
      </c>
      <c r="T86" s="152">
        <f>MIN(S86,S$7)</f>
        <v/>
      </c>
      <c r="U86" s="152">
        <f>MAX(0,MIN(S86-T86,AQ86-(E86+I86+M86+Q86)))</f>
        <v/>
      </c>
      <c r="V86" s="152">
        <f>S86-T86-U86</f>
        <v/>
      </c>
      <c r="W86" s="152">
        <f>IF(Z85&lt;=0.005,0,Z85*(1+W$6))</f>
        <v/>
      </c>
      <c r="X86" s="152">
        <f>MIN(W86,W$7)</f>
        <v/>
      </c>
      <c r="Y86" s="152">
        <f>MAX(0,MIN(W86-X86,AQ86-(E86+I86+M86+Q86+U86)))</f>
        <v/>
      </c>
      <c r="Z86" s="152">
        <f>W86-X86-Y86</f>
        <v/>
      </c>
      <c r="AA86" s="152">
        <f>IF(AD85&lt;=0.005,0,AD85*(1+AA$6))</f>
        <v/>
      </c>
      <c r="AB86" s="152">
        <f>MIN(AA86,AA$7)</f>
        <v/>
      </c>
      <c r="AC86" s="152">
        <f>MAX(0,MIN(AA86-AB86,AQ86-(E86+I86+M86+Q86+U86+Y86)))</f>
        <v/>
      </c>
      <c r="AD86" s="152">
        <f>AA86-AB86-AC86</f>
        <v/>
      </c>
      <c r="AE86" s="152">
        <f>IF(AH85&lt;=0.005,0,AH85*(1+AE$6))</f>
        <v/>
      </c>
      <c r="AF86" s="152">
        <f>MIN(AE86,AE$7)</f>
        <v/>
      </c>
      <c r="AG86" s="152">
        <f>MAX(0,MIN(AE86-AF86,AQ86-(E86+I86+M86+Q86+U86+Y86+AC86)))</f>
        <v/>
      </c>
      <c r="AH86" s="152">
        <f>AE86-AF86-AG86</f>
        <v/>
      </c>
      <c r="AI86" s="152">
        <f>IF(AL85&lt;=0.005,0,AL85*(1+AI$6))</f>
        <v/>
      </c>
      <c r="AJ86" s="152">
        <f>MIN(AI86,AI$7)</f>
        <v/>
      </c>
      <c r="AK86" s="152">
        <f>MAX(0,MIN(AI86-AJ86,AQ86-(E86+I86+M86+Q86+U86+Y86+AC86+AG86)))</f>
        <v/>
      </c>
      <c r="AL86" s="152">
        <f>AI86-AJ86-AK86</f>
        <v/>
      </c>
      <c r="AM86" s="152">
        <f>IF(AP85&lt;=0.005,0,AP85*(1+AM$6))</f>
        <v/>
      </c>
      <c r="AN86" s="152">
        <f>MIN(AM86,AM$7)</f>
        <v/>
      </c>
      <c r="AO86" s="152">
        <f>MAX(0,MIN(AM86-AN86,AQ86-(E86+I86+M86+Q86+U86+Y86+AC86+AG86+AK86)))</f>
        <v/>
      </c>
      <c r="AP86" s="152">
        <f>AM86-AN86-AO86</f>
        <v/>
      </c>
      <c r="AQ86" s="152">
        <f>'Debt Payoff'!$C$8-SUM(D86,H86,L86,P86,T86,X86,AB86,AF86,AJ86,AN86)</f>
        <v/>
      </c>
      <c r="AR86" s="152">
        <f>SUM(D86,H86,L86,P86,T86,X86,AB86,AF86,AJ86,AN86)+SUM(E86,I86,M86,Q86,U86,Y86,AC86,AG86,AK86,AO86)</f>
        <v/>
      </c>
      <c r="AS86" s="152">
        <f>SUM(F86,J86,N86,R86,V86,Z86,AD86,AH86,AL86,AP86)</f>
        <v/>
      </c>
      <c r="AT86" s="152">
        <f>IF(B86&gt;AS$6,NA(),B86)</f>
        <v/>
      </c>
      <c r="AU86" s="152">
        <f>IF(B86&gt;AS$6,NA(),AS86)</f>
        <v/>
      </c>
      <c r="AV86" s="152" t="n"/>
      <c r="AW86" s="152" t="n">
        <v>75</v>
      </c>
      <c r="AX86" s="152">
        <f>IF(BA85&lt;=0.005,0,BA85*(1+AX$6))</f>
        <v/>
      </c>
      <c r="AY86" s="152">
        <f>MIN(AX86,AX$7)</f>
        <v/>
      </c>
      <c r="AZ86" s="152">
        <f>MAX(0,MIN(AX86-AY86,CL86))</f>
        <v/>
      </c>
      <c r="BA86" s="152">
        <f>AX86-AY86-AZ86</f>
        <v/>
      </c>
      <c r="BB86" s="152">
        <f>IF(BE85&lt;=0.005,0,BE85*(1+BB$6))</f>
        <v/>
      </c>
      <c r="BC86" s="152">
        <f>MIN(BB86,BB$7)</f>
        <v/>
      </c>
      <c r="BD86" s="152">
        <f>MAX(0,MIN(BB86-BC86,CL86-(AZ86)))</f>
        <v/>
      </c>
      <c r="BE86" s="152">
        <f>BB86-BC86-BD86</f>
        <v/>
      </c>
      <c r="BF86" s="152">
        <f>IF(BI85&lt;=0.005,0,BI85*(1+BF$6))</f>
        <v/>
      </c>
      <c r="BG86" s="152">
        <f>MIN(BF86,BF$7)</f>
        <v/>
      </c>
      <c r="BH86" s="152">
        <f>MAX(0,MIN(BF86-BG86,CL86-(AZ86+BD86)))</f>
        <v/>
      </c>
      <c r="BI86" s="152">
        <f>BF86-BG86-BH86</f>
        <v/>
      </c>
      <c r="BJ86" s="152">
        <f>IF(BM85&lt;=0.005,0,BM85*(1+BJ$6))</f>
        <v/>
      </c>
      <c r="BK86" s="152">
        <f>MIN(BJ86,BJ$7)</f>
        <v/>
      </c>
      <c r="BL86" s="152">
        <f>MAX(0,MIN(BJ86-BK86,CL86-(AZ86+BD86+BH86)))</f>
        <v/>
      </c>
      <c r="BM86" s="152">
        <f>BJ86-BK86-BL86</f>
        <v/>
      </c>
      <c r="BN86" s="152">
        <f>IF(BQ85&lt;=0.005,0,BQ85*(1+BN$6))</f>
        <v/>
      </c>
      <c r="BO86" s="152">
        <f>MIN(BN86,BN$7)</f>
        <v/>
      </c>
      <c r="BP86" s="152">
        <f>MAX(0,MIN(BN86-BO86,CL86-(AZ86+BD86+BH86+BL86)))</f>
        <v/>
      </c>
      <c r="BQ86" s="152">
        <f>BN86-BO86-BP86</f>
        <v/>
      </c>
      <c r="BR86" s="152">
        <f>IF(BU85&lt;=0.005,0,BU85*(1+BR$6))</f>
        <v/>
      </c>
      <c r="BS86" s="152">
        <f>MIN(BR86,BR$7)</f>
        <v/>
      </c>
      <c r="BT86" s="152">
        <f>MAX(0,MIN(BR86-BS86,CL86-(AZ86+BD86+BH86+BL86+BP86)))</f>
        <v/>
      </c>
      <c r="BU86" s="152">
        <f>BR86-BS86-BT86</f>
        <v/>
      </c>
      <c r="BV86" s="152">
        <f>IF(BY85&lt;=0.005,0,BY85*(1+BV$6))</f>
        <v/>
      </c>
      <c r="BW86" s="152">
        <f>MIN(BV86,BV$7)</f>
        <v/>
      </c>
      <c r="BX86" s="152">
        <f>MAX(0,MIN(BV86-BW86,CL86-(AZ86+BD86+BH86+BL86+BP86+BT86)))</f>
        <v/>
      </c>
      <c r="BY86" s="152">
        <f>BV86-BW86-BX86</f>
        <v/>
      </c>
      <c r="BZ86" s="152">
        <f>IF(CC85&lt;=0.005,0,CC85*(1+BZ$6))</f>
        <v/>
      </c>
      <c r="CA86" s="152">
        <f>MIN(BZ86,BZ$7)</f>
        <v/>
      </c>
      <c r="CB86" s="152">
        <f>MAX(0,MIN(BZ86-CA86,CL86-(AZ86+BD86+BH86+BL86+BP86+BT86+BX86)))</f>
        <v/>
      </c>
      <c r="CC86" s="152">
        <f>BZ86-CA86-CB86</f>
        <v/>
      </c>
      <c r="CD86" s="152">
        <f>IF(CG85&lt;=0.005,0,CG85*(1+CD$6))</f>
        <v/>
      </c>
      <c r="CE86" s="152">
        <f>MIN(CD86,CD$7)</f>
        <v/>
      </c>
      <c r="CF86" s="152">
        <f>MAX(0,MIN(CD86-CE86,CL86-(AZ86+BD86+BH86+BL86+BP86+BT86+BX86+CB86)))</f>
        <v/>
      </c>
      <c r="CG86" s="152">
        <f>CD86-CE86-CF86</f>
        <v/>
      </c>
      <c r="CH86" s="152">
        <f>IF(CK85&lt;=0.005,0,CK85*(1+CH$6))</f>
        <v/>
      </c>
      <c r="CI86" s="152">
        <f>MIN(CH86,CH$7)</f>
        <v/>
      </c>
      <c r="CJ86" s="152">
        <f>MAX(0,MIN(CH86-CI86,CL86-(AZ86+BD86+BH86+BL86+BP86+BT86+BX86+CB86+CF86)))</f>
        <v/>
      </c>
      <c r="CK86" s="152">
        <f>CH86-CI86-CJ86</f>
        <v/>
      </c>
      <c r="CL86" s="152">
        <f>'Debt Payoff'!$C$8-SUM(AY86,BC86,BG86,BK86,BO86,BS86,BW86,CA86,CE86,CI86)</f>
        <v/>
      </c>
      <c r="CM86" s="152">
        <f>SUM(AY86,BC86,BG86,BK86,BO86,BS86,BW86,CA86,CE86,CI86)+SUM(AZ86,BD86,BH86,BL86,BP86,BT86,BX86,CB86,CF86,CJ86)</f>
        <v/>
      </c>
      <c r="CN86" s="152">
        <f>SUM(BA86,BE86,BI86,BM86,BQ86,BU86,BY86,CC86,CG86,CK86)</f>
        <v/>
      </c>
      <c r="CO86" s="152">
        <f>IF(AW86&gt;CN$6,NA(),AW86)</f>
        <v/>
      </c>
      <c r="CP86" s="152">
        <f>IF(AW86&gt;CN$6,NA(),CN86)</f>
        <v/>
      </c>
    </row>
    <row r="87">
      <c r="B87" s="152" t="n">
        <v>76</v>
      </c>
      <c r="C87" s="152">
        <f>IF(F86&lt;=0.005,0,F86*(1+C$6))</f>
        <v/>
      </c>
      <c r="D87" s="152">
        <f>MIN(C87,C$7)</f>
        <v/>
      </c>
      <c r="E87" s="152">
        <f>MAX(0,MIN(C87-D87,AQ87))</f>
        <v/>
      </c>
      <c r="F87" s="152">
        <f>C87-D87-E87</f>
        <v/>
      </c>
      <c r="G87" s="152">
        <f>IF(J86&lt;=0.005,0,J86*(1+G$6))</f>
        <v/>
      </c>
      <c r="H87" s="152">
        <f>MIN(G87,G$7)</f>
        <v/>
      </c>
      <c r="I87" s="152">
        <f>MAX(0,MIN(G87-H87,AQ87-(E87)))</f>
        <v/>
      </c>
      <c r="J87" s="152">
        <f>G87-H87-I87</f>
        <v/>
      </c>
      <c r="K87" s="152">
        <f>IF(N86&lt;=0.005,0,N86*(1+K$6))</f>
        <v/>
      </c>
      <c r="L87" s="152">
        <f>MIN(K87,K$7)</f>
        <v/>
      </c>
      <c r="M87" s="152">
        <f>MAX(0,MIN(K87-L87,AQ87-(E87+I87)))</f>
        <v/>
      </c>
      <c r="N87" s="152">
        <f>K87-L87-M87</f>
        <v/>
      </c>
      <c r="O87" s="152">
        <f>IF(R86&lt;=0.005,0,R86*(1+O$6))</f>
        <v/>
      </c>
      <c r="P87" s="152">
        <f>MIN(O87,O$7)</f>
        <v/>
      </c>
      <c r="Q87" s="152">
        <f>MAX(0,MIN(O87-P87,AQ87-(E87+I87+M87)))</f>
        <v/>
      </c>
      <c r="R87" s="152">
        <f>O87-P87-Q87</f>
        <v/>
      </c>
      <c r="S87" s="152">
        <f>IF(V86&lt;=0.005,0,V86*(1+S$6))</f>
        <v/>
      </c>
      <c r="T87" s="152">
        <f>MIN(S87,S$7)</f>
        <v/>
      </c>
      <c r="U87" s="152">
        <f>MAX(0,MIN(S87-T87,AQ87-(E87+I87+M87+Q87)))</f>
        <v/>
      </c>
      <c r="V87" s="152">
        <f>S87-T87-U87</f>
        <v/>
      </c>
      <c r="W87" s="152">
        <f>IF(Z86&lt;=0.005,0,Z86*(1+W$6))</f>
        <v/>
      </c>
      <c r="X87" s="152">
        <f>MIN(W87,W$7)</f>
        <v/>
      </c>
      <c r="Y87" s="152">
        <f>MAX(0,MIN(W87-X87,AQ87-(E87+I87+M87+Q87+U87)))</f>
        <v/>
      </c>
      <c r="Z87" s="152">
        <f>W87-X87-Y87</f>
        <v/>
      </c>
      <c r="AA87" s="152">
        <f>IF(AD86&lt;=0.005,0,AD86*(1+AA$6))</f>
        <v/>
      </c>
      <c r="AB87" s="152">
        <f>MIN(AA87,AA$7)</f>
        <v/>
      </c>
      <c r="AC87" s="152">
        <f>MAX(0,MIN(AA87-AB87,AQ87-(E87+I87+M87+Q87+U87+Y87)))</f>
        <v/>
      </c>
      <c r="AD87" s="152">
        <f>AA87-AB87-AC87</f>
        <v/>
      </c>
      <c r="AE87" s="152">
        <f>IF(AH86&lt;=0.005,0,AH86*(1+AE$6))</f>
        <v/>
      </c>
      <c r="AF87" s="152">
        <f>MIN(AE87,AE$7)</f>
        <v/>
      </c>
      <c r="AG87" s="152">
        <f>MAX(0,MIN(AE87-AF87,AQ87-(E87+I87+M87+Q87+U87+Y87+AC87)))</f>
        <v/>
      </c>
      <c r="AH87" s="152">
        <f>AE87-AF87-AG87</f>
        <v/>
      </c>
      <c r="AI87" s="152">
        <f>IF(AL86&lt;=0.005,0,AL86*(1+AI$6))</f>
        <v/>
      </c>
      <c r="AJ87" s="152">
        <f>MIN(AI87,AI$7)</f>
        <v/>
      </c>
      <c r="AK87" s="152">
        <f>MAX(0,MIN(AI87-AJ87,AQ87-(E87+I87+M87+Q87+U87+Y87+AC87+AG87)))</f>
        <v/>
      </c>
      <c r="AL87" s="152">
        <f>AI87-AJ87-AK87</f>
        <v/>
      </c>
      <c r="AM87" s="152">
        <f>IF(AP86&lt;=0.005,0,AP86*(1+AM$6))</f>
        <v/>
      </c>
      <c r="AN87" s="152">
        <f>MIN(AM87,AM$7)</f>
        <v/>
      </c>
      <c r="AO87" s="152">
        <f>MAX(0,MIN(AM87-AN87,AQ87-(E87+I87+M87+Q87+U87+Y87+AC87+AG87+AK87)))</f>
        <v/>
      </c>
      <c r="AP87" s="152">
        <f>AM87-AN87-AO87</f>
        <v/>
      </c>
      <c r="AQ87" s="152">
        <f>'Debt Payoff'!$C$8-SUM(D87,H87,L87,P87,T87,X87,AB87,AF87,AJ87,AN87)</f>
        <v/>
      </c>
      <c r="AR87" s="152">
        <f>SUM(D87,H87,L87,P87,T87,X87,AB87,AF87,AJ87,AN87)+SUM(E87,I87,M87,Q87,U87,Y87,AC87,AG87,AK87,AO87)</f>
        <v/>
      </c>
      <c r="AS87" s="152">
        <f>SUM(F87,J87,N87,R87,V87,Z87,AD87,AH87,AL87,AP87)</f>
        <v/>
      </c>
      <c r="AT87" s="152">
        <f>IF(B87&gt;AS$6,NA(),B87)</f>
        <v/>
      </c>
      <c r="AU87" s="152">
        <f>IF(B87&gt;AS$6,NA(),AS87)</f>
        <v/>
      </c>
      <c r="AV87" s="152" t="n"/>
      <c r="AW87" s="152" t="n">
        <v>76</v>
      </c>
      <c r="AX87" s="152">
        <f>IF(BA86&lt;=0.005,0,BA86*(1+AX$6))</f>
        <v/>
      </c>
      <c r="AY87" s="152">
        <f>MIN(AX87,AX$7)</f>
        <v/>
      </c>
      <c r="AZ87" s="152">
        <f>MAX(0,MIN(AX87-AY87,CL87))</f>
        <v/>
      </c>
      <c r="BA87" s="152">
        <f>AX87-AY87-AZ87</f>
        <v/>
      </c>
      <c r="BB87" s="152">
        <f>IF(BE86&lt;=0.005,0,BE86*(1+BB$6))</f>
        <v/>
      </c>
      <c r="BC87" s="152">
        <f>MIN(BB87,BB$7)</f>
        <v/>
      </c>
      <c r="BD87" s="152">
        <f>MAX(0,MIN(BB87-BC87,CL87-(AZ87)))</f>
        <v/>
      </c>
      <c r="BE87" s="152">
        <f>BB87-BC87-BD87</f>
        <v/>
      </c>
      <c r="BF87" s="152">
        <f>IF(BI86&lt;=0.005,0,BI86*(1+BF$6))</f>
        <v/>
      </c>
      <c r="BG87" s="152">
        <f>MIN(BF87,BF$7)</f>
        <v/>
      </c>
      <c r="BH87" s="152">
        <f>MAX(0,MIN(BF87-BG87,CL87-(AZ87+BD87)))</f>
        <v/>
      </c>
      <c r="BI87" s="152">
        <f>BF87-BG87-BH87</f>
        <v/>
      </c>
      <c r="BJ87" s="152">
        <f>IF(BM86&lt;=0.005,0,BM86*(1+BJ$6))</f>
        <v/>
      </c>
      <c r="BK87" s="152">
        <f>MIN(BJ87,BJ$7)</f>
        <v/>
      </c>
      <c r="BL87" s="152">
        <f>MAX(0,MIN(BJ87-BK87,CL87-(AZ87+BD87+BH87)))</f>
        <v/>
      </c>
      <c r="BM87" s="152">
        <f>BJ87-BK87-BL87</f>
        <v/>
      </c>
      <c r="BN87" s="152">
        <f>IF(BQ86&lt;=0.005,0,BQ86*(1+BN$6))</f>
        <v/>
      </c>
      <c r="BO87" s="152">
        <f>MIN(BN87,BN$7)</f>
        <v/>
      </c>
      <c r="BP87" s="152">
        <f>MAX(0,MIN(BN87-BO87,CL87-(AZ87+BD87+BH87+BL87)))</f>
        <v/>
      </c>
      <c r="BQ87" s="152">
        <f>BN87-BO87-BP87</f>
        <v/>
      </c>
      <c r="BR87" s="152">
        <f>IF(BU86&lt;=0.005,0,BU86*(1+BR$6))</f>
        <v/>
      </c>
      <c r="BS87" s="152">
        <f>MIN(BR87,BR$7)</f>
        <v/>
      </c>
      <c r="BT87" s="152">
        <f>MAX(0,MIN(BR87-BS87,CL87-(AZ87+BD87+BH87+BL87+BP87)))</f>
        <v/>
      </c>
      <c r="BU87" s="152">
        <f>BR87-BS87-BT87</f>
        <v/>
      </c>
      <c r="BV87" s="152">
        <f>IF(BY86&lt;=0.005,0,BY86*(1+BV$6))</f>
        <v/>
      </c>
      <c r="BW87" s="152">
        <f>MIN(BV87,BV$7)</f>
        <v/>
      </c>
      <c r="BX87" s="152">
        <f>MAX(0,MIN(BV87-BW87,CL87-(AZ87+BD87+BH87+BL87+BP87+BT87)))</f>
        <v/>
      </c>
      <c r="BY87" s="152">
        <f>BV87-BW87-BX87</f>
        <v/>
      </c>
      <c r="BZ87" s="152">
        <f>IF(CC86&lt;=0.005,0,CC86*(1+BZ$6))</f>
        <v/>
      </c>
      <c r="CA87" s="152">
        <f>MIN(BZ87,BZ$7)</f>
        <v/>
      </c>
      <c r="CB87" s="152">
        <f>MAX(0,MIN(BZ87-CA87,CL87-(AZ87+BD87+BH87+BL87+BP87+BT87+BX87)))</f>
        <v/>
      </c>
      <c r="CC87" s="152">
        <f>BZ87-CA87-CB87</f>
        <v/>
      </c>
      <c r="CD87" s="152">
        <f>IF(CG86&lt;=0.005,0,CG86*(1+CD$6))</f>
        <v/>
      </c>
      <c r="CE87" s="152">
        <f>MIN(CD87,CD$7)</f>
        <v/>
      </c>
      <c r="CF87" s="152">
        <f>MAX(0,MIN(CD87-CE87,CL87-(AZ87+BD87+BH87+BL87+BP87+BT87+BX87+CB87)))</f>
        <v/>
      </c>
      <c r="CG87" s="152">
        <f>CD87-CE87-CF87</f>
        <v/>
      </c>
      <c r="CH87" s="152">
        <f>IF(CK86&lt;=0.005,0,CK86*(1+CH$6))</f>
        <v/>
      </c>
      <c r="CI87" s="152">
        <f>MIN(CH87,CH$7)</f>
        <v/>
      </c>
      <c r="CJ87" s="152">
        <f>MAX(0,MIN(CH87-CI87,CL87-(AZ87+BD87+BH87+BL87+BP87+BT87+BX87+CB87+CF87)))</f>
        <v/>
      </c>
      <c r="CK87" s="152">
        <f>CH87-CI87-CJ87</f>
        <v/>
      </c>
      <c r="CL87" s="152">
        <f>'Debt Payoff'!$C$8-SUM(AY87,BC87,BG87,BK87,BO87,BS87,BW87,CA87,CE87,CI87)</f>
        <v/>
      </c>
      <c r="CM87" s="152">
        <f>SUM(AY87,BC87,BG87,BK87,BO87,BS87,BW87,CA87,CE87,CI87)+SUM(AZ87,BD87,BH87,BL87,BP87,BT87,BX87,CB87,CF87,CJ87)</f>
        <v/>
      </c>
      <c r="CN87" s="152">
        <f>SUM(BA87,BE87,BI87,BM87,BQ87,BU87,BY87,CC87,CG87,CK87)</f>
        <v/>
      </c>
      <c r="CO87" s="152">
        <f>IF(AW87&gt;CN$6,NA(),AW87)</f>
        <v/>
      </c>
      <c r="CP87" s="152">
        <f>IF(AW87&gt;CN$6,NA(),CN87)</f>
        <v/>
      </c>
    </row>
    <row r="88">
      <c r="B88" s="152" t="n">
        <v>77</v>
      </c>
      <c r="C88" s="152">
        <f>IF(F87&lt;=0.005,0,F87*(1+C$6))</f>
        <v/>
      </c>
      <c r="D88" s="152">
        <f>MIN(C88,C$7)</f>
        <v/>
      </c>
      <c r="E88" s="152">
        <f>MAX(0,MIN(C88-D88,AQ88))</f>
        <v/>
      </c>
      <c r="F88" s="152">
        <f>C88-D88-E88</f>
        <v/>
      </c>
      <c r="G88" s="152">
        <f>IF(J87&lt;=0.005,0,J87*(1+G$6))</f>
        <v/>
      </c>
      <c r="H88" s="152">
        <f>MIN(G88,G$7)</f>
        <v/>
      </c>
      <c r="I88" s="152">
        <f>MAX(0,MIN(G88-H88,AQ88-(E88)))</f>
        <v/>
      </c>
      <c r="J88" s="152">
        <f>G88-H88-I88</f>
        <v/>
      </c>
      <c r="K88" s="152">
        <f>IF(N87&lt;=0.005,0,N87*(1+K$6))</f>
        <v/>
      </c>
      <c r="L88" s="152">
        <f>MIN(K88,K$7)</f>
        <v/>
      </c>
      <c r="M88" s="152">
        <f>MAX(0,MIN(K88-L88,AQ88-(E88+I88)))</f>
        <v/>
      </c>
      <c r="N88" s="152">
        <f>K88-L88-M88</f>
        <v/>
      </c>
      <c r="O88" s="152">
        <f>IF(R87&lt;=0.005,0,R87*(1+O$6))</f>
        <v/>
      </c>
      <c r="P88" s="152">
        <f>MIN(O88,O$7)</f>
        <v/>
      </c>
      <c r="Q88" s="152">
        <f>MAX(0,MIN(O88-P88,AQ88-(E88+I88+M88)))</f>
        <v/>
      </c>
      <c r="R88" s="152">
        <f>O88-P88-Q88</f>
        <v/>
      </c>
      <c r="S88" s="152">
        <f>IF(V87&lt;=0.005,0,V87*(1+S$6))</f>
        <v/>
      </c>
      <c r="T88" s="152">
        <f>MIN(S88,S$7)</f>
        <v/>
      </c>
      <c r="U88" s="152">
        <f>MAX(0,MIN(S88-T88,AQ88-(E88+I88+M88+Q88)))</f>
        <v/>
      </c>
      <c r="V88" s="152">
        <f>S88-T88-U88</f>
        <v/>
      </c>
      <c r="W88" s="152">
        <f>IF(Z87&lt;=0.005,0,Z87*(1+W$6))</f>
        <v/>
      </c>
      <c r="X88" s="152">
        <f>MIN(W88,W$7)</f>
        <v/>
      </c>
      <c r="Y88" s="152">
        <f>MAX(0,MIN(W88-X88,AQ88-(E88+I88+M88+Q88+U88)))</f>
        <v/>
      </c>
      <c r="Z88" s="152">
        <f>W88-X88-Y88</f>
        <v/>
      </c>
      <c r="AA88" s="152">
        <f>IF(AD87&lt;=0.005,0,AD87*(1+AA$6))</f>
        <v/>
      </c>
      <c r="AB88" s="152">
        <f>MIN(AA88,AA$7)</f>
        <v/>
      </c>
      <c r="AC88" s="152">
        <f>MAX(0,MIN(AA88-AB88,AQ88-(E88+I88+M88+Q88+U88+Y88)))</f>
        <v/>
      </c>
      <c r="AD88" s="152">
        <f>AA88-AB88-AC88</f>
        <v/>
      </c>
      <c r="AE88" s="152">
        <f>IF(AH87&lt;=0.005,0,AH87*(1+AE$6))</f>
        <v/>
      </c>
      <c r="AF88" s="152">
        <f>MIN(AE88,AE$7)</f>
        <v/>
      </c>
      <c r="AG88" s="152">
        <f>MAX(0,MIN(AE88-AF88,AQ88-(E88+I88+M88+Q88+U88+Y88+AC88)))</f>
        <v/>
      </c>
      <c r="AH88" s="152">
        <f>AE88-AF88-AG88</f>
        <v/>
      </c>
      <c r="AI88" s="152">
        <f>IF(AL87&lt;=0.005,0,AL87*(1+AI$6))</f>
        <v/>
      </c>
      <c r="AJ88" s="152">
        <f>MIN(AI88,AI$7)</f>
        <v/>
      </c>
      <c r="AK88" s="152">
        <f>MAX(0,MIN(AI88-AJ88,AQ88-(E88+I88+M88+Q88+U88+Y88+AC88+AG88)))</f>
        <v/>
      </c>
      <c r="AL88" s="152">
        <f>AI88-AJ88-AK88</f>
        <v/>
      </c>
      <c r="AM88" s="152">
        <f>IF(AP87&lt;=0.005,0,AP87*(1+AM$6))</f>
        <v/>
      </c>
      <c r="AN88" s="152">
        <f>MIN(AM88,AM$7)</f>
        <v/>
      </c>
      <c r="AO88" s="152">
        <f>MAX(0,MIN(AM88-AN88,AQ88-(E88+I88+M88+Q88+U88+Y88+AC88+AG88+AK88)))</f>
        <v/>
      </c>
      <c r="AP88" s="152">
        <f>AM88-AN88-AO88</f>
        <v/>
      </c>
      <c r="AQ88" s="152">
        <f>'Debt Payoff'!$C$8-SUM(D88,H88,L88,P88,T88,X88,AB88,AF88,AJ88,AN88)</f>
        <v/>
      </c>
      <c r="AR88" s="152">
        <f>SUM(D88,H88,L88,P88,T88,X88,AB88,AF88,AJ88,AN88)+SUM(E88,I88,M88,Q88,U88,Y88,AC88,AG88,AK88,AO88)</f>
        <v/>
      </c>
      <c r="AS88" s="152">
        <f>SUM(F88,J88,N88,R88,V88,Z88,AD88,AH88,AL88,AP88)</f>
        <v/>
      </c>
      <c r="AT88" s="152">
        <f>IF(B88&gt;AS$6,NA(),B88)</f>
        <v/>
      </c>
      <c r="AU88" s="152">
        <f>IF(B88&gt;AS$6,NA(),AS88)</f>
        <v/>
      </c>
      <c r="AV88" s="152" t="n"/>
      <c r="AW88" s="152" t="n">
        <v>77</v>
      </c>
      <c r="AX88" s="152">
        <f>IF(BA87&lt;=0.005,0,BA87*(1+AX$6))</f>
        <v/>
      </c>
      <c r="AY88" s="152">
        <f>MIN(AX88,AX$7)</f>
        <v/>
      </c>
      <c r="AZ88" s="152">
        <f>MAX(0,MIN(AX88-AY88,CL88))</f>
        <v/>
      </c>
      <c r="BA88" s="152">
        <f>AX88-AY88-AZ88</f>
        <v/>
      </c>
      <c r="BB88" s="152">
        <f>IF(BE87&lt;=0.005,0,BE87*(1+BB$6))</f>
        <v/>
      </c>
      <c r="BC88" s="152">
        <f>MIN(BB88,BB$7)</f>
        <v/>
      </c>
      <c r="BD88" s="152">
        <f>MAX(0,MIN(BB88-BC88,CL88-(AZ88)))</f>
        <v/>
      </c>
      <c r="BE88" s="152">
        <f>BB88-BC88-BD88</f>
        <v/>
      </c>
      <c r="BF88" s="152">
        <f>IF(BI87&lt;=0.005,0,BI87*(1+BF$6))</f>
        <v/>
      </c>
      <c r="BG88" s="152">
        <f>MIN(BF88,BF$7)</f>
        <v/>
      </c>
      <c r="BH88" s="152">
        <f>MAX(0,MIN(BF88-BG88,CL88-(AZ88+BD88)))</f>
        <v/>
      </c>
      <c r="BI88" s="152">
        <f>BF88-BG88-BH88</f>
        <v/>
      </c>
      <c r="BJ88" s="152">
        <f>IF(BM87&lt;=0.005,0,BM87*(1+BJ$6))</f>
        <v/>
      </c>
      <c r="BK88" s="152">
        <f>MIN(BJ88,BJ$7)</f>
        <v/>
      </c>
      <c r="BL88" s="152">
        <f>MAX(0,MIN(BJ88-BK88,CL88-(AZ88+BD88+BH88)))</f>
        <v/>
      </c>
      <c r="BM88" s="152">
        <f>BJ88-BK88-BL88</f>
        <v/>
      </c>
      <c r="BN88" s="152">
        <f>IF(BQ87&lt;=0.005,0,BQ87*(1+BN$6))</f>
        <v/>
      </c>
      <c r="BO88" s="152">
        <f>MIN(BN88,BN$7)</f>
        <v/>
      </c>
      <c r="BP88" s="152">
        <f>MAX(0,MIN(BN88-BO88,CL88-(AZ88+BD88+BH88+BL88)))</f>
        <v/>
      </c>
      <c r="BQ88" s="152">
        <f>BN88-BO88-BP88</f>
        <v/>
      </c>
      <c r="BR88" s="152">
        <f>IF(BU87&lt;=0.005,0,BU87*(1+BR$6))</f>
        <v/>
      </c>
      <c r="BS88" s="152">
        <f>MIN(BR88,BR$7)</f>
        <v/>
      </c>
      <c r="BT88" s="152">
        <f>MAX(0,MIN(BR88-BS88,CL88-(AZ88+BD88+BH88+BL88+BP88)))</f>
        <v/>
      </c>
      <c r="BU88" s="152">
        <f>BR88-BS88-BT88</f>
        <v/>
      </c>
      <c r="BV88" s="152">
        <f>IF(BY87&lt;=0.005,0,BY87*(1+BV$6))</f>
        <v/>
      </c>
      <c r="BW88" s="152">
        <f>MIN(BV88,BV$7)</f>
        <v/>
      </c>
      <c r="BX88" s="152">
        <f>MAX(0,MIN(BV88-BW88,CL88-(AZ88+BD88+BH88+BL88+BP88+BT88)))</f>
        <v/>
      </c>
      <c r="BY88" s="152">
        <f>BV88-BW88-BX88</f>
        <v/>
      </c>
      <c r="BZ88" s="152">
        <f>IF(CC87&lt;=0.005,0,CC87*(1+BZ$6))</f>
        <v/>
      </c>
      <c r="CA88" s="152">
        <f>MIN(BZ88,BZ$7)</f>
        <v/>
      </c>
      <c r="CB88" s="152">
        <f>MAX(0,MIN(BZ88-CA88,CL88-(AZ88+BD88+BH88+BL88+BP88+BT88+BX88)))</f>
        <v/>
      </c>
      <c r="CC88" s="152">
        <f>BZ88-CA88-CB88</f>
        <v/>
      </c>
      <c r="CD88" s="152">
        <f>IF(CG87&lt;=0.005,0,CG87*(1+CD$6))</f>
        <v/>
      </c>
      <c r="CE88" s="152">
        <f>MIN(CD88,CD$7)</f>
        <v/>
      </c>
      <c r="CF88" s="152">
        <f>MAX(0,MIN(CD88-CE88,CL88-(AZ88+BD88+BH88+BL88+BP88+BT88+BX88+CB88)))</f>
        <v/>
      </c>
      <c r="CG88" s="152">
        <f>CD88-CE88-CF88</f>
        <v/>
      </c>
      <c r="CH88" s="152">
        <f>IF(CK87&lt;=0.005,0,CK87*(1+CH$6))</f>
        <v/>
      </c>
      <c r="CI88" s="152">
        <f>MIN(CH88,CH$7)</f>
        <v/>
      </c>
      <c r="CJ88" s="152">
        <f>MAX(0,MIN(CH88-CI88,CL88-(AZ88+BD88+BH88+BL88+BP88+BT88+BX88+CB88+CF88)))</f>
        <v/>
      </c>
      <c r="CK88" s="152">
        <f>CH88-CI88-CJ88</f>
        <v/>
      </c>
      <c r="CL88" s="152">
        <f>'Debt Payoff'!$C$8-SUM(AY88,BC88,BG88,BK88,BO88,BS88,BW88,CA88,CE88,CI88)</f>
        <v/>
      </c>
      <c r="CM88" s="152">
        <f>SUM(AY88,BC88,BG88,BK88,BO88,BS88,BW88,CA88,CE88,CI88)+SUM(AZ88,BD88,BH88,BL88,BP88,BT88,BX88,CB88,CF88,CJ88)</f>
        <v/>
      </c>
      <c r="CN88" s="152">
        <f>SUM(BA88,BE88,BI88,BM88,BQ88,BU88,BY88,CC88,CG88,CK88)</f>
        <v/>
      </c>
      <c r="CO88" s="152">
        <f>IF(AW88&gt;CN$6,NA(),AW88)</f>
        <v/>
      </c>
      <c r="CP88" s="152">
        <f>IF(AW88&gt;CN$6,NA(),CN88)</f>
        <v/>
      </c>
    </row>
    <row r="89">
      <c r="B89" s="152" t="n">
        <v>78</v>
      </c>
      <c r="C89" s="152">
        <f>IF(F88&lt;=0.005,0,F88*(1+C$6))</f>
        <v/>
      </c>
      <c r="D89" s="152">
        <f>MIN(C89,C$7)</f>
        <v/>
      </c>
      <c r="E89" s="152">
        <f>MAX(0,MIN(C89-D89,AQ89))</f>
        <v/>
      </c>
      <c r="F89" s="152">
        <f>C89-D89-E89</f>
        <v/>
      </c>
      <c r="G89" s="152">
        <f>IF(J88&lt;=0.005,0,J88*(1+G$6))</f>
        <v/>
      </c>
      <c r="H89" s="152">
        <f>MIN(G89,G$7)</f>
        <v/>
      </c>
      <c r="I89" s="152">
        <f>MAX(0,MIN(G89-H89,AQ89-(E89)))</f>
        <v/>
      </c>
      <c r="J89" s="152">
        <f>G89-H89-I89</f>
        <v/>
      </c>
      <c r="K89" s="152">
        <f>IF(N88&lt;=0.005,0,N88*(1+K$6))</f>
        <v/>
      </c>
      <c r="L89" s="152">
        <f>MIN(K89,K$7)</f>
        <v/>
      </c>
      <c r="M89" s="152">
        <f>MAX(0,MIN(K89-L89,AQ89-(E89+I89)))</f>
        <v/>
      </c>
      <c r="N89" s="152">
        <f>K89-L89-M89</f>
        <v/>
      </c>
      <c r="O89" s="152">
        <f>IF(R88&lt;=0.005,0,R88*(1+O$6))</f>
        <v/>
      </c>
      <c r="P89" s="152">
        <f>MIN(O89,O$7)</f>
        <v/>
      </c>
      <c r="Q89" s="152">
        <f>MAX(0,MIN(O89-P89,AQ89-(E89+I89+M89)))</f>
        <v/>
      </c>
      <c r="R89" s="152">
        <f>O89-P89-Q89</f>
        <v/>
      </c>
      <c r="S89" s="152">
        <f>IF(V88&lt;=0.005,0,V88*(1+S$6))</f>
        <v/>
      </c>
      <c r="T89" s="152">
        <f>MIN(S89,S$7)</f>
        <v/>
      </c>
      <c r="U89" s="152">
        <f>MAX(0,MIN(S89-T89,AQ89-(E89+I89+M89+Q89)))</f>
        <v/>
      </c>
      <c r="V89" s="152">
        <f>S89-T89-U89</f>
        <v/>
      </c>
      <c r="W89" s="152">
        <f>IF(Z88&lt;=0.005,0,Z88*(1+W$6))</f>
        <v/>
      </c>
      <c r="X89" s="152">
        <f>MIN(W89,W$7)</f>
        <v/>
      </c>
      <c r="Y89" s="152">
        <f>MAX(0,MIN(W89-X89,AQ89-(E89+I89+M89+Q89+U89)))</f>
        <v/>
      </c>
      <c r="Z89" s="152">
        <f>W89-X89-Y89</f>
        <v/>
      </c>
      <c r="AA89" s="152">
        <f>IF(AD88&lt;=0.005,0,AD88*(1+AA$6))</f>
        <v/>
      </c>
      <c r="AB89" s="152">
        <f>MIN(AA89,AA$7)</f>
        <v/>
      </c>
      <c r="AC89" s="152">
        <f>MAX(0,MIN(AA89-AB89,AQ89-(E89+I89+M89+Q89+U89+Y89)))</f>
        <v/>
      </c>
      <c r="AD89" s="152">
        <f>AA89-AB89-AC89</f>
        <v/>
      </c>
      <c r="AE89" s="152">
        <f>IF(AH88&lt;=0.005,0,AH88*(1+AE$6))</f>
        <v/>
      </c>
      <c r="AF89" s="152">
        <f>MIN(AE89,AE$7)</f>
        <v/>
      </c>
      <c r="AG89" s="152">
        <f>MAX(0,MIN(AE89-AF89,AQ89-(E89+I89+M89+Q89+U89+Y89+AC89)))</f>
        <v/>
      </c>
      <c r="AH89" s="152">
        <f>AE89-AF89-AG89</f>
        <v/>
      </c>
      <c r="AI89" s="152">
        <f>IF(AL88&lt;=0.005,0,AL88*(1+AI$6))</f>
        <v/>
      </c>
      <c r="AJ89" s="152">
        <f>MIN(AI89,AI$7)</f>
        <v/>
      </c>
      <c r="AK89" s="152">
        <f>MAX(0,MIN(AI89-AJ89,AQ89-(E89+I89+M89+Q89+U89+Y89+AC89+AG89)))</f>
        <v/>
      </c>
      <c r="AL89" s="152">
        <f>AI89-AJ89-AK89</f>
        <v/>
      </c>
      <c r="AM89" s="152">
        <f>IF(AP88&lt;=0.005,0,AP88*(1+AM$6))</f>
        <v/>
      </c>
      <c r="AN89" s="152">
        <f>MIN(AM89,AM$7)</f>
        <v/>
      </c>
      <c r="AO89" s="152">
        <f>MAX(0,MIN(AM89-AN89,AQ89-(E89+I89+M89+Q89+U89+Y89+AC89+AG89+AK89)))</f>
        <v/>
      </c>
      <c r="AP89" s="152">
        <f>AM89-AN89-AO89</f>
        <v/>
      </c>
      <c r="AQ89" s="152">
        <f>'Debt Payoff'!$C$8-SUM(D89,H89,L89,P89,T89,X89,AB89,AF89,AJ89,AN89)</f>
        <v/>
      </c>
      <c r="AR89" s="152">
        <f>SUM(D89,H89,L89,P89,T89,X89,AB89,AF89,AJ89,AN89)+SUM(E89,I89,M89,Q89,U89,Y89,AC89,AG89,AK89,AO89)</f>
        <v/>
      </c>
      <c r="AS89" s="152">
        <f>SUM(F89,J89,N89,R89,V89,Z89,AD89,AH89,AL89,AP89)</f>
        <v/>
      </c>
      <c r="AT89" s="152">
        <f>IF(B89&gt;AS$6,NA(),B89)</f>
        <v/>
      </c>
      <c r="AU89" s="152">
        <f>IF(B89&gt;AS$6,NA(),AS89)</f>
        <v/>
      </c>
      <c r="AV89" s="152" t="n"/>
      <c r="AW89" s="152" t="n">
        <v>78</v>
      </c>
      <c r="AX89" s="152">
        <f>IF(BA88&lt;=0.005,0,BA88*(1+AX$6))</f>
        <v/>
      </c>
      <c r="AY89" s="152">
        <f>MIN(AX89,AX$7)</f>
        <v/>
      </c>
      <c r="AZ89" s="152">
        <f>MAX(0,MIN(AX89-AY89,CL89))</f>
        <v/>
      </c>
      <c r="BA89" s="152">
        <f>AX89-AY89-AZ89</f>
        <v/>
      </c>
      <c r="BB89" s="152">
        <f>IF(BE88&lt;=0.005,0,BE88*(1+BB$6))</f>
        <v/>
      </c>
      <c r="BC89" s="152">
        <f>MIN(BB89,BB$7)</f>
        <v/>
      </c>
      <c r="BD89" s="152">
        <f>MAX(0,MIN(BB89-BC89,CL89-(AZ89)))</f>
        <v/>
      </c>
      <c r="BE89" s="152">
        <f>BB89-BC89-BD89</f>
        <v/>
      </c>
      <c r="BF89" s="152">
        <f>IF(BI88&lt;=0.005,0,BI88*(1+BF$6))</f>
        <v/>
      </c>
      <c r="BG89" s="152">
        <f>MIN(BF89,BF$7)</f>
        <v/>
      </c>
      <c r="BH89" s="152">
        <f>MAX(0,MIN(BF89-BG89,CL89-(AZ89+BD89)))</f>
        <v/>
      </c>
      <c r="BI89" s="152">
        <f>BF89-BG89-BH89</f>
        <v/>
      </c>
      <c r="BJ89" s="152">
        <f>IF(BM88&lt;=0.005,0,BM88*(1+BJ$6))</f>
        <v/>
      </c>
      <c r="BK89" s="152">
        <f>MIN(BJ89,BJ$7)</f>
        <v/>
      </c>
      <c r="BL89" s="152">
        <f>MAX(0,MIN(BJ89-BK89,CL89-(AZ89+BD89+BH89)))</f>
        <v/>
      </c>
      <c r="BM89" s="152">
        <f>BJ89-BK89-BL89</f>
        <v/>
      </c>
      <c r="BN89" s="152">
        <f>IF(BQ88&lt;=0.005,0,BQ88*(1+BN$6))</f>
        <v/>
      </c>
      <c r="BO89" s="152">
        <f>MIN(BN89,BN$7)</f>
        <v/>
      </c>
      <c r="BP89" s="152">
        <f>MAX(0,MIN(BN89-BO89,CL89-(AZ89+BD89+BH89+BL89)))</f>
        <v/>
      </c>
      <c r="BQ89" s="152">
        <f>BN89-BO89-BP89</f>
        <v/>
      </c>
      <c r="BR89" s="152">
        <f>IF(BU88&lt;=0.005,0,BU88*(1+BR$6))</f>
        <v/>
      </c>
      <c r="BS89" s="152">
        <f>MIN(BR89,BR$7)</f>
        <v/>
      </c>
      <c r="BT89" s="152">
        <f>MAX(0,MIN(BR89-BS89,CL89-(AZ89+BD89+BH89+BL89+BP89)))</f>
        <v/>
      </c>
      <c r="BU89" s="152">
        <f>BR89-BS89-BT89</f>
        <v/>
      </c>
      <c r="BV89" s="152">
        <f>IF(BY88&lt;=0.005,0,BY88*(1+BV$6))</f>
        <v/>
      </c>
      <c r="BW89" s="152">
        <f>MIN(BV89,BV$7)</f>
        <v/>
      </c>
      <c r="BX89" s="152">
        <f>MAX(0,MIN(BV89-BW89,CL89-(AZ89+BD89+BH89+BL89+BP89+BT89)))</f>
        <v/>
      </c>
      <c r="BY89" s="152">
        <f>BV89-BW89-BX89</f>
        <v/>
      </c>
      <c r="BZ89" s="152">
        <f>IF(CC88&lt;=0.005,0,CC88*(1+BZ$6))</f>
        <v/>
      </c>
      <c r="CA89" s="152">
        <f>MIN(BZ89,BZ$7)</f>
        <v/>
      </c>
      <c r="CB89" s="152">
        <f>MAX(0,MIN(BZ89-CA89,CL89-(AZ89+BD89+BH89+BL89+BP89+BT89+BX89)))</f>
        <v/>
      </c>
      <c r="CC89" s="152">
        <f>BZ89-CA89-CB89</f>
        <v/>
      </c>
      <c r="CD89" s="152">
        <f>IF(CG88&lt;=0.005,0,CG88*(1+CD$6))</f>
        <v/>
      </c>
      <c r="CE89" s="152">
        <f>MIN(CD89,CD$7)</f>
        <v/>
      </c>
      <c r="CF89" s="152">
        <f>MAX(0,MIN(CD89-CE89,CL89-(AZ89+BD89+BH89+BL89+BP89+BT89+BX89+CB89)))</f>
        <v/>
      </c>
      <c r="CG89" s="152">
        <f>CD89-CE89-CF89</f>
        <v/>
      </c>
      <c r="CH89" s="152">
        <f>IF(CK88&lt;=0.005,0,CK88*(1+CH$6))</f>
        <v/>
      </c>
      <c r="CI89" s="152">
        <f>MIN(CH89,CH$7)</f>
        <v/>
      </c>
      <c r="CJ89" s="152">
        <f>MAX(0,MIN(CH89-CI89,CL89-(AZ89+BD89+BH89+BL89+BP89+BT89+BX89+CB89+CF89)))</f>
        <v/>
      </c>
      <c r="CK89" s="152">
        <f>CH89-CI89-CJ89</f>
        <v/>
      </c>
      <c r="CL89" s="152">
        <f>'Debt Payoff'!$C$8-SUM(AY89,BC89,BG89,BK89,BO89,BS89,BW89,CA89,CE89,CI89)</f>
        <v/>
      </c>
      <c r="CM89" s="152">
        <f>SUM(AY89,BC89,BG89,BK89,BO89,BS89,BW89,CA89,CE89,CI89)+SUM(AZ89,BD89,BH89,BL89,BP89,BT89,BX89,CB89,CF89,CJ89)</f>
        <v/>
      </c>
      <c r="CN89" s="152">
        <f>SUM(BA89,BE89,BI89,BM89,BQ89,BU89,BY89,CC89,CG89,CK89)</f>
        <v/>
      </c>
      <c r="CO89" s="152">
        <f>IF(AW89&gt;CN$6,NA(),AW89)</f>
        <v/>
      </c>
      <c r="CP89" s="152">
        <f>IF(AW89&gt;CN$6,NA(),CN89)</f>
        <v/>
      </c>
    </row>
    <row r="90">
      <c r="B90" s="152" t="n">
        <v>79</v>
      </c>
      <c r="C90" s="152">
        <f>IF(F89&lt;=0.005,0,F89*(1+C$6))</f>
        <v/>
      </c>
      <c r="D90" s="152">
        <f>MIN(C90,C$7)</f>
        <v/>
      </c>
      <c r="E90" s="152">
        <f>MAX(0,MIN(C90-D90,AQ90))</f>
        <v/>
      </c>
      <c r="F90" s="152">
        <f>C90-D90-E90</f>
        <v/>
      </c>
      <c r="G90" s="152">
        <f>IF(J89&lt;=0.005,0,J89*(1+G$6))</f>
        <v/>
      </c>
      <c r="H90" s="152">
        <f>MIN(G90,G$7)</f>
        <v/>
      </c>
      <c r="I90" s="152">
        <f>MAX(0,MIN(G90-H90,AQ90-(E90)))</f>
        <v/>
      </c>
      <c r="J90" s="152">
        <f>G90-H90-I90</f>
        <v/>
      </c>
      <c r="K90" s="152">
        <f>IF(N89&lt;=0.005,0,N89*(1+K$6))</f>
        <v/>
      </c>
      <c r="L90" s="152">
        <f>MIN(K90,K$7)</f>
        <v/>
      </c>
      <c r="M90" s="152">
        <f>MAX(0,MIN(K90-L90,AQ90-(E90+I90)))</f>
        <v/>
      </c>
      <c r="N90" s="152">
        <f>K90-L90-M90</f>
        <v/>
      </c>
      <c r="O90" s="152">
        <f>IF(R89&lt;=0.005,0,R89*(1+O$6))</f>
        <v/>
      </c>
      <c r="P90" s="152">
        <f>MIN(O90,O$7)</f>
        <v/>
      </c>
      <c r="Q90" s="152">
        <f>MAX(0,MIN(O90-P90,AQ90-(E90+I90+M90)))</f>
        <v/>
      </c>
      <c r="R90" s="152">
        <f>O90-P90-Q90</f>
        <v/>
      </c>
      <c r="S90" s="152">
        <f>IF(V89&lt;=0.005,0,V89*(1+S$6))</f>
        <v/>
      </c>
      <c r="T90" s="152">
        <f>MIN(S90,S$7)</f>
        <v/>
      </c>
      <c r="U90" s="152">
        <f>MAX(0,MIN(S90-T90,AQ90-(E90+I90+M90+Q90)))</f>
        <v/>
      </c>
      <c r="V90" s="152">
        <f>S90-T90-U90</f>
        <v/>
      </c>
      <c r="W90" s="152">
        <f>IF(Z89&lt;=0.005,0,Z89*(1+W$6))</f>
        <v/>
      </c>
      <c r="X90" s="152">
        <f>MIN(W90,W$7)</f>
        <v/>
      </c>
      <c r="Y90" s="152">
        <f>MAX(0,MIN(W90-X90,AQ90-(E90+I90+M90+Q90+U90)))</f>
        <v/>
      </c>
      <c r="Z90" s="152">
        <f>W90-X90-Y90</f>
        <v/>
      </c>
      <c r="AA90" s="152">
        <f>IF(AD89&lt;=0.005,0,AD89*(1+AA$6))</f>
        <v/>
      </c>
      <c r="AB90" s="152">
        <f>MIN(AA90,AA$7)</f>
        <v/>
      </c>
      <c r="AC90" s="152">
        <f>MAX(0,MIN(AA90-AB90,AQ90-(E90+I90+M90+Q90+U90+Y90)))</f>
        <v/>
      </c>
      <c r="AD90" s="152">
        <f>AA90-AB90-AC90</f>
        <v/>
      </c>
      <c r="AE90" s="152">
        <f>IF(AH89&lt;=0.005,0,AH89*(1+AE$6))</f>
        <v/>
      </c>
      <c r="AF90" s="152">
        <f>MIN(AE90,AE$7)</f>
        <v/>
      </c>
      <c r="AG90" s="152">
        <f>MAX(0,MIN(AE90-AF90,AQ90-(E90+I90+M90+Q90+U90+Y90+AC90)))</f>
        <v/>
      </c>
      <c r="AH90" s="152">
        <f>AE90-AF90-AG90</f>
        <v/>
      </c>
      <c r="AI90" s="152">
        <f>IF(AL89&lt;=0.005,0,AL89*(1+AI$6))</f>
        <v/>
      </c>
      <c r="AJ90" s="152">
        <f>MIN(AI90,AI$7)</f>
        <v/>
      </c>
      <c r="AK90" s="152">
        <f>MAX(0,MIN(AI90-AJ90,AQ90-(E90+I90+M90+Q90+U90+Y90+AC90+AG90)))</f>
        <v/>
      </c>
      <c r="AL90" s="152">
        <f>AI90-AJ90-AK90</f>
        <v/>
      </c>
      <c r="AM90" s="152">
        <f>IF(AP89&lt;=0.005,0,AP89*(1+AM$6))</f>
        <v/>
      </c>
      <c r="AN90" s="152">
        <f>MIN(AM90,AM$7)</f>
        <v/>
      </c>
      <c r="AO90" s="152">
        <f>MAX(0,MIN(AM90-AN90,AQ90-(E90+I90+M90+Q90+U90+Y90+AC90+AG90+AK90)))</f>
        <v/>
      </c>
      <c r="AP90" s="152">
        <f>AM90-AN90-AO90</f>
        <v/>
      </c>
      <c r="AQ90" s="152">
        <f>'Debt Payoff'!$C$8-SUM(D90,H90,L90,P90,T90,X90,AB90,AF90,AJ90,AN90)</f>
        <v/>
      </c>
      <c r="AR90" s="152">
        <f>SUM(D90,H90,L90,P90,T90,X90,AB90,AF90,AJ90,AN90)+SUM(E90,I90,M90,Q90,U90,Y90,AC90,AG90,AK90,AO90)</f>
        <v/>
      </c>
      <c r="AS90" s="152">
        <f>SUM(F90,J90,N90,R90,V90,Z90,AD90,AH90,AL90,AP90)</f>
        <v/>
      </c>
      <c r="AT90" s="152">
        <f>IF(B90&gt;AS$6,NA(),B90)</f>
        <v/>
      </c>
      <c r="AU90" s="152">
        <f>IF(B90&gt;AS$6,NA(),AS90)</f>
        <v/>
      </c>
      <c r="AV90" s="152" t="n"/>
      <c r="AW90" s="152" t="n">
        <v>79</v>
      </c>
      <c r="AX90" s="152">
        <f>IF(BA89&lt;=0.005,0,BA89*(1+AX$6))</f>
        <v/>
      </c>
      <c r="AY90" s="152">
        <f>MIN(AX90,AX$7)</f>
        <v/>
      </c>
      <c r="AZ90" s="152">
        <f>MAX(0,MIN(AX90-AY90,CL90))</f>
        <v/>
      </c>
      <c r="BA90" s="152">
        <f>AX90-AY90-AZ90</f>
        <v/>
      </c>
      <c r="BB90" s="152">
        <f>IF(BE89&lt;=0.005,0,BE89*(1+BB$6))</f>
        <v/>
      </c>
      <c r="BC90" s="152">
        <f>MIN(BB90,BB$7)</f>
        <v/>
      </c>
      <c r="BD90" s="152">
        <f>MAX(0,MIN(BB90-BC90,CL90-(AZ90)))</f>
        <v/>
      </c>
      <c r="BE90" s="152">
        <f>BB90-BC90-BD90</f>
        <v/>
      </c>
      <c r="BF90" s="152">
        <f>IF(BI89&lt;=0.005,0,BI89*(1+BF$6))</f>
        <v/>
      </c>
      <c r="BG90" s="152">
        <f>MIN(BF90,BF$7)</f>
        <v/>
      </c>
      <c r="BH90" s="152">
        <f>MAX(0,MIN(BF90-BG90,CL90-(AZ90+BD90)))</f>
        <v/>
      </c>
      <c r="BI90" s="152">
        <f>BF90-BG90-BH90</f>
        <v/>
      </c>
      <c r="BJ90" s="152">
        <f>IF(BM89&lt;=0.005,0,BM89*(1+BJ$6))</f>
        <v/>
      </c>
      <c r="BK90" s="152">
        <f>MIN(BJ90,BJ$7)</f>
        <v/>
      </c>
      <c r="BL90" s="152">
        <f>MAX(0,MIN(BJ90-BK90,CL90-(AZ90+BD90+BH90)))</f>
        <v/>
      </c>
      <c r="BM90" s="152">
        <f>BJ90-BK90-BL90</f>
        <v/>
      </c>
      <c r="BN90" s="152">
        <f>IF(BQ89&lt;=0.005,0,BQ89*(1+BN$6))</f>
        <v/>
      </c>
      <c r="BO90" s="152">
        <f>MIN(BN90,BN$7)</f>
        <v/>
      </c>
      <c r="BP90" s="152">
        <f>MAX(0,MIN(BN90-BO90,CL90-(AZ90+BD90+BH90+BL90)))</f>
        <v/>
      </c>
      <c r="BQ90" s="152">
        <f>BN90-BO90-BP90</f>
        <v/>
      </c>
      <c r="BR90" s="152">
        <f>IF(BU89&lt;=0.005,0,BU89*(1+BR$6))</f>
        <v/>
      </c>
      <c r="BS90" s="152">
        <f>MIN(BR90,BR$7)</f>
        <v/>
      </c>
      <c r="BT90" s="152">
        <f>MAX(0,MIN(BR90-BS90,CL90-(AZ90+BD90+BH90+BL90+BP90)))</f>
        <v/>
      </c>
      <c r="BU90" s="152">
        <f>BR90-BS90-BT90</f>
        <v/>
      </c>
      <c r="BV90" s="152">
        <f>IF(BY89&lt;=0.005,0,BY89*(1+BV$6))</f>
        <v/>
      </c>
      <c r="BW90" s="152">
        <f>MIN(BV90,BV$7)</f>
        <v/>
      </c>
      <c r="BX90" s="152">
        <f>MAX(0,MIN(BV90-BW90,CL90-(AZ90+BD90+BH90+BL90+BP90+BT90)))</f>
        <v/>
      </c>
      <c r="BY90" s="152">
        <f>BV90-BW90-BX90</f>
        <v/>
      </c>
      <c r="BZ90" s="152">
        <f>IF(CC89&lt;=0.005,0,CC89*(1+BZ$6))</f>
        <v/>
      </c>
      <c r="CA90" s="152">
        <f>MIN(BZ90,BZ$7)</f>
        <v/>
      </c>
      <c r="CB90" s="152">
        <f>MAX(0,MIN(BZ90-CA90,CL90-(AZ90+BD90+BH90+BL90+BP90+BT90+BX90)))</f>
        <v/>
      </c>
      <c r="CC90" s="152">
        <f>BZ90-CA90-CB90</f>
        <v/>
      </c>
      <c r="CD90" s="152">
        <f>IF(CG89&lt;=0.005,0,CG89*(1+CD$6))</f>
        <v/>
      </c>
      <c r="CE90" s="152">
        <f>MIN(CD90,CD$7)</f>
        <v/>
      </c>
      <c r="CF90" s="152">
        <f>MAX(0,MIN(CD90-CE90,CL90-(AZ90+BD90+BH90+BL90+BP90+BT90+BX90+CB90)))</f>
        <v/>
      </c>
      <c r="CG90" s="152">
        <f>CD90-CE90-CF90</f>
        <v/>
      </c>
      <c r="CH90" s="152">
        <f>IF(CK89&lt;=0.005,0,CK89*(1+CH$6))</f>
        <v/>
      </c>
      <c r="CI90" s="152">
        <f>MIN(CH90,CH$7)</f>
        <v/>
      </c>
      <c r="CJ90" s="152">
        <f>MAX(0,MIN(CH90-CI90,CL90-(AZ90+BD90+BH90+BL90+BP90+BT90+BX90+CB90+CF90)))</f>
        <v/>
      </c>
      <c r="CK90" s="152">
        <f>CH90-CI90-CJ90</f>
        <v/>
      </c>
      <c r="CL90" s="152">
        <f>'Debt Payoff'!$C$8-SUM(AY90,BC90,BG90,BK90,BO90,BS90,BW90,CA90,CE90,CI90)</f>
        <v/>
      </c>
      <c r="CM90" s="152">
        <f>SUM(AY90,BC90,BG90,BK90,BO90,BS90,BW90,CA90,CE90,CI90)+SUM(AZ90,BD90,BH90,BL90,BP90,BT90,BX90,CB90,CF90,CJ90)</f>
        <v/>
      </c>
      <c r="CN90" s="152">
        <f>SUM(BA90,BE90,BI90,BM90,BQ90,BU90,BY90,CC90,CG90,CK90)</f>
        <v/>
      </c>
      <c r="CO90" s="152">
        <f>IF(AW90&gt;CN$6,NA(),AW90)</f>
        <v/>
      </c>
      <c r="CP90" s="152">
        <f>IF(AW90&gt;CN$6,NA(),CN90)</f>
        <v/>
      </c>
    </row>
    <row r="91">
      <c r="B91" s="152" t="n">
        <v>80</v>
      </c>
      <c r="C91" s="152">
        <f>IF(F90&lt;=0.005,0,F90*(1+C$6))</f>
        <v/>
      </c>
      <c r="D91" s="152">
        <f>MIN(C91,C$7)</f>
        <v/>
      </c>
      <c r="E91" s="152">
        <f>MAX(0,MIN(C91-D91,AQ91))</f>
        <v/>
      </c>
      <c r="F91" s="152">
        <f>C91-D91-E91</f>
        <v/>
      </c>
      <c r="G91" s="152">
        <f>IF(J90&lt;=0.005,0,J90*(1+G$6))</f>
        <v/>
      </c>
      <c r="H91" s="152">
        <f>MIN(G91,G$7)</f>
        <v/>
      </c>
      <c r="I91" s="152">
        <f>MAX(0,MIN(G91-H91,AQ91-(E91)))</f>
        <v/>
      </c>
      <c r="J91" s="152">
        <f>G91-H91-I91</f>
        <v/>
      </c>
      <c r="K91" s="152">
        <f>IF(N90&lt;=0.005,0,N90*(1+K$6))</f>
        <v/>
      </c>
      <c r="L91" s="152">
        <f>MIN(K91,K$7)</f>
        <v/>
      </c>
      <c r="M91" s="152">
        <f>MAX(0,MIN(K91-L91,AQ91-(E91+I91)))</f>
        <v/>
      </c>
      <c r="N91" s="152">
        <f>K91-L91-M91</f>
        <v/>
      </c>
      <c r="O91" s="152">
        <f>IF(R90&lt;=0.005,0,R90*(1+O$6))</f>
        <v/>
      </c>
      <c r="P91" s="152">
        <f>MIN(O91,O$7)</f>
        <v/>
      </c>
      <c r="Q91" s="152">
        <f>MAX(0,MIN(O91-P91,AQ91-(E91+I91+M91)))</f>
        <v/>
      </c>
      <c r="R91" s="152">
        <f>O91-P91-Q91</f>
        <v/>
      </c>
      <c r="S91" s="152">
        <f>IF(V90&lt;=0.005,0,V90*(1+S$6))</f>
        <v/>
      </c>
      <c r="T91" s="152">
        <f>MIN(S91,S$7)</f>
        <v/>
      </c>
      <c r="U91" s="152">
        <f>MAX(0,MIN(S91-T91,AQ91-(E91+I91+M91+Q91)))</f>
        <v/>
      </c>
      <c r="V91" s="152">
        <f>S91-T91-U91</f>
        <v/>
      </c>
      <c r="W91" s="152">
        <f>IF(Z90&lt;=0.005,0,Z90*(1+W$6))</f>
        <v/>
      </c>
      <c r="X91" s="152">
        <f>MIN(W91,W$7)</f>
        <v/>
      </c>
      <c r="Y91" s="152">
        <f>MAX(0,MIN(W91-X91,AQ91-(E91+I91+M91+Q91+U91)))</f>
        <v/>
      </c>
      <c r="Z91" s="152">
        <f>W91-X91-Y91</f>
        <v/>
      </c>
      <c r="AA91" s="152">
        <f>IF(AD90&lt;=0.005,0,AD90*(1+AA$6))</f>
        <v/>
      </c>
      <c r="AB91" s="152">
        <f>MIN(AA91,AA$7)</f>
        <v/>
      </c>
      <c r="AC91" s="152">
        <f>MAX(0,MIN(AA91-AB91,AQ91-(E91+I91+M91+Q91+U91+Y91)))</f>
        <v/>
      </c>
      <c r="AD91" s="152">
        <f>AA91-AB91-AC91</f>
        <v/>
      </c>
      <c r="AE91" s="152">
        <f>IF(AH90&lt;=0.005,0,AH90*(1+AE$6))</f>
        <v/>
      </c>
      <c r="AF91" s="152">
        <f>MIN(AE91,AE$7)</f>
        <v/>
      </c>
      <c r="AG91" s="152">
        <f>MAX(0,MIN(AE91-AF91,AQ91-(E91+I91+M91+Q91+U91+Y91+AC91)))</f>
        <v/>
      </c>
      <c r="AH91" s="152">
        <f>AE91-AF91-AG91</f>
        <v/>
      </c>
      <c r="AI91" s="152">
        <f>IF(AL90&lt;=0.005,0,AL90*(1+AI$6))</f>
        <v/>
      </c>
      <c r="AJ91" s="152">
        <f>MIN(AI91,AI$7)</f>
        <v/>
      </c>
      <c r="AK91" s="152">
        <f>MAX(0,MIN(AI91-AJ91,AQ91-(E91+I91+M91+Q91+U91+Y91+AC91+AG91)))</f>
        <v/>
      </c>
      <c r="AL91" s="152">
        <f>AI91-AJ91-AK91</f>
        <v/>
      </c>
      <c r="AM91" s="152">
        <f>IF(AP90&lt;=0.005,0,AP90*(1+AM$6))</f>
        <v/>
      </c>
      <c r="AN91" s="152">
        <f>MIN(AM91,AM$7)</f>
        <v/>
      </c>
      <c r="AO91" s="152">
        <f>MAX(0,MIN(AM91-AN91,AQ91-(E91+I91+M91+Q91+U91+Y91+AC91+AG91+AK91)))</f>
        <v/>
      </c>
      <c r="AP91" s="152">
        <f>AM91-AN91-AO91</f>
        <v/>
      </c>
      <c r="AQ91" s="152">
        <f>'Debt Payoff'!$C$8-SUM(D91,H91,L91,P91,T91,X91,AB91,AF91,AJ91,AN91)</f>
        <v/>
      </c>
      <c r="AR91" s="152">
        <f>SUM(D91,H91,L91,P91,T91,X91,AB91,AF91,AJ91,AN91)+SUM(E91,I91,M91,Q91,U91,Y91,AC91,AG91,AK91,AO91)</f>
        <v/>
      </c>
      <c r="AS91" s="152">
        <f>SUM(F91,J91,N91,R91,V91,Z91,AD91,AH91,AL91,AP91)</f>
        <v/>
      </c>
      <c r="AT91" s="152">
        <f>IF(B91&gt;AS$6,NA(),B91)</f>
        <v/>
      </c>
      <c r="AU91" s="152">
        <f>IF(B91&gt;AS$6,NA(),AS91)</f>
        <v/>
      </c>
      <c r="AV91" s="152" t="n"/>
      <c r="AW91" s="152" t="n">
        <v>80</v>
      </c>
      <c r="AX91" s="152">
        <f>IF(BA90&lt;=0.005,0,BA90*(1+AX$6))</f>
        <v/>
      </c>
      <c r="AY91" s="152">
        <f>MIN(AX91,AX$7)</f>
        <v/>
      </c>
      <c r="AZ91" s="152">
        <f>MAX(0,MIN(AX91-AY91,CL91))</f>
        <v/>
      </c>
      <c r="BA91" s="152">
        <f>AX91-AY91-AZ91</f>
        <v/>
      </c>
      <c r="BB91" s="152">
        <f>IF(BE90&lt;=0.005,0,BE90*(1+BB$6))</f>
        <v/>
      </c>
      <c r="BC91" s="152">
        <f>MIN(BB91,BB$7)</f>
        <v/>
      </c>
      <c r="BD91" s="152">
        <f>MAX(0,MIN(BB91-BC91,CL91-(AZ91)))</f>
        <v/>
      </c>
      <c r="BE91" s="152">
        <f>BB91-BC91-BD91</f>
        <v/>
      </c>
      <c r="BF91" s="152">
        <f>IF(BI90&lt;=0.005,0,BI90*(1+BF$6))</f>
        <v/>
      </c>
      <c r="BG91" s="152">
        <f>MIN(BF91,BF$7)</f>
        <v/>
      </c>
      <c r="BH91" s="152">
        <f>MAX(0,MIN(BF91-BG91,CL91-(AZ91+BD91)))</f>
        <v/>
      </c>
      <c r="BI91" s="152">
        <f>BF91-BG91-BH91</f>
        <v/>
      </c>
      <c r="BJ91" s="152">
        <f>IF(BM90&lt;=0.005,0,BM90*(1+BJ$6))</f>
        <v/>
      </c>
      <c r="BK91" s="152">
        <f>MIN(BJ91,BJ$7)</f>
        <v/>
      </c>
      <c r="BL91" s="152">
        <f>MAX(0,MIN(BJ91-BK91,CL91-(AZ91+BD91+BH91)))</f>
        <v/>
      </c>
      <c r="BM91" s="152">
        <f>BJ91-BK91-BL91</f>
        <v/>
      </c>
      <c r="BN91" s="152">
        <f>IF(BQ90&lt;=0.005,0,BQ90*(1+BN$6))</f>
        <v/>
      </c>
      <c r="BO91" s="152">
        <f>MIN(BN91,BN$7)</f>
        <v/>
      </c>
      <c r="BP91" s="152">
        <f>MAX(0,MIN(BN91-BO91,CL91-(AZ91+BD91+BH91+BL91)))</f>
        <v/>
      </c>
      <c r="BQ91" s="152">
        <f>BN91-BO91-BP91</f>
        <v/>
      </c>
      <c r="BR91" s="152">
        <f>IF(BU90&lt;=0.005,0,BU90*(1+BR$6))</f>
        <v/>
      </c>
      <c r="BS91" s="152">
        <f>MIN(BR91,BR$7)</f>
        <v/>
      </c>
      <c r="BT91" s="152">
        <f>MAX(0,MIN(BR91-BS91,CL91-(AZ91+BD91+BH91+BL91+BP91)))</f>
        <v/>
      </c>
      <c r="BU91" s="152">
        <f>BR91-BS91-BT91</f>
        <v/>
      </c>
      <c r="BV91" s="152">
        <f>IF(BY90&lt;=0.005,0,BY90*(1+BV$6))</f>
        <v/>
      </c>
      <c r="BW91" s="152">
        <f>MIN(BV91,BV$7)</f>
        <v/>
      </c>
      <c r="BX91" s="152">
        <f>MAX(0,MIN(BV91-BW91,CL91-(AZ91+BD91+BH91+BL91+BP91+BT91)))</f>
        <v/>
      </c>
      <c r="BY91" s="152">
        <f>BV91-BW91-BX91</f>
        <v/>
      </c>
      <c r="BZ91" s="152">
        <f>IF(CC90&lt;=0.005,0,CC90*(1+BZ$6))</f>
        <v/>
      </c>
      <c r="CA91" s="152">
        <f>MIN(BZ91,BZ$7)</f>
        <v/>
      </c>
      <c r="CB91" s="152">
        <f>MAX(0,MIN(BZ91-CA91,CL91-(AZ91+BD91+BH91+BL91+BP91+BT91+BX91)))</f>
        <v/>
      </c>
      <c r="CC91" s="152">
        <f>BZ91-CA91-CB91</f>
        <v/>
      </c>
      <c r="CD91" s="152">
        <f>IF(CG90&lt;=0.005,0,CG90*(1+CD$6))</f>
        <v/>
      </c>
      <c r="CE91" s="152">
        <f>MIN(CD91,CD$7)</f>
        <v/>
      </c>
      <c r="CF91" s="152">
        <f>MAX(0,MIN(CD91-CE91,CL91-(AZ91+BD91+BH91+BL91+BP91+BT91+BX91+CB91)))</f>
        <v/>
      </c>
      <c r="CG91" s="152">
        <f>CD91-CE91-CF91</f>
        <v/>
      </c>
      <c r="CH91" s="152">
        <f>IF(CK90&lt;=0.005,0,CK90*(1+CH$6))</f>
        <v/>
      </c>
      <c r="CI91" s="152">
        <f>MIN(CH91,CH$7)</f>
        <v/>
      </c>
      <c r="CJ91" s="152">
        <f>MAX(0,MIN(CH91-CI91,CL91-(AZ91+BD91+BH91+BL91+BP91+BT91+BX91+CB91+CF91)))</f>
        <v/>
      </c>
      <c r="CK91" s="152">
        <f>CH91-CI91-CJ91</f>
        <v/>
      </c>
      <c r="CL91" s="152">
        <f>'Debt Payoff'!$C$8-SUM(AY91,BC91,BG91,BK91,BO91,BS91,BW91,CA91,CE91,CI91)</f>
        <v/>
      </c>
      <c r="CM91" s="152">
        <f>SUM(AY91,BC91,BG91,BK91,BO91,BS91,BW91,CA91,CE91,CI91)+SUM(AZ91,BD91,BH91,BL91,BP91,BT91,BX91,CB91,CF91,CJ91)</f>
        <v/>
      </c>
      <c r="CN91" s="152">
        <f>SUM(BA91,BE91,BI91,BM91,BQ91,BU91,BY91,CC91,CG91,CK91)</f>
        <v/>
      </c>
      <c r="CO91" s="152">
        <f>IF(AW91&gt;CN$6,NA(),AW91)</f>
        <v/>
      </c>
      <c r="CP91" s="152">
        <f>IF(AW91&gt;CN$6,NA(),CN91)</f>
        <v/>
      </c>
    </row>
    <row r="92">
      <c r="B92" s="152" t="n">
        <v>81</v>
      </c>
      <c r="C92" s="152">
        <f>IF(F91&lt;=0.005,0,F91*(1+C$6))</f>
        <v/>
      </c>
      <c r="D92" s="152">
        <f>MIN(C92,C$7)</f>
        <v/>
      </c>
      <c r="E92" s="152">
        <f>MAX(0,MIN(C92-D92,AQ92))</f>
        <v/>
      </c>
      <c r="F92" s="152">
        <f>C92-D92-E92</f>
        <v/>
      </c>
      <c r="G92" s="152">
        <f>IF(J91&lt;=0.005,0,J91*(1+G$6))</f>
        <v/>
      </c>
      <c r="H92" s="152">
        <f>MIN(G92,G$7)</f>
        <v/>
      </c>
      <c r="I92" s="152">
        <f>MAX(0,MIN(G92-H92,AQ92-(E92)))</f>
        <v/>
      </c>
      <c r="J92" s="152">
        <f>G92-H92-I92</f>
        <v/>
      </c>
      <c r="K92" s="152">
        <f>IF(N91&lt;=0.005,0,N91*(1+K$6))</f>
        <v/>
      </c>
      <c r="L92" s="152">
        <f>MIN(K92,K$7)</f>
        <v/>
      </c>
      <c r="M92" s="152">
        <f>MAX(0,MIN(K92-L92,AQ92-(E92+I92)))</f>
        <v/>
      </c>
      <c r="N92" s="152">
        <f>K92-L92-M92</f>
        <v/>
      </c>
      <c r="O92" s="152">
        <f>IF(R91&lt;=0.005,0,R91*(1+O$6))</f>
        <v/>
      </c>
      <c r="P92" s="152">
        <f>MIN(O92,O$7)</f>
        <v/>
      </c>
      <c r="Q92" s="152">
        <f>MAX(0,MIN(O92-P92,AQ92-(E92+I92+M92)))</f>
        <v/>
      </c>
      <c r="R92" s="152">
        <f>O92-P92-Q92</f>
        <v/>
      </c>
      <c r="S92" s="152">
        <f>IF(V91&lt;=0.005,0,V91*(1+S$6))</f>
        <v/>
      </c>
      <c r="T92" s="152">
        <f>MIN(S92,S$7)</f>
        <v/>
      </c>
      <c r="U92" s="152">
        <f>MAX(0,MIN(S92-T92,AQ92-(E92+I92+M92+Q92)))</f>
        <v/>
      </c>
      <c r="V92" s="152">
        <f>S92-T92-U92</f>
        <v/>
      </c>
      <c r="W92" s="152">
        <f>IF(Z91&lt;=0.005,0,Z91*(1+W$6))</f>
        <v/>
      </c>
      <c r="X92" s="152">
        <f>MIN(W92,W$7)</f>
        <v/>
      </c>
      <c r="Y92" s="152">
        <f>MAX(0,MIN(W92-X92,AQ92-(E92+I92+M92+Q92+U92)))</f>
        <v/>
      </c>
      <c r="Z92" s="152">
        <f>W92-X92-Y92</f>
        <v/>
      </c>
      <c r="AA92" s="152">
        <f>IF(AD91&lt;=0.005,0,AD91*(1+AA$6))</f>
        <v/>
      </c>
      <c r="AB92" s="152">
        <f>MIN(AA92,AA$7)</f>
        <v/>
      </c>
      <c r="AC92" s="152">
        <f>MAX(0,MIN(AA92-AB92,AQ92-(E92+I92+M92+Q92+U92+Y92)))</f>
        <v/>
      </c>
      <c r="AD92" s="152">
        <f>AA92-AB92-AC92</f>
        <v/>
      </c>
      <c r="AE92" s="152">
        <f>IF(AH91&lt;=0.005,0,AH91*(1+AE$6))</f>
        <v/>
      </c>
      <c r="AF92" s="152">
        <f>MIN(AE92,AE$7)</f>
        <v/>
      </c>
      <c r="AG92" s="152">
        <f>MAX(0,MIN(AE92-AF92,AQ92-(E92+I92+M92+Q92+U92+Y92+AC92)))</f>
        <v/>
      </c>
      <c r="AH92" s="152">
        <f>AE92-AF92-AG92</f>
        <v/>
      </c>
      <c r="AI92" s="152">
        <f>IF(AL91&lt;=0.005,0,AL91*(1+AI$6))</f>
        <v/>
      </c>
      <c r="AJ92" s="152">
        <f>MIN(AI92,AI$7)</f>
        <v/>
      </c>
      <c r="AK92" s="152">
        <f>MAX(0,MIN(AI92-AJ92,AQ92-(E92+I92+M92+Q92+U92+Y92+AC92+AG92)))</f>
        <v/>
      </c>
      <c r="AL92" s="152">
        <f>AI92-AJ92-AK92</f>
        <v/>
      </c>
      <c r="AM92" s="152">
        <f>IF(AP91&lt;=0.005,0,AP91*(1+AM$6))</f>
        <v/>
      </c>
      <c r="AN92" s="152">
        <f>MIN(AM92,AM$7)</f>
        <v/>
      </c>
      <c r="AO92" s="152">
        <f>MAX(0,MIN(AM92-AN92,AQ92-(E92+I92+M92+Q92+U92+Y92+AC92+AG92+AK92)))</f>
        <v/>
      </c>
      <c r="AP92" s="152">
        <f>AM92-AN92-AO92</f>
        <v/>
      </c>
      <c r="AQ92" s="152">
        <f>'Debt Payoff'!$C$8-SUM(D92,H92,L92,P92,T92,X92,AB92,AF92,AJ92,AN92)</f>
        <v/>
      </c>
      <c r="AR92" s="152">
        <f>SUM(D92,H92,L92,P92,T92,X92,AB92,AF92,AJ92,AN92)+SUM(E92,I92,M92,Q92,U92,Y92,AC92,AG92,AK92,AO92)</f>
        <v/>
      </c>
      <c r="AS92" s="152">
        <f>SUM(F92,J92,N92,R92,V92,Z92,AD92,AH92,AL92,AP92)</f>
        <v/>
      </c>
      <c r="AT92" s="152">
        <f>IF(B92&gt;AS$6,NA(),B92)</f>
        <v/>
      </c>
      <c r="AU92" s="152">
        <f>IF(B92&gt;AS$6,NA(),AS92)</f>
        <v/>
      </c>
      <c r="AV92" s="152" t="n"/>
      <c r="AW92" s="152" t="n">
        <v>81</v>
      </c>
      <c r="AX92" s="152">
        <f>IF(BA91&lt;=0.005,0,BA91*(1+AX$6))</f>
        <v/>
      </c>
      <c r="AY92" s="152">
        <f>MIN(AX92,AX$7)</f>
        <v/>
      </c>
      <c r="AZ92" s="152">
        <f>MAX(0,MIN(AX92-AY92,CL92))</f>
        <v/>
      </c>
      <c r="BA92" s="152">
        <f>AX92-AY92-AZ92</f>
        <v/>
      </c>
      <c r="BB92" s="152">
        <f>IF(BE91&lt;=0.005,0,BE91*(1+BB$6))</f>
        <v/>
      </c>
      <c r="BC92" s="152">
        <f>MIN(BB92,BB$7)</f>
        <v/>
      </c>
      <c r="BD92" s="152">
        <f>MAX(0,MIN(BB92-BC92,CL92-(AZ92)))</f>
        <v/>
      </c>
      <c r="BE92" s="152">
        <f>BB92-BC92-BD92</f>
        <v/>
      </c>
      <c r="BF92" s="152">
        <f>IF(BI91&lt;=0.005,0,BI91*(1+BF$6))</f>
        <v/>
      </c>
      <c r="BG92" s="152">
        <f>MIN(BF92,BF$7)</f>
        <v/>
      </c>
      <c r="BH92" s="152">
        <f>MAX(0,MIN(BF92-BG92,CL92-(AZ92+BD92)))</f>
        <v/>
      </c>
      <c r="BI92" s="152">
        <f>BF92-BG92-BH92</f>
        <v/>
      </c>
      <c r="BJ92" s="152">
        <f>IF(BM91&lt;=0.005,0,BM91*(1+BJ$6))</f>
        <v/>
      </c>
      <c r="BK92" s="152">
        <f>MIN(BJ92,BJ$7)</f>
        <v/>
      </c>
      <c r="BL92" s="152">
        <f>MAX(0,MIN(BJ92-BK92,CL92-(AZ92+BD92+BH92)))</f>
        <v/>
      </c>
      <c r="BM92" s="152">
        <f>BJ92-BK92-BL92</f>
        <v/>
      </c>
      <c r="BN92" s="152">
        <f>IF(BQ91&lt;=0.005,0,BQ91*(1+BN$6))</f>
        <v/>
      </c>
      <c r="BO92" s="152">
        <f>MIN(BN92,BN$7)</f>
        <v/>
      </c>
      <c r="BP92" s="152">
        <f>MAX(0,MIN(BN92-BO92,CL92-(AZ92+BD92+BH92+BL92)))</f>
        <v/>
      </c>
      <c r="BQ92" s="152">
        <f>BN92-BO92-BP92</f>
        <v/>
      </c>
      <c r="BR92" s="152">
        <f>IF(BU91&lt;=0.005,0,BU91*(1+BR$6))</f>
        <v/>
      </c>
      <c r="BS92" s="152">
        <f>MIN(BR92,BR$7)</f>
        <v/>
      </c>
      <c r="BT92" s="152">
        <f>MAX(0,MIN(BR92-BS92,CL92-(AZ92+BD92+BH92+BL92+BP92)))</f>
        <v/>
      </c>
      <c r="BU92" s="152">
        <f>BR92-BS92-BT92</f>
        <v/>
      </c>
      <c r="BV92" s="152">
        <f>IF(BY91&lt;=0.005,0,BY91*(1+BV$6))</f>
        <v/>
      </c>
      <c r="BW92" s="152">
        <f>MIN(BV92,BV$7)</f>
        <v/>
      </c>
      <c r="BX92" s="152">
        <f>MAX(0,MIN(BV92-BW92,CL92-(AZ92+BD92+BH92+BL92+BP92+BT92)))</f>
        <v/>
      </c>
      <c r="BY92" s="152">
        <f>BV92-BW92-BX92</f>
        <v/>
      </c>
      <c r="BZ92" s="152">
        <f>IF(CC91&lt;=0.005,0,CC91*(1+BZ$6))</f>
        <v/>
      </c>
      <c r="CA92" s="152">
        <f>MIN(BZ92,BZ$7)</f>
        <v/>
      </c>
      <c r="CB92" s="152">
        <f>MAX(0,MIN(BZ92-CA92,CL92-(AZ92+BD92+BH92+BL92+BP92+BT92+BX92)))</f>
        <v/>
      </c>
      <c r="CC92" s="152">
        <f>BZ92-CA92-CB92</f>
        <v/>
      </c>
      <c r="CD92" s="152">
        <f>IF(CG91&lt;=0.005,0,CG91*(1+CD$6))</f>
        <v/>
      </c>
      <c r="CE92" s="152">
        <f>MIN(CD92,CD$7)</f>
        <v/>
      </c>
      <c r="CF92" s="152">
        <f>MAX(0,MIN(CD92-CE92,CL92-(AZ92+BD92+BH92+BL92+BP92+BT92+BX92+CB92)))</f>
        <v/>
      </c>
      <c r="CG92" s="152">
        <f>CD92-CE92-CF92</f>
        <v/>
      </c>
      <c r="CH92" s="152">
        <f>IF(CK91&lt;=0.005,0,CK91*(1+CH$6))</f>
        <v/>
      </c>
      <c r="CI92" s="152">
        <f>MIN(CH92,CH$7)</f>
        <v/>
      </c>
      <c r="CJ92" s="152">
        <f>MAX(0,MIN(CH92-CI92,CL92-(AZ92+BD92+BH92+BL92+BP92+BT92+BX92+CB92+CF92)))</f>
        <v/>
      </c>
      <c r="CK92" s="152">
        <f>CH92-CI92-CJ92</f>
        <v/>
      </c>
      <c r="CL92" s="152">
        <f>'Debt Payoff'!$C$8-SUM(AY92,BC92,BG92,BK92,BO92,BS92,BW92,CA92,CE92,CI92)</f>
        <v/>
      </c>
      <c r="CM92" s="152">
        <f>SUM(AY92,BC92,BG92,BK92,BO92,BS92,BW92,CA92,CE92,CI92)+SUM(AZ92,BD92,BH92,BL92,BP92,BT92,BX92,CB92,CF92,CJ92)</f>
        <v/>
      </c>
      <c r="CN92" s="152">
        <f>SUM(BA92,BE92,BI92,BM92,BQ92,BU92,BY92,CC92,CG92,CK92)</f>
        <v/>
      </c>
      <c r="CO92" s="152">
        <f>IF(AW92&gt;CN$6,NA(),AW92)</f>
        <v/>
      </c>
      <c r="CP92" s="152">
        <f>IF(AW92&gt;CN$6,NA(),CN92)</f>
        <v/>
      </c>
    </row>
    <row r="93">
      <c r="B93" s="152" t="n">
        <v>82</v>
      </c>
      <c r="C93" s="152">
        <f>IF(F92&lt;=0.005,0,F92*(1+C$6))</f>
        <v/>
      </c>
      <c r="D93" s="152">
        <f>MIN(C93,C$7)</f>
        <v/>
      </c>
      <c r="E93" s="152">
        <f>MAX(0,MIN(C93-D93,AQ93))</f>
        <v/>
      </c>
      <c r="F93" s="152">
        <f>C93-D93-E93</f>
        <v/>
      </c>
      <c r="G93" s="152">
        <f>IF(J92&lt;=0.005,0,J92*(1+G$6))</f>
        <v/>
      </c>
      <c r="H93" s="152">
        <f>MIN(G93,G$7)</f>
        <v/>
      </c>
      <c r="I93" s="152">
        <f>MAX(0,MIN(G93-H93,AQ93-(E93)))</f>
        <v/>
      </c>
      <c r="J93" s="152">
        <f>G93-H93-I93</f>
        <v/>
      </c>
      <c r="K93" s="152">
        <f>IF(N92&lt;=0.005,0,N92*(1+K$6))</f>
        <v/>
      </c>
      <c r="L93" s="152">
        <f>MIN(K93,K$7)</f>
        <v/>
      </c>
      <c r="M93" s="152">
        <f>MAX(0,MIN(K93-L93,AQ93-(E93+I93)))</f>
        <v/>
      </c>
      <c r="N93" s="152">
        <f>K93-L93-M93</f>
        <v/>
      </c>
      <c r="O93" s="152">
        <f>IF(R92&lt;=0.005,0,R92*(1+O$6))</f>
        <v/>
      </c>
      <c r="P93" s="152">
        <f>MIN(O93,O$7)</f>
        <v/>
      </c>
      <c r="Q93" s="152">
        <f>MAX(0,MIN(O93-P93,AQ93-(E93+I93+M93)))</f>
        <v/>
      </c>
      <c r="R93" s="152">
        <f>O93-P93-Q93</f>
        <v/>
      </c>
      <c r="S93" s="152">
        <f>IF(V92&lt;=0.005,0,V92*(1+S$6))</f>
        <v/>
      </c>
      <c r="T93" s="152">
        <f>MIN(S93,S$7)</f>
        <v/>
      </c>
      <c r="U93" s="152">
        <f>MAX(0,MIN(S93-T93,AQ93-(E93+I93+M93+Q93)))</f>
        <v/>
      </c>
      <c r="V93" s="152">
        <f>S93-T93-U93</f>
        <v/>
      </c>
      <c r="W93" s="152">
        <f>IF(Z92&lt;=0.005,0,Z92*(1+W$6))</f>
        <v/>
      </c>
      <c r="X93" s="152">
        <f>MIN(W93,W$7)</f>
        <v/>
      </c>
      <c r="Y93" s="152">
        <f>MAX(0,MIN(W93-X93,AQ93-(E93+I93+M93+Q93+U93)))</f>
        <v/>
      </c>
      <c r="Z93" s="152">
        <f>W93-X93-Y93</f>
        <v/>
      </c>
      <c r="AA93" s="152">
        <f>IF(AD92&lt;=0.005,0,AD92*(1+AA$6))</f>
        <v/>
      </c>
      <c r="AB93" s="152">
        <f>MIN(AA93,AA$7)</f>
        <v/>
      </c>
      <c r="AC93" s="152">
        <f>MAX(0,MIN(AA93-AB93,AQ93-(E93+I93+M93+Q93+U93+Y93)))</f>
        <v/>
      </c>
      <c r="AD93" s="152">
        <f>AA93-AB93-AC93</f>
        <v/>
      </c>
      <c r="AE93" s="152">
        <f>IF(AH92&lt;=0.005,0,AH92*(1+AE$6))</f>
        <v/>
      </c>
      <c r="AF93" s="152">
        <f>MIN(AE93,AE$7)</f>
        <v/>
      </c>
      <c r="AG93" s="152">
        <f>MAX(0,MIN(AE93-AF93,AQ93-(E93+I93+M93+Q93+U93+Y93+AC93)))</f>
        <v/>
      </c>
      <c r="AH93" s="152">
        <f>AE93-AF93-AG93</f>
        <v/>
      </c>
      <c r="AI93" s="152">
        <f>IF(AL92&lt;=0.005,0,AL92*(1+AI$6))</f>
        <v/>
      </c>
      <c r="AJ93" s="152">
        <f>MIN(AI93,AI$7)</f>
        <v/>
      </c>
      <c r="AK93" s="152">
        <f>MAX(0,MIN(AI93-AJ93,AQ93-(E93+I93+M93+Q93+U93+Y93+AC93+AG93)))</f>
        <v/>
      </c>
      <c r="AL93" s="152">
        <f>AI93-AJ93-AK93</f>
        <v/>
      </c>
      <c r="AM93" s="152">
        <f>IF(AP92&lt;=0.005,0,AP92*(1+AM$6))</f>
        <v/>
      </c>
      <c r="AN93" s="152">
        <f>MIN(AM93,AM$7)</f>
        <v/>
      </c>
      <c r="AO93" s="152">
        <f>MAX(0,MIN(AM93-AN93,AQ93-(E93+I93+M93+Q93+U93+Y93+AC93+AG93+AK93)))</f>
        <v/>
      </c>
      <c r="AP93" s="152">
        <f>AM93-AN93-AO93</f>
        <v/>
      </c>
      <c r="AQ93" s="152">
        <f>'Debt Payoff'!$C$8-SUM(D93,H93,L93,P93,T93,X93,AB93,AF93,AJ93,AN93)</f>
        <v/>
      </c>
      <c r="AR93" s="152">
        <f>SUM(D93,H93,L93,P93,T93,X93,AB93,AF93,AJ93,AN93)+SUM(E93,I93,M93,Q93,U93,Y93,AC93,AG93,AK93,AO93)</f>
        <v/>
      </c>
      <c r="AS93" s="152">
        <f>SUM(F93,J93,N93,R93,V93,Z93,AD93,AH93,AL93,AP93)</f>
        <v/>
      </c>
      <c r="AT93" s="152">
        <f>IF(B93&gt;AS$6,NA(),B93)</f>
        <v/>
      </c>
      <c r="AU93" s="152">
        <f>IF(B93&gt;AS$6,NA(),AS93)</f>
        <v/>
      </c>
      <c r="AV93" s="152" t="n"/>
      <c r="AW93" s="152" t="n">
        <v>82</v>
      </c>
      <c r="AX93" s="152">
        <f>IF(BA92&lt;=0.005,0,BA92*(1+AX$6))</f>
        <v/>
      </c>
      <c r="AY93" s="152">
        <f>MIN(AX93,AX$7)</f>
        <v/>
      </c>
      <c r="AZ93" s="152">
        <f>MAX(0,MIN(AX93-AY93,CL93))</f>
        <v/>
      </c>
      <c r="BA93" s="152">
        <f>AX93-AY93-AZ93</f>
        <v/>
      </c>
      <c r="BB93" s="152">
        <f>IF(BE92&lt;=0.005,0,BE92*(1+BB$6))</f>
        <v/>
      </c>
      <c r="BC93" s="152">
        <f>MIN(BB93,BB$7)</f>
        <v/>
      </c>
      <c r="BD93" s="152">
        <f>MAX(0,MIN(BB93-BC93,CL93-(AZ93)))</f>
        <v/>
      </c>
      <c r="BE93" s="152">
        <f>BB93-BC93-BD93</f>
        <v/>
      </c>
      <c r="BF93" s="152">
        <f>IF(BI92&lt;=0.005,0,BI92*(1+BF$6))</f>
        <v/>
      </c>
      <c r="BG93" s="152">
        <f>MIN(BF93,BF$7)</f>
        <v/>
      </c>
      <c r="BH93" s="152">
        <f>MAX(0,MIN(BF93-BG93,CL93-(AZ93+BD93)))</f>
        <v/>
      </c>
      <c r="BI93" s="152">
        <f>BF93-BG93-BH93</f>
        <v/>
      </c>
      <c r="BJ93" s="152">
        <f>IF(BM92&lt;=0.005,0,BM92*(1+BJ$6))</f>
        <v/>
      </c>
      <c r="BK93" s="152">
        <f>MIN(BJ93,BJ$7)</f>
        <v/>
      </c>
      <c r="BL93" s="152">
        <f>MAX(0,MIN(BJ93-BK93,CL93-(AZ93+BD93+BH93)))</f>
        <v/>
      </c>
      <c r="BM93" s="152">
        <f>BJ93-BK93-BL93</f>
        <v/>
      </c>
      <c r="BN93" s="152">
        <f>IF(BQ92&lt;=0.005,0,BQ92*(1+BN$6))</f>
        <v/>
      </c>
      <c r="BO93" s="152">
        <f>MIN(BN93,BN$7)</f>
        <v/>
      </c>
      <c r="BP93" s="152">
        <f>MAX(0,MIN(BN93-BO93,CL93-(AZ93+BD93+BH93+BL93)))</f>
        <v/>
      </c>
      <c r="BQ93" s="152">
        <f>BN93-BO93-BP93</f>
        <v/>
      </c>
      <c r="BR93" s="152">
        <f>IF(BU92&lt;=0.005,0,BU92*(1+BR$6))</f>
        <v/>
      </c>
      <c r="BS93" s="152">
        <f>MIN(BR93,BR$7)</f>
        <v/>
      </c>
      <c r="BT93" s="152">
        <f>MAX(0,MIN(BR93-BS93,CL93-(AZ93+BD93+BH93+BL93+BP93)))</f>
        <v/>
      </c>
      <c r="BU93" s="152">
        <f>BR93-BS93-BT93</f>
        <v/>
      </c>
      <c r="BV93" s="152">
        <f>IF(BY92&lt;=0.005,0,BY92*(1+BV$6))</f>
        <v/>
      </c>
      <c r="BW93" s="152">
        <f>MIN(BV93,BV$7)</f>
        <v/>
      </c>
      <c r="BX93" s="152">
        <f>MAX(0,MIN(BV93-BW93,CL93-(AZ93+BD93+BH93+BL93+BP93+BT93)))</f>
        <v/>
      </c>
      <c r="BY93" s="152">
        <f>BV93-BW93-BX93</f>
        <v/>
      </c>
      <c r="BZ93" s="152">
        <f>IF(CC92&lt;=0.005,0,CC92*(1+BZ$6))</f>
        <v/>
      </c>
      <c r="CA93" s="152">
        <f>MIN(BZ93,BZ$7)</f>
        <v/>
      </c>
      <c r="CB93" s="152">
        <f>MAX(0,MIN(BZ93-CA93,CL93-(AZ93+BD93+BH93+BL93+BP93+BT93+BX93)))</f>
        <v/>
      </c>
      <c r="CC93" s="152">
        <f>BZ93-CA93-CB93</f>
        <v/>
      </c>
      <c r="CD93" s="152">
        <f>IF(CG92&lt;=0.005,0,CG92*(1+CD$6))</f>
        <v/>
      </c>
      <c r="CE93" s="152">
        <f>MIN(CD93,CD$7)</f>
        <v/>
      </c>
      <c r="CF93" s="152">
        <f>MAX(0,MIN(CD93-CE93,CL93-(AZ93+BD93+BH93+BL93+BP93+BT93+BX93+CB93)))</f>
        <v/>
      </c>
      <c r="CG93" s="152">
        <f>CD93-CE93-CF93</f>
        <v/>
      </c>
      <c r="CH93" s="152">
        <f>IF(CK92&lt;=0.005,0,CK92*(1+CH$6))</f>
        <v/>
      </c>
      <c r="CI93" s="152">
        <f>MIN(CH93,CH$7)</f>
        <v/>
      </c>
      <c r="CJ93" s="152">
        <f>MAX(0,MIN(CH93-CI93,CL93-(AZ93+BD93+BH93+BL93+BP93+BT93+BX93+CB93+CF93)))</f>
        <v/>
      </c>
      <c r="CK93" s="152">
        <f>CH93-CI93-CJ93</f>
        <v/>
      </c>
      <c r="CL93" s="152">
        <f>'Debt Payoff'!$C$8-SUM(AY93,BC93,BG93,BK93,BO93,BS93,BW93,CA93,CE93,CI93)</f>
        <v/>
      </c>
      <c r="CM93" s="152">
        <f>SUM(AY93,BC93,BG93,BK93,BO93,BS93,BW93,CA93,CE93,CI93)+SUM(AZ93,BD93,BH93,BL93,BP93,BT93,BX93,CB93,CF93,CJ93)</f>
        <v/>
      </c>
      <c r="CN93" s="152">
        <f>SUM(BA93,BE93,BI93,BM93,BQ93,BU93,BY93,CC93,CG93,CK93)</f>
        <v/>
      </c>
      <c r="CO93" s="152">
        <f>IF(AW93&gt;CN$6,NA(),AW93)</f>
        <v/>
      </c>
      <c r="CP93" s="152">
        <f>IF(AW93&gt;CN$6,NA(),CN93)</f>
        <v/>
      </c>
    </row>
    <row r="94">
      <c r="B94" s="152" t="n">
        <v>83</v>
      </c>
      <c r="C94" s="152">
        <f>IF(F93&lt;=0.005,0,F93*(1+C$6))</f>
        <v/>
      </c>
      <c r="D94" s="152">
        <f>MIN(C94,C$7)</f>
        <v/>
      </c>
      <c r="E94" s="152">
        <f>MAX(0,MIN(C94-D94,AQ94))</f>
        <v/>
      </c>
      <c r="F94" s="152">
        <f>C94-D94-E94</f>
        <v/>
      </c>
      <c r="G94" s="152">
        <f>IF(J93&lt;=0.005,0,J93*(1+G$6))</f>
        <v/>
      </c>
      <c r="H94" s="152">
        <f>MIN(G94,G$7)</f>
        <v/>
      </c>
      <c r="I94" s="152">
        <f>MAX(0,MIN(G94-H94,AQ94-(E94)))</f>
        <v/>
      </c>
      <c r="J94" s="152">
        <f>G94-H94-I94</f>
        <v/>
      </c>
      <c r="K94" s="152">
        <f>IF(N93&lt;=0.005,0,N93*(1+K$6))</f>
        <v/>
      </c>
      <c r="L94" s="152">
        <f>MIN(K94,K$7)</f>
        <v/>
      </c>
      <c r="M94" s="152">
        <f>MAX(0,MIN(K94-L94,AQ94-(E94+I94)))</f>
        <v/>
      </c>
      <c r="N94" s="152">
        <f>K94-L94-M94</f>
        <v/>
      </c>
      <c r="O94" s="152">
        <f>IF(R93&lt;=0.005,0,R93*(1+O$6))</f>
        <v/>
      </c>
      <c r="P94" s="152">
        <f>MIN(O94,O$7)</f>
        <v/>
      </c>
      <c r="Q94" s="152">
        <f>MAX(0,MIN(O94-P94,AQ94-(E94+I94+M94)))</f>
        <v/>
      </c>
      <c r="R94" s="152">
        <f>O94-P94-Q94</f>
        <v/>
      </c>
      <c r="S94" s="152">
        <f>IF(V93&lt;=0.005,0,V93*(1+S$6))</f>
        <v/>
      </c>
      <c r="T94" s="152">
        <f>MIN(S94,S$7)</f>
        <v/>
      </c>
      <c r="U94" s="152">
        <f>MAX(0,MIN(S94-T94,AQ94-(E94+I94+M94+Q94)))</f>
        <v/>
      </c>
      <c r="V94" s="152">
        <f>S94-T94-U94</f>
        <v/>
      </c>
      <c r="W94" s="152">
        <f>IF(Z93&lt;=0.005,0,Z93*(1+W$6))</f>
        <v/>
      </c>
      <c r="X94" s="152">
        <f>MIN(W94,W$7)</f>
        <v/>
      </c>
      <c r="Y94" s="152">
        <f>MAX(0,MIN(W94-X94,AQ94-(E94+I94+M94+Q94+U94)))</f>
        <v/>
      </c>
      <c r="Z94" s="152">
        <f>W94-X94-Y94</f>
        <v/>
      </c>
      <c r="AA94" s="152">
        <f>IF(AD93&lt;=0.005,0,AD93*(1+AA$6))</f>
        <v/>
      </c>
      <c r="AB94" s="152">
        <f>MIN(AA94,AA$7)</f>
        <v/>
      </c>
      <c r="AC94" s="152">
        <f>MAX(0,MIN(AA94-AB94,AQ94-(E94+I94+M94+Q94+U94+Y94)))</f>
        <v/>
      </c>
      <c r="AD94" s="152">
        <f>AA94-AB94-AC94</f>
        <v/>
      </c>
      <c r="AE94" s="152">
        <f>IF(AH93&lt;=0.005,0,AH93*(1+AE$6))</f>
        <v/>
      </c>
      <c r="AF94" s="152">
        <f>MIN(AE94,AE$7)</f>
        <v/>
      </c>
      <c r="AG94" s="152">
        <f>MAX(0,MIN(AE94-AF94,AQ94-(E94+I94+M94+Q94+U94+Y94+AC94)))</f>
        <v/>
      </c>
      <c r="AH94" s="152">
        <f>AE94-AF94-AG94</f>
        <v/>
      </c>
      <c r="AI94" s="152">
        <f>IF(AL93&lt;=0.005,0,AL93*(1+AI$6))</f>
        <v/>
      </c>
      <c r="AJ94" s="152">
        <f>MIN(AI94,AI$7)</f>
        <v/>
      </c>
      <c r="AK94" s="152">
        <f>MAX(0,MIN(AI94-AJ94,AQ94-(E94+I94+M94+Q94+U94+Y94+AC94+AG94)))</f>
        <v/>
      </c>
      <c r="AL94" s="152">
        <f>AI94-AJ94-AK94</f>
        <v/>
      </c>
      <c r="AM94" s="152">
        <f>IF(AP93&lt;=0.005,0,AP93*(1+AM$6))</f>
        <v/>
      </c>
      <c r="AN94" s="152">
        <f>MIN(AM94,AM$7)</f>
        <v/>
      </c>
      <c r="AO94" s="152">
        <f>MAX(0,MIN(AM94-AN94,AQ94-(E94+I94+M94+Q94+U94+Y94+AC94+AG94+AK94)))</f>
        <v/>
      </c>
      <c r="AP94" s="152">
        <f>AM94-AN94-AO94</f>
        <v/>
      </c>
      <c r="AQ94" s="152">
        <f>'Debt Payoff'!$C$8-SUM(D94,H94,L94,P94,T94,X94,AB94,AF94,AJ94,AN94)</f>
        <v/>
      </c>
      <c r="AR94" s="152">
        <f>SUM(D94,H94,L94,P94,T94,X94,AB94,AF94,AJ94,AN94)+SUM(E94,I94,M94,Q94,U94,Y94,AC94,AG94,AK94,AO94)</f>
        <v/>
      </c>
      <c r="AS94" s="152">
        <f>SUM(F94,J94,N94,R94,V94,Z94,AD94,AH94,AL94,AP94)</f>
        <v/>
      </c>
      <c r="AT94" s="152">
        <f>IF(B94&gt;AS$6,NA(),B94)</f>
        <v/>
      </c>
      <c r="AU94" s="152">
        <f>IF(B94&gt;AS$6,NA(),AS94)</f>
        <v/>
      </c>
      <c r="AV94" s="152" t="n"/>
      <c r="AW94" s="152" t="n">
        <v>83</v>
      </c>
      <c r="AX94" s="152">
        <f>IF(BA93&lt;=0.005,0,BA93*(1+AX$6))</f>
        <v/>
      </c>
      <c r="AY94" s="152">
        <f>MIN(AX94,AX$7)</f>
        <v/>
      </c>
      <c r="AZ94" s="152">
        <f>MAX(0,MIN(AX94-AY94,CL94))</f>
        <v/>
      </c>
      <c r="BA94" s="152">
        <f>AX94-AY94-AZ94</f>
        <v/>
      </c>
      <c r="BB94" s="152">
        <f>IF(BE93&lt;=0.005,0,BE93*(1+BB$6))</f>
        <v/>
      </c>
      <c r="BC94" s="152">
        <f>MIN(BB94,BB$7)</f>
        <v/>
      </c>
      <c r="BD94" s="152">
        <f>MAX(0,MIN(BB94-BC94,CL94-(AZ94)))</f>
        <v/>
      </c>
      <c r="BE94" s="152">
        <f>BB94-BC94-BD94</f>
        <v/>
      </c>
      <c r="BF94" s="152">
        <f>IF(BI93&lt;=0.005,0,BI93*(1+BF$6))</f>
        <v/>
      </c>
      <c r="BG94" s="152">
        <f>MIN(BF94,BF$7)</f>
        <v/>
      </c>
      <c r="BH94" s="152">
        <f>MAX(0,MIN(BF94-BG94,CL94-(AZ94+BD94)))</f>
        <v/>
      </c>
      <c r="BI94" s="152">
        <f>BF94-BG94-BH94</f>
        <v/>
      </c>
      <c r="BJ94" s="152">
        <f>IF(BM93&lt;=0.005,0,BM93*(1+BJ$6))</f>
        <v/>
      </c>
      <c r="BK94" s="152">
        <f>MIN(BJ94,BJ$7)</f>
        <v/>
      </c>
      <c r="BL94" s="152">
        <f>MAX(0,MIN(BJ94-BK94,CL94-(AZ94+BD94+BH94)))</f>
        <v/>
      </c>
      <c r="BM94" s="152">
        <f>BJ94-BK94-BL94</f>
        <v/>
      </c>
      <c r="BN94" s="152">
        <f>IF(BQ93&lt;=0.005,0,BQ93*(1+BN$6))</f>
        <v/>
      </c>
      <c r="BO94" s="152">
        <f>MIN(BN94,BN$7)</f>
        <v/>
      </c>
      <c r="BP94" s="152">
        <f>MAX(0,MIN(BN94-BO94,CL94-(AZ94+BD94+BH94+BL94)))</f>
        <v/>
      </c>
      <c r="BQ94" s="152">
        <f>BN94-BO94-BP94</f>
        <v/>
      </c>
      <c r="BR94" s="152">
        <f>IF(BU93&lt;=0.005,0,BU93*(1+BR$6))</f>
        <v/>
      </c>
      <c r="BS94" s="152">
        <f>MIN(BR94,BR$7)</f>
        <v/>
      </c>
      <c r="BT94" s="152">
        <f>MAX(0,MIN(BR94-BS94,CL94-(AZ94+BD94+BH94+BL94+BP94)))</f>
        <v/>
      </c>
      <c r="BU94" s="152">
        <f>BR94-BS94-BT94</f>
        <v/>
      </c>
      <c r="BV94" s="152">
        <f>IF(BY93&lt;=0.005,0,BY93*(1+BV$6))</f>
        <v/>
      </c>
      <c r="BW94" s="152">
        <f>MIN(BV94,BV$7)</f>
        <v/>
      </c>
      <c r="BX94" s="152">
        <f>MAX(0,MIN(BV94-BW94,CL94-(AZ94+BD94+BH94+BL94+BP94+BT94)))</f>
        <v/>
      </c>
      <c r="BY94" s="152">
        <f>BV94-BW94-BX94</f>
        <v/>
      </c>
      <c r="BZ94" s="152">
        <f>IF(CC93&lt;=0.005,0,CC93*(1+BZ$6))</f>
        <v/>
      </c>
      <c r="CA94" s="152">
        <f>MIN(BZ94,BZ$7)</f>
        <v/>
      </c>
      <c r="CB94" s="152">
        <f>MAX(0,MIN(BZ94-CA94,CL94-(AZ94+BD94+BH94+BL94+BP94+BT94+BX94)))</f>
        <v/>
      </c>
      <c r="CC94" s="152">
        <f>BZ94-CA94-CB94</f>
        <v/>
      </c>
      <c r="CD94" s="152">
        <f>IF(CG93&lt;=0.005,0,CG93*(1+CD$6))</f>
        <v/>
      </c>
      <c r="CE94" s="152">
        <f>MIN(CD94,CD$7)</f>
        <v/>
      </c>
      <c r="CF94" s="152">
        <f>MAX(0,MIN(CD94-CE94,CL94-(AZ94+BD94+BH94+BL94+BP94+BT94+BX94+CB94)))</f>
        <v/>
      </c>
      <c r="CG94" s="152">
        <f>CD94-CE94-CF94</f>
        <v/>
      </c>
      <c r="CH94" s="152">
        <f>IF(CK93&lt;=0.005,0,CK93*(1+CH$6))</f>
        <v/>
      </c>
      <c r="CI94" s="152">
        <f>MIN(CH94,CH$7)</f>
        <v/>
      </c>
      <c r="CJ94" s="152">
        <f>MAX(0,MIN(CH94-CI94,CL94-(AZ94+BD94+BH94+BL94+BP94+BT94+BX94+CB94+CF94)))</f>
        <v/>
      </c>
      <c r="CK94" s="152">
        <f>CH94-CI94-CJ94</f>
        <v/>
      </c>
      <c r="CL94" s="152">
        <f>'Debt Payoff'!$C$8-SUM(AY94,BC94,BG94,BK94,BO94,BS94,BW94,CA94,CE94,CI94)</f>
        <v/>
      </c>
      <c r="CM94" s="152">
        <f>SUM(AY94,BC94,BG94,BK94,BO94,BS94,BW94,CA94,CE94,CI94)+SUM(AZ94,BD94,BH94,BL94,BP94,BT94,BX94,CB94,CF94,CJ94)</f>
        <v/>
      </c>
      <c r="CN94" s="152">
        <f>SUM(BA94,BE94,BI94,BM94,BQ94,BU94,BY94,CC94,CG94,CK94)</f>
        <v/>
      </c>
      <c r="CO94" s="152">
        <f>IF(AW94&gt;CN$6,NA(),AW94)</f>
        <v/>
      </c>
      <c r="CP94" s="152">
        <f>IF(AW94&gt;CN$6,NA(),CN94)</f>
        <v/>
      </c>
    </row>
    <row r="95">
      <c r="B95" s="152" t="n">
        <v>84</v>
      </c>
      <c r="C95" s="152">
        <f>IF(F94&lt;=0.005,0,F94*(1+C$6))</f>
        <v/>
      </c>
      <c r="D95" s="152">
        <f>MIN(C95,C$7)</f>
        <v/>
      </c>
      <c r="E95" s="152">
        <f>MAX(0,MIN(C95-D95,AQ95))</f>
        <v/>
      </c>
      <c r="F95" s="152">
        <f>C95-D95-E95</f>
        <v/>
      </c>
      <c r="G95" s="152">
        <f>IF(J94&lt;=0.005,0,J94*(1+G$6))</f>
        <v/>
      </c>
      <c r="H95" s="152">
        <f>MIN(G95,G$7)</f>
        <v/>
      </c>
      <c r="I95" s="152">
        <f>MAX(0,MIN(G95-H95,AQ95-(E95)))</f>
        <v/>
      </c>
      <c r="J95" s="152">
        <f>G95-H95-I95</f>
        <v/>
      </c>
      <c r="K95" s="152">
        <f>IF(N94&lt;=0.005,0,N94*(1+K$6))</f>
        <v/>
      </c>
      <c r="L95" s="152">
        <f>MIN(K95,K$7)</f>
        <v/>
      </c>
      <c r="M95" s="152">
        <f>MAX(0,MIN(K95-L95,AQ95-(E95+I95)))</f>
        <v/>
      </c>
      <c r="N95" s="152">
        <f>K95-L95-M95</f>
        <v/>
      </c>
      <c r="O95" s="152">
        <f>IF(R94&lt;=0.005,0,R94*(1+O$6))</f>
        <v/>
      </c>
      <c r="P95" s="152">
        <f>MIN(O95,O$7)</f>
        <v/>
      </c>
      <c r="Q95" s="152">
        <f>MAX(0,MIN(O95-P95,AQ95-(E95+I95+M95)))</f>
        <v/>
      </c>
      <c r="R95" s="152">
        <f>O95-P95-Q95</f>
        <v/>
      </c>
      <c r="S95" s="152">
        <f>IF(V94&lt;=0.005,0,V94*(1+S$6))</f>
        <v/>
      </c>
      <c r="T95" s="152">
        <f>MIN(S95,S$7)</f>
        <v/>
      </c>
      <c r="U95" s="152">
        <f>MAX(0,MIN(S95-T95,AQ95-(E95+I95+M95+Q95)))</f>
        <v/>
      </c>
      <c r="V95" s="152">
        <f>S95-T95-U95</f>
        <v/>
      </c>
      <c r="W95" s="152">
        <f>IF(Z94&lt;=0.005,0,Z94*(1+W$6))</f>
        <v/>
      </c>
      <c r="X95" s="152">
        <f>MIN(W95,W$7)</f>
        <v/>
      </c>
      <c r="Y95" s="152">
        <f>MAX(0,MIN(W95-X95,AQ95-(E95+I95+M95+Q95+U95)))</f>
        <v/>
      </c>
      <c r="Z95" s="152">
        <f>W95-X95-Y95</f>
        <v/>
      </c>
      <c r="AA95" s="152">
        <f>IF(AD94&lt;=0.005,0,AD94*(1+AA$6))</f>
        <v/>
      </c>
      <c r="AB95" s="152">
        <f>MIN(AA95,AA$7)</f>
        <v/>
      </c>
      <c r="AC95" s="152">
        <f>MAX(0,MIN(AA95-AB95,AQ95-(E95+I95+M95+Q95+U95+Y95)))</f>
        <v/>
      </c>
      <c r="AD95" s="152">
        <f>AA95-AB95-AC95</f>
        <v/>
      </c>
      <c r="AE95" s="152">
        <f>IF(AH94&lt;=0.005,0,AH94*(1+AE$6))</f>
        <v/>
      </c>
      <c r="AF95" s="152">
        <f>MIN(AE95,AE$7)</f>
        <v/>
      </c>
      <c r="AG95" s="152">
        <f>MAX(0,MIN(AE95-AF95,AQ95-(E95+I95+M95+Q95+U95+Y95+AC95)))</f>
        <v/>
      </c>
      <c r="AH95" s="152">
        <f>AE95-AF95-AG95</f>
        <v/>
      </c>
      <c r="AI95" s="152">
        <f>IF(AL94&lt;=0.005,0,AL94*(1+AI$6))</f>
        <v/>
      </c>
      <c r="AJ95" s="152">
        <f>MIN(AI95,AI$7)</f>
        <v/>
      </c>
      <c r="AK95" s="152">
        <f>MAX(0,MIN(AI95-AJ95,AQ95-(E95+I95+M95+Q95+U95+Y95+AC95+AG95)))</f>
        <v/>
      </c>
      <c r="AL95" s="152">
        <f>AI95-AJ95-AK95</f>
        <v/>
      </c>
      <c r="AM95" s="152">
        <f>IF(AP94&lt;=0.005,0,AP94*(1+AM$6))</f>
        <v/>
      </c>
      <c r="AN95" s="152">
        <f>MIN(AM95,AM$7)</f>
        <v/>
      </c>
      <c r="AO95" s="152">
        <f>MAX(0,MIN(AM95-AN95,AQ95-(E95+I95+M95+Q95+U95+Y95+AC95+AG95+AK95)))</f>
        <v/>
      </c>
      <c r="AP95" s="152">
        <f>AM95-AN95-AO95</f>
        <v/>
      </c>
      <c r="AQ95" s="152">
        <f>'Debt Payoff'!$C$8-SUM(D95,H95,L95,P95,T95,X95,AB95,AF95,AJ95,AN95)</f>
        <v/>
      </c>
      <c r="AR95" s="152">
        <f>SUM(D95,H95,L95,P95,T95,X95,AB95,AF95,AJ95,AN95)+SUM(E95,I95,M95,Q95,U95,Y95,AC95,AG95,AK95,AO95)</f>
        <v/>
      </c>
      <c r="AS95" s="152">
        <f>SUM(F95,J95,N95,R95,V95,Z95,AD95,AH95,AL95,AP95)</f>
        <v/>
      </c>
      <c r="AT95" s="152">
        <f>IF(B95&gt;AS$6,NA(),B95)</f>
        <v/>
      </c>
      <c r="AU95" s="152">
        <f>IF(B95&gt;AS$6,NA(),AS95)</f>
        <v/>
      </c>
      <c r="AV95" s="152" t="n"/>
      <c r="AW95" s="152" t="n">
        <v>84</v>
      </c>
      <c r="AX95" s="152">
        <f>IF(BA94&lt;=0.005,0,BA94*(1+AX$6))</f>
        <v/>
      </c>
      <c r="AY95" s="152">
        <f>MIN(AX95,AX$7)</f>
        <v/>
      </c>
      <c r="AZ95" s="152">
        <f>MAX(0,MIN(AX95-AY95,CL95))</f>
        <v/>
      </c>
      <c r="BA95" s="152">
        <f>AX95-AY95-AZ95</f>
        <v/>
      </c>
      <c r="BB95" s="152">
        <f>IF(BE94&lt;=0.005,0,BE94*(1+BB$6))</f>
        <v/>
      </c>
      <c r="BC95" s="152">
        <f>MIN(BB95,BB$7)</f>
        <v/>
      </c>
      <c r="BD95" s="152">
        <f>MAX(0,MIN(BB95-BC95,CL95-(AZ95)))</f>
        <v/>
      </c>
      <c r="BE95" s="152">
        <f>BB95-BC95-BD95</f>
        <v/>
      </c>
      <c r="BF95" s="152">
        <f>IF(BI94&lt;=0.005,0,BI94*(1+BF$6))</f>
        <v/>
      </c>
      <c r="BG95" s="152">
        <f>MIN(BF95,BF$7)</f>
        <v/>
      </c>
      <c r="BH95" s="152">
        <f>MAX(0,MIN(BF95-BG95,CL95-(AZ95+BD95)))</f>
        <v/>
      </c>
      <c r="BI95" s="152">
        <f>BF95-BG95-BH95</f>
        <v/>
      </c>
      <c r="BJ95" s="152">
        <f>IF(BM94&lt;=0.005,0,BM94*(1+BJ$6))</f>
        <v/>
      </c>
      <c r="BK95" s="152">
        <f>MIN(BJ95,BJ$7)</f>
        <v/>
      </c>
      <c r="BL95" s="152">
        <f>MAX(0,MIN(BJ95-BK95,CL95-(AZ95+BD95+BH95)))</f>
        <v/>
      </c>
      <c r="BM95" s="152">
        <f>BJ95-BK95-BL95</f>
        <v/>
      </c>
      <c r="BN95" s="152">
        <f>IF(BQ94&lt;=0.005,0,BQ94*(1+BN$6))</f>
        <v/>
      </c>
      <c r="BO95" s="152">
        <f>MIN(BN95,BN$7)</f>
        <v/>
      </c>
      <c r="BP95" s="152">
        <f>MAX(0,MIN(BN95-BO95,CL95-(AZ95+BD95+BH95+BL95)))</f>
        <v/>
      </c>
      <c r="BQ95" s="152">
        <f>BN95-BO95-BP95</f>
        <v/>
      </c>
      <c r="BR95" s="152">
        <f>IF(BU94&lt;=0.005,0,BU94*(1+BR$6))</f>
        <v/>
      </c>
      <c r="BS95" s="152">
        <f>MIN(BR95,BR$7)</f>
        <v/>
      </c>
      <c r="BT95" s="152">
        <f>MAX(0,MIN(BR95-BS95,CL95-(AZ95+BD95+BH95+BL95+BP95)))</f>
        <v/>
      </c>
      <c r="BU95" s="152">
        <f>BR95-BS95-BT95</f>
        <v/>
      </c>
      <c r="BV95" s="152">
        <f>IF(BY94&lt;=0.005,0,BY94*(1+BV$6))</f>
        <v/>
      </c>
      <c r="BW95" s="152">
        <f>MIN(BV95,BV$7)</f>
        <v/>
      </c>
      <c r="BX95" s="152">
        <f>MAX(0,MIN(BV95-BW95,CL95-(AZ95+BD95+BH95+BL95+BP95+BT95)))</f>
        <v/>
      </c>
      <c r="BY95" s="152">
        <f>BV95-BW95-BX95</f>
        <v/>
      </c>
      <c r="BZ95" s="152">
        <f>IF(CC94&lt;=0.005,0,CC94*(1+BZ$6))</f>
        <v/>
      </c>
      <c r="CA95" s="152">
        <f>MIN(BZ95,BZ$7)</f>
        <v/>
      </c>
      <c r="CB95" s="152">
        <f>MAX(0,MIN(BZ95-CA95,CL95-(AZ95+BD95+BH95+BL95+BP95+BT95+BX95)))</f>
        <v/>
      </c>
      <c r="CC95" s="152">
        <f>BZ95-CA95-CB95</f>
        <v/>
      </c>
      <c r="CD95" s="152">
        <f>IF(CG94&lt;=0.005,0,CG94*(1+CD$6))</f>
        <v/>
      </c>
      <c r="CE95" s="152">
        <f>MIN(CD95,CD$7)</f>
        <v/>
      </c>
      <c r="CF95" s="152">
        <f>MAX(0,MIN(CD95-CE95,CL95-(AZ95+BD95+BH95+BL95+BP95+BT95+BX95+CB95)))</f>
        <v/>
      </c>
      <c r="CG95" s="152">
        <f>CD95-CE95-CF95</f>
        <v/>
      </c>
      <c r="CH95" s="152">
        <f>IF(CK94&lt;=0.005,0,CK94*(1+CH$6))</f>
        <v/>
      </c>
      <c r="CI95" s="152">
        <f>MIN(CH95,CH$7)</f>
        <v/>
      </c>
      <c r="CJ95" s="152">
        <f>MAX(0,MIN(CH95-CI95,CL95-(AZ95+BD95+BH95+BL95+BP95+BT95+BX95+CB95+CF95)))</f>
        <v/>
      </c>
      <c r="CK95" s="152">
        <f>CH95-CI95-CJ95</f>
        <v/>
      </c>
      <c r="CL95" s="152">
        <f>'Debt Payoff'!$C$8-SUM(AY95,BC95,BG95,BK95,BO95,BS95,BW95,CA95,CE95,CI95)</f>
        <v/>
      </c>
      <c r="CM95" s="152">
        <f>SUM(AY95,BC95,BG95,BK95,BO95,BS95,BW95,CA95,CE95,CI95)+SUM(AZ95,BD95,BH95,BL95,BP95,BT95,BX95,CB95,CF95,CJ95)</f>
        <v/>
      </c>
      <c r="CN95" s="152">
        <f>SUM(BA95,BE95,BI95,BM95,BQ95,BU95,BY95,CC95,CG95,CK95)</f>
        <v/>
      </c>
      <c r="CO95" s="152">
        <f>IF(AW95&gt;CN$6,NA(),AW95)</f>
        <v/>
      </c>
      <c r="CP95" s="152">
        <f>IF(AW95&gt;CN$6,NA(),CN95)</f>
        <v/>
      </c>
    </row>
    <row r="96">
      <c r="B96" s="152" t="n">
        <v>85</v>
      </c>
      <c r="C96" s="152">
        <f>IF(F95&lt;=0.005,0,F95*(1+C$6))</f>
        <v/>
      </c>
      <c r="D96" s="152">
        <f>MIN(C96,C$7)</f>
        <v/>
      </c>
      <c r="E96" s="152">
        <f>MAX(0,MIN(C96-D96,AQ96))</f>
        <v/>
      </c>
      <c r="F96" s="152">
        <f>C96-D96-E96</f>
        <v/>
      </c>
      <c r="G96" s="152">
        <f>IF(J95&lt;=0.005,0,J95*(1+G$6))</f>
        <v/>
      </c>
      <c r="H96" s="152">
        <f>MIN(G96,G$7)</f>
        <v/>
      </c>
      <c r="I96" s="152">
        <f>MAX(0,MIN(G96-H96,AQ96-(E96)))</f>
        <v/>
      </c>
      <c r="J96" s="152">
        <f>G96-H96-I96</f>
        <v/>
      </c>
      <c r="K96" s="152">
        <f>IF(N95&lt;=0.005,0,N95*(1+K$6))</f>
        <v/>
      </c>
      <c r="L96" s="152">
        <f>MIN(K96,K$7)</f>
        <v/>
      </c>
      <c r="M96" s="152">
        <f>MAX(0,MIN(K96-L96,AQ96-(E96+I96)))</f>
        <v/>
      </c>
      <c r="N96" s="152">
        <f>K96-L96-M96</f>
        <v/>
      </c>
      <c r="O96" s="152">
        <f>IF(R95&lt;=0.005,0,R95*(1+O$6))</f>
        <v/>
      </c>
      <c r="P96" s="152">
        <f>MIN(O96,O$7)</f>
        <v/>
      </c>
      <c r="Q96" s="152">
        <f>MAX(0,MIN(O96-P96,AQ96-(E96+I96+M96)))</f>
        <v/>
      </c>
      <c r="R96" s="152">
        <f>O96-P96-Q96</f>
        <v/>
      </c>
      <c r="S96" s="152">
        <f>IF(V95&lt;=0.005,0,V95*(1+S$6))</f>
        <v/>
      </c>
      <c r="T96" s="152">
        <f>MIN(S96,S$7)</f>
        <v/>
      </c>
      <c r="U96" s="152">
        <f>MAX(0,MIN(S96-T96,AQ96-(E96+I96+M96+Q96)))</f>
        <v/>
      </c>
      <c r="V96" s="152">
        <f>S96-T96-U96</f>
        <v/>
      </c>
      <c r="W96" s="152">
        <f>IF(Z95&lt;=0.005,0,Z95*(1+W$6))</f>
        <v/>
      </c>
      <c r="X96" s="152">
        <f>MIN(W96,W$7)</f>
        <v/>
      </c>
      <c r="Y96" s="152">
        <f>MAX(0,MIN(W96-X96,AQ96-(E96+I96+M96+Q96+U96)))</f>
        <v/>
      </c>
      <c r="Z96" s="152">
        <f>W96-X96-Y96</f>
        <v/>
      </c>
      <c r="AA96" s="152">
        <f>IF(AD95&lt;=0.005,0,AD95*(1+AA$6))</f>
        <v/>
      </c>
      <c r="AB96" s="152">
        <f>MIN(AA96,AA$7)</f>
        <v/>
      </c>
      <c r="AC96" s="152">
        <f>MAX(0,MIN(AA96-AB96,AQ96-(E96+I96+M96+Q96+U96+Y96)))</f>
        <v/>
      </c>
      <c r="AD96" s="152">
        <f>AA96-AB96-AC96</f>
        <v/>
      </c>
      <c r="AE96" s="152">
        <f>IF(AH95&lt;=0.005,0,AH95*(1+AE$6))</f>
        <v/>
      </c>
      <c r="AF96" s="152">
        <f>MIN(AE96,AE$7)</f>
        <v/>
      </c>
      <c r="AG96" s="152">
        <f>MAX(0,MIN(AE96-AF96,AQ96-(E96+I96+M96+Q96+U96+Y96+AC96)))</f>
        <v/>
      </c>
      <c r="AH96" s="152">
        <f>AE96-AF96-AG96</f>
        <v/>
      </c>
      <c r="AI96" s="152">
        <f>IF(AL95&lt;=0.005,0,AL95*(1+AI$6))</f>
        <v/>
      </c>
      <c r="AJ96" s="152">
        <f>MIN(AI96,AI$7)</f>
        <v/>
      </c>
      <c r="AK96" s="152">
        <f>MAX(0,MIN(AI96-AJ96,AQ96-(E96+I96+M96+Q96+U96+Y96+AC96+AG96)))</f>
        <v/>
      </c>
      <c r="AL96" s="152">
        <f>AI96-AJ96-AK96</f>
        <v/>
      </c>
      <c r="AM96" s="152">
        <f>IF(AP95&lt;=0.005,0,AP95*(1+AM$6))</f>
        <v/>
      </c>
      <c r="AN96" s="152">
        <f>MIN(AM96,AM$7)</f>
        <v/>
      </c>
      <c r="AO96" s="152">
        <f>MAX(0,MIN(AM96-AN96,AQ96-(E96+I96+M96+Q96+U96+Y96+AC96+AG96+AK96)))</f>
        <v/>
      </c>
      <c r="AP96" s="152">
        <f>AM96-AN96-AO96</f>
        <v/>
      </c>
      <c r="AQ96" s="152">
        <f>'Debt Payoff'!$C$8-SUM(D96,H96,L96,P96,T96,X96,AB96,AF96,AJ96,AN96)</f>
        <v/>
      </c>
      <c r="AR96" s="152">
        <f>SUM(D96,H96,L96,P96,T96,X96,AB96,AF96,AJ96,AN96)+SUM(E96,I96,M96,Q96,U96,Y96,AC96,AG96,AK96,AO96)</f>
        <v/>
      </c>
      <c r="AS96" s="152">
        <f>SUM(F96,J96,N96,R96,V96,Z96,AD96,AH96,AL96,AP96)</f>
        <v/>
      </c>
      <c r="AT96" s="152">
        <f>IF(B96&gt;AS$6,NA(),B96)</f>
        <v/>
      </c>
      <c r="AU96" s="152">
        <f>IF(B96&gt;AS$6,NA(),AS96)</f>
        <v/>
      </c>
      <c r="AV96" s="152" t="n"/>
      <c r="AW96" s="152" t="n">
        <v>85</v>
      </c>
      <c r="AX96" s="152">
        <f>IF(BA95&lt;=0.005,0,BA95*(1+AX$6))</f>
        <v/>
      </c>
      <c r="AY96" s="152">
        <f>MIN(AX96,AX$7)</f>
        <v/>
      </c>
      <c r="AZ96" s="152">
        <f>MAX(0,MIN(AX96-AY96,CL96))</f>
        <v/>
      </c>
      <c r="BA96" s="152">
        <f>AX96-AY96-AZ96</f>
        <v/>
      </c>
      <c r="BB96" s="152">
        <f>IF(BE95&lt;=0.005,0,BE95*(1+BB$6))</f>
        <v/>
      </c>
      <c r="BC96" s="152">
        <f>MIN(BB96,BB$7)</f>
        <v/>
      </c>
      <c r="BD96" s="152">
        <f>MAX(0,MIN(BB96-BC96,CL96-(AZ96)))</f>
        <v/>
      </c>
      <c r="BE96" s="152">
        <f>BB96-BC96-BD96</f>
        <v/>
      </c>
      <c r="BF96" s="152">
        <f>IF(BI95&lt;=0.005,0,BI95*(1+BF$6))</f>
        <v/>
      </c>
      <c r="BG96" s="152">
        <f>MIN(BF96,BF$7)</f>
        <v/>
      </c>
      <c r="BH96" s="152">
        <f>MAX(0,MIN(BF96-BG96,CL96-(AZ96+BD96)))</f>
        <v/>
      </c>
      <c r="BI96" s="152">
        <f>BF96-BG96-BH96</f>
        <v/>
      </c>
      <c r="BJ96" s="152">
        <f>IF(BM95&lt;=0.005,0,BM95*(1+BJ$6))</f>
        <v/>
      </c>
      <c r="BK96" s="152">
        <f>MIN(BJ96,BJ$7)</f>
        <v/>
      </c>
      <c r="BL96" s="152">
        <f>MAX(0,MIN(BJ96-BK96,CL96-(AZ96+BD96+BH96)))</f>
        <v/>
      </c>
      <c r="BM96" s="152">
        <f>BJ96-BK96-BL96</f>
        <v/>
      </c>
      <c r="BN96" s="152">
        <f>IF(BQ95&lt;=0.005,0,BQ95*(1+BN$6))</f>
        <v/>
      </c>
      <c r="BO96" s="152">
        <f>MIN(BN96,BN$7)</f>
        <v/>
      </c>
      <c r="BP96" s="152">
        <f>MAX(0,MIN(BN96-BO96,CL96-(AZ96+BD96+BH96+BL96)))</f>
        <v/>
      </c>
      <c r="BQ96" s="152">
        <f>BN96-BO96-BP96</f>
        <v/>
      </c>
      <c r="BR96" s="152">
        <f>IF(BU95&lt;=0.005,0,BU95*(1+BR$6))</f>
        <v/>
      </c>
      <c r="BS96" s="152">
        <f>MIN(BR96,BR$7)</f>
        <v/>
      </c>
      <c r="BT96" s="152">
        <f>MAX(0,MIN(BR96-BS96,CL96-(AZ96+BD96+BH96+BL96+BP96)))</f>
        <v/>
      </c>
      <c r="BU96" s="152">
        <f>BR96-BS96-BT96</f>
        <v/>
      </c>
      <c r="BV96" s="152">
        <f>IF(BY95&lt;=0.005,0,BY95*(1+BV$6))</f>
        <v/>
      </c>
      <c r="BW96" s="152">
        <f>MIN(BV96,BV$7)</f>
        <v/>
      </c>
      <c r="BX96" s="152">
        <f>MAX(0,MIN(BV96-BW96,CL96-(AZ96+BD96+BH96+BL96+BP96+BT96)))</f>
        <v/>
      </c>
      <c r="BY96" s="152">
        <f>BV96-BW96-BX96</f>
        <v/>
      </c>
      <c r="BZ96" s="152">
        <f>IF(CC95&lt;=0.005,0,CC95*(1+BZ$6))</f>
        <v/>
      </c>
      <c r="CA96" s="152">
        <f>MIN(BZ96,BZ$7)</f>
        <v/>
      </c>
      <c r="CB96" s="152">
        <f>MAX(0,MIN(BZ96-CA96,CL96-(AZ96+BD96+BH96+BL96+BP96+BT96+BX96)))</f>
        <v/>
      </c>
      <c r="CC96" s="152">
        <f>BZ96-CA96-CB96</f>
        <v/>
      </c>
      <c r="CD96" s="152">
        <f>IF(CG95&lt;=0.005,0,CG95*(1+CD$6))</f>
        <v/>
      </c>
      <c r="CE96" s="152">
        <f>MIN(CD96,CD$7)</f>
        <v/>
      </c>
      <c r="CF96" s="152">
        <f>MAX(0,MIN(CD96-CE96,CL96-(AZ96+BD96+BH96+BL96+BP96+BT96+BX96+CB96)))</f>
        <v/>
      </c>
      <c r="CG96" s="152">
        <f>CD96-CE96-CF96</f>
        <v/>
      </c>
      <c r="CH96" s="152">
        <f>IF(CK95&lt;=0.005,0,CK95*(1+CH$6))</f>
        <v/>
      </c>
      <c r="CI96" s="152">
        <f>MIN(CH96,CH$7)</f>
        <v/>
      </c>
      <c r="CJ96" s="152">
        <f>MAX(0,MIN(CH96-CI96,CL96-(AZ96+BD96+BH96+BL96+BP96+BT96+BX96+CB96+CF96)))</f>
        <v/>
      </c>
      <c r="CK96" s="152">
        <f>CH96-CI96-CJ96</f>
        <v/>
      </c>
      <c r="CL96" s="152">
        <f>'Debt Payoff'!$C$8-SUM(AY96,BC96,BG96,BK96,BO96,BS96,BW96,CA96,CE96,CI96)</f>
        <v/>
      </c>
      <c r="CM96" s="152">
        <f>SUM(AY96,BC96,BG96,BK96,BO96,BS96,BW96,CA96,CE96,CI96)+SUM(AZ96,BD96,BH96,BL96,BP96,BT96,BX96,CB96,CF96,CJ96)</f>
        <v/>
      </c>
      <c r="CN96" s="152">
        <f>SUM(BA96,BE96,BI96,BM96,BQ96,BU96,BY96,CC96,CG96,CK96)</f>
        <v/>
      </c>
      <c r="CO96" s="152">
        <f>IF(AW96&gt;CN$6,NA(),AW96)</f>
        <v/>
      </c>
      <c r="CP96" s="152">
        <f>IF(AW96&gt;CN$6,NA(),CN96)</f>
        <v/>
      </c>
    </row>
    <row r="97">
      <c r="B97" s="152" t="n">
        <v>86</v>
      </c>
      <c r="C97" s="152">
        <f>IF(F96&lt;=0.005,0,F96*(1+C$6))</f>
        <v/>
      </c>
      <c r="D97" s="152">
        <f>MIN(C97,C$7)</f>
        <v/>
      </c>
      <c r="E97" s="152">
        <f>MAX(0,MIN(C97-D97,AQ97))</f>
        <v/>
      </c>
      <c r="F97" s="152">
        <f>C97-D97-E97</f>
        <v/>
      </c>
      <c r="G97" s="152">
        <f>IF(J96&lt;=0.005,0,J96*(1+G$6))</f>
        <v/>
      </c>
      <c r="H97" s="152">
        <f>MIN(G97,G$7)</f>
        <v/>
      </c>
      <c r="I97" s="152">
        <f>MAX(0,MIN(G97-H97,AQ97-(E97)))</f>
        <v/>
      </c>
      <c r="J97" s="152">
        <f>G97-H97-I97</f>
        <v/>
      </c>
      <c r="K97" s="152">
        <f>IF(N96&lt;=0.005,0,N96*(1+K$6))</f>
        <v/>
      </c>
      <c r="L97" s="152">
        <f>MIN(K97,K$7)</f>
        <v/>
      </c>
      <c r="M97" s="152">
        <f>MAX(0,MIN(K97-L97,AQ97-(E97+I97)))</f>
        <v/>
      </c>
      <c r="N97" s="152">
        <f>K97-L97-M97</f>
        <v/>
      </c>
      <c r="O97" s="152">
        <f>IF(R96&lt;=0.005,0,R96*(1+O$6))</f>
        <v/>
      </c>
      <c r="P97" s="152">
        <f>MIN(O97,O$7)</f>
        <v/>
      </c>
      <c r="Q97" s="152">
        <f>MAX(0,MIN(O97-P97,AQ97-(E97+I97+M97)))</f>
        <v/>
      </c>
      <c r="R97" s="152">
        <f>O97-P97-Q97</f>
        <v/>
      </c>
      <c r="S97" s="152">
        <f>IF(V96&lt;=0.005,0,V96*(1+S$6))</f>
        <v/>
      </c>
      <c r="T97" s="152">
        <f>MIN(S97,S$7)</f>
        <v/>
      </c>
      <c r="U97" s="152">
        <f>MAX(0,MIN(S97-T97,AQ97-(E97+I97+M97+Q97)))</f>
        <v/>
      </c>
      <c r="V97" s="152">
        <f>S97-T97-U97</f>
        <v/>
      </c>
      <c r="W97" s="152">
        <f>IF(Z96&lt;=0.005,0,Z96*(1+W$6))</f>
        <v/>
      </c>
      <c r="X97" s="152">
        <f>MIN(W97,W$7)</f>
        <v/>
      </c>
      <c r="Y97" s="152">
        <f>MAX(0,MIN(W97-X97,AQ97-(E97+I97+M97+Q97+U97)))</f>
        <v/>
      </c>
      <c r="Z97" s="152">
        <f>W97-X97-Y97</f>
        <v/>
      </c>
      <c r="AA97" s="152">
        <f>IF(AD96&lt;=0.005,0,AD96*(1+AA$6))</f>
        <v/>
      </c>
      <c r="AB97" s="152">
        <f>MIN(AA97,AA$7)</f>
        <v/>
      </c>
      <c r="AC97" s="152">
        <f>MAX(0,MIN(AA97-AB97,AQ97-(E97+I97+M97+Q97+U97+Y97)))</f>
        <v/>
      </c>
      <c r="AD97" s="152">
        <f>AA97-AB97-AC97</f>
        <v/>
      </c>
      <c r="AE97" s="152">
        <f>IF(AH96&lt;=0.005,0,AH96*(1+AE$6))</f>
        <v/>
      </c>
      <c r="AF97" s="152">
        <f>MIN(AE97,AE$7)</f>
        <v/>
      </c>
      <c r="AG97" s="152">
        <f>MAX(0,MIN(AE97-AF97,AQ97-(E97+I97+M97+Q97+U97+Y97+AC97)))</f>
        <v/>
      </c>
      <c r="AH97" s="152">
        <f>AE97-AF97-AG97</f>
        <v/>
      </c>
      <c r="AI97" s="152">
        <f>IF(AL96&lt;=0.005,0,AL96*(1+AI$6))</f>
        <v/>
      </c>
      <c r="AJ97" s="152">
        <f>MIN(AI97,AI$7)</f>
        <v/>
      </c>
      <c r="AK97" s="152">
        <f>MAX(0,MIN(AI97-AJ97,AQ97-(E97+I97+M97+Q97+U97+Y97+AC97+AG97)))</f>
        <v/>
      </c>
      <c r="AL97" s="152">
        <f>AI97-AJ97-AK97</f>
        <v/>
      </c>
      <c r="AM97" s="152">
        <f>IF(AP96&lt;=0.005,0,AP96*(1+AM$6))</f>
        <v/>
      </c>
      <c r="AN97" s="152">
        <f>MIN(AM97,AM$7)</f>
        <v/>
      </c>
      <c r="AO97" s="152">
        <f>MAX(0,MIN(AM97-AN97,AQ97-(E97+I97+M97+Q97+U97+Y97+AC97+AG97+AK97)))</f>
        <v/>
      </c>
      <c r="AP97" s="152">
        <f>AM97-AN97-AO97</f>
        <v/>
      </c>
      <c r="AQ97" s="152">
        <f>'Debt Payoff'!$C$8-SUM(D97,H97,L97,P97,T97,X97,AB97,AF97,AJ97,AN97)</f>
        <v/>
      </c>
      <c r="AR97" s="152">
        <f>SUM(D97,H97,L97,P97,T97,X97,AB97,AF97,AJ97,AN97)+SUM(E97,I97,M97,Q97,U97,Y97,AC97,AG97,AK97,AO97)</f>
        <v/>
      </c>
      <c r="AS97" s="152">
        <f>SUM(F97,J97,N97,R97,V97,Z97,AD97,AH97,AL97,AP97)</f>
        <v/>
      </c>
      <c r="AT97" s="152">
        <f>IF(B97&gt;AS$6,NA(),B97)</f>
        <v/>
      </c>
      <c r="AU97" s="152">
        <f>IF(B97&gt;AS$6,NA(),AS97)</f>
        <v/>
      </c>
      <c r="AV97" s="152" t="n"/>
      <c r="AW97" s="152" t="n">
        <v>86</v>
      </c>
      <c r="AX97" s="152">
        <f>IF(BA96&lt;=0.005,0,BA96*(1+AX$6))</f>
        <v/>
      </c>
      <c r="AY97" s="152">
        <f>MIN(AX97,AX$7)</f>
        <v/>
      </c>
      <c r="AZ97" s="152">
        <f>MAX(0,MIN(AX97-AY97,CL97))</f>
        <v/>
      </c>
      <c r="BA97" s="152">
        <f>AX97-AY97-AZ97</f>
        <v/>
      </c>
      <c r="BB97" s="152">
        <f>IF(BE96&lt;=0.005,0,BE96*(1+BB$6))</f>
        <v/>
      </c>
      <c r="BC97" s="152">
        <f>MIN(BB97,BB$7)</f>
        <v/>
      </c>
      <c r="BD97" s="152">
        <f>MAX(0,MIN(BB97-BC97,CL97-(AZ97)))</f>
        <v/>
      </c>
      <c r="BE97" s="152">
        <f>BB97-BC97-BD97</f>
        <v/>
      </c>
      <c r="BF97" s="152">
        <f>IF(BI96&lt;=0.005,0,BI96*(1+BF$6))</f>
        <v/>
      </c>
      <c r="BG97" s="152">
        <f>MIN(BF97,BF$7)</f>
        <v/>
      </c>
      <c r="BH97" s="152">
        <f>MAX(0,MIN(BF97-BG97,CL97-(AZ97+BD97)))</f>
        <v/>
      </c>
      <c r="BI97" s="152">
        <f>BF97-BG97-BH97</f>
        <v/>
      </c>
      <c r="BJ97" s="152">
        <f>IF(BM96&lt;=0.005,0,BM96*(1+BJ$6))</f>
        <v/>
      </c>
      <c r="BK97" s="152">
        <f>MIN(BJ97,BJ$7)</f>
        <v/>
      </c>
      <c r="BL97" s="152">
        <f>MAX(0,MIN(BJ97-BK97,CL97-(AZ97+BD97+BH97)))</f>
        <v/>
      </c>
      <c r="BM97" s="152">
        <f>BJ97-BK97-BL97</f>
        <v/>
      </c>
      <c r="BN97" s="152">
        <f>IF(BQ96&lt;=0.005,0,BQ96*(1+BN$6))</f>
        <v/>
      </c>
      <c r="BO97" s="152">
        <f>MIN(BN97,BN$7)</f>
        <v/>
      </c>
      <c r="BP97" s="152">
        <f>MAX(0,MIN(BN97-BO97,CL97-(AZ97+BD97+BH97+BL97)))</f>
        <v/>
      </c>
      <c r="BQ97" s="152">
        <f>BN97-BO97-BP97</f>
        <v/>
      </c>
      <c r="BR97" s="152">
        <f>IF(BU96&lt;=0.005,0,BU96*(1+BR$6))</f>
        <v/>
      </c>
      <c r="BS97" s="152">
        <f>MIN(BR97,BR$7)</f>
        <v/>
      </c>
      <c r="BT97" s="152">
        <f>MAX(0,MIN(BR97-BS97,CL97-(AZ97+BD97+BH97+BL97+BP97)))</f>
        <v/>
      </c>
      <c r="BU97" s="152">
        <f>BR97-BS97-BT97</f>
        <v/>
      </c>
      <c r="BV97" s="152">
        <f>IF(BY96&lt;=0.005,0,BY96*(1+BV$6))</f>
        <v/>
      </c>
      <c r="BW97" s="152">
        <f>MIN(BV97,BV$7)</f>
        <v/>
      </c>
      <c r="BX97" s="152">
        <f>MAX(0,MIN(BV97-BW97,CL97-(AZ97+BD97+BH97+BL97+BP97+BT97)))</f>
        <v/>
      </c>
      <c r="BY97" s="152">
        <f>BV97-BW97-BX97</f>
        <v/>
      </c>
      <c r="BZ97" s="152">
        <f>IF(CC96&lt;=0.005,0,CC96*(1+BZ$6))</f>
        <v/>
      </c>
      <c r="CA97" s="152">
        <f>MIN(BZ97,BZ$7)</f>
        <v/>
      </c>
      <c r="CB97" s="152">
        <f>MAX(0,MIN(BZ97-CA97,CL97-(AZ97+BD97+BH97+BL97+BP97+BT97+BX97)))</f>
        <v/>
      </c>
      <c r="CC97" s="152">
        <f>BZ97-CA97-CB97</f>
        <v/>
      </c>
      <c r="CD97" s="152">
        <f>IF(CG96&lt;=0.005,0,CG96*(1+CD$6))</f>
        <v/>
      </c>
      <c r="CE97" s="152">
        <f>MIN(CD97,CD$7)</f>
        <v/>
      </c>
      <c r="CF97" s="152">
        <f>MAX(0,MIN(CD97-CE97,CL97-(AZ97+BD97+BH97+BL97+BP97+BT97+BX97+CB97)))</f>
        <v/>
      </c>
      <c r="CG97" s="152">
        <f>CD97-CE97-CF97</f>
        <v/>
      </c>
      <c r="CH97" s="152">
        <f>IF(CK96&lt;=0.005,0,CK96*(1+CH$6))</f>
        <v/>
      </c>
      <c r="CI97" s="152">
        <f>MIN(CH97,CH$7)</f>
        <v/>
      </c>
      <c r="CJ97" s="152">
        <f>MAX(0,MIN(CH97-CI97,CL97-(AZ97+BD97+BH97+BL97+BP97+BT97+BX97+CB97+CF97)))</f>
        <v/>
      </c>
      <c r="CK97" s="152">
        <f>CH97-CI97-CJ97</f>
        <v/>
      </c>
      <c r="CL97" s="152">
        <f>'Debt Payoff'!$C$8-SUM(AY97,BC97,BG97,BK97,BO97,BS97,BW97,CA97,CE97,CI97)</f>
        <v/>
      </c>
      <c r="CM97" s="152">
        <f>SUM(AY97,BC97,BG97,BK97,BO97,BS97,BW97,CA97,CE97,CI97)+SUM(AZ97,BD97,BH97,BL97,BP97,BT97,BX97,CB97,CF97,CJ97)</f>
        <v/>
      </c>
      <c r="CN97" s="152">
        <f>SUM(BA97,BE97,BI97,BM97,BQ97,BU97,BY97,CC97,CG97,CK97)</f>
        <v/>
      </c>
      <c r="CO97" s="152">
        <f>IF(AW97&gt;CN$6,NA(),AW97)</f>
        <v/>
      </c>
      <c r="CP97" s="152">
        <f>IF(AW97&gt;CN$6,NA(),CN97)</f>
        <v/>
      </c>
    </row>
    <row r="98">
      <c r="B98" s="152" t="n">
        <v>87</v>
      </c>
      <c r="C98" s="152">
        <f>IF(F97&lt;=0.005,0,F97*(1+C$6))</f>
        <v/>
      </c>
      <c r="D98" s="152">
        <f>MIN(C98,C$7)</f>
        <v/>
      </c>
      <c r="E98" s="152">
        <f>MAX(0,MIN(C98-D98,AQ98))</f>
        <v/>
      </c>
      <c r="F98" s="152">
        <f>C98-D98-E98</f>
        <v/>
      </c>
      <c r="G98" s="152">
        <f>IF(J97&lt;=0.005,0,J97*(1+G$6))</f>
        <v/>
      </c>
      <c r="H98" s="152">
        <f>MIN(G98,G$7)</f>
        <v/>
      </c>
      <c r="I98" s="152">
        <f>MAX(0,MIN(G98-H98,AQ98-(E98)))</f>
        <v/>
      </c>
      <c r="J98" s="152">
        <f>G98-H98-I98</f>
        <v/>
      </c>
      <c r="K98" s="152">
        <f>IF(N97&lt;=0.005,0,N97*(1+K$6))</f>
        <v/>
      </c>
      <c r="L98" s="152">
        <f>MIN(K98,K$7)</f>
        <v/>
      </c>
      <c r="M98" s="152">
        <f>MAX(0,MIN(K98-L98,AQ98-(E98+I98)))</f>
        <v/>
      </c>
      <c r="N98" s="152">
        <f>K98-L98-M98</f>
        <v/>
      </c>
      <c r="O98" s="152">
        <f>IF(R97&lt;=0.005,0,R97*(1+O$6))</f>
        <v/>
      </c>
      <c r="P98" s="152">
        <f>MIN(O98,O$7)</f>
        <v/>
      </c>
      <c r="Q98" s="152">
        <f>MAX(0,MIN(O98-P98,AQ98-(E98+I98+M98)))</f>
        <v/>
      </c>
      <c r="R98" s="152">
        <f>O98-P98-Q98</f>
        <v/>
      </c>
      <c r="S98" s="152">
        <f>IF(V97&lt;=0.005,0,V97*(1+S$6))</f>
        <v/>
      </c>
      <c r="T98" s="152">
        <f>MIN(S98,S$7)</f>
        <v/>
      </c>
      <c r="U98" s="152">
        <f>MAX(0,MIN(S98-T98,AQ98-(E98+I98+M98+Q98)))</f>
        <v/>
      </c>
      <c r="V98" s="152">
        <f>S98-T98-U98</f>
        <v/>
      </c>
      <c r="W98" s="152">
        <f>IF(Z97&lt;=0.005,0,Z97*(1+W$6))</f>
        <v/>
      </c>
      <c r="X98" s="152">
        <f>MIN(W98,W$7)</f>
        <v/>
      </c>
      <c r="Y98" s="152">
        <f>MAX(0,MIN(W98-X98,AQ98-(E98+I98+M98+Q98+U98)))</f>
        <v/>
      </c>
      <c r="Z98" s="152">
        <f>W98-X98-Y98</f>
        <v/>
      </c>
      <c r="AA98" s="152">
        <f>IF(AD97&lt;=0.005,0,AD97*(1+AA$6))</f>
        <v/>
      </c>
      <c r="AB98" s="152">
        <f>MIN(AA98,AA$7)</f>
        <v/>
      </c>
      <c r="AC98" s="152">
        <f>MAX(0,MIN(AA98-AB98,AQ98-(E98+I98+M98+Q98+U98+Y98)))</f>
        <v/>
      </c>
      <c r="AD98" s="152">
        <f>AA98-AB98-AC98</f>
        <v/>
      </c>
      <c r="AE98" s="152">
        <f>IF(AH97&lt;=0.005,0,AH97*(1+AE$6))</f>
        <v/>
      </c>
      <c r="AF98" s="152">
        <f>MIN(AE98,AE$7)</f>
        <v/>
      </c>
      <c r="AG98" s="152">
        <f>MAX(0,MIN(AE98-AF98,AQ98-(E98+I98+M98+Q98+U98+Y98+AC98)))</f>
        <v/>
      </c>
      <c r="AH98" s="152">
        <f>AE98-AF98-AG98</f>
        <v/>
      </c>
      <c r="AI98" s="152">
        <f>IF(AL97&lt;=0.005,0,AL97*(1+AI$6))</f>
        <v/>
      </c>
      <c r="AJ98" s="152">
        <f>MIN(AI98,AI$7)</f>
        <v/>
      </c>
      <c r="AK98" s="152">
        <f>MAX(0,MIN(AI98-AJ98,AQ98-(E98+I98+M98+Q98+U98+Y98+AC98+AG98)))</f>
        <v/>
      </c>
      <c r="AL98" s="152">
        <f>AI98-AJ98-AK98</f>
        <v/>
      </c>
      <c r="AM98" s="152">
        <f>IF(AP97&lt;=0.005,0,AP97*(1+AM$6))</f>
        <v/>
      </c>
      <c r="AN98" s="152">
        <f>MIN(AM98,AM$7)</f>
        <v/>
      </c>
      <c r="AO98" s="152">
        <f>MAX(0,MIN(AM98-AN98,AQ98-(E98+I98+M98+Q98+U98+Y98+AC98+AG98+AK98)))</f>
        <v/>
      </c>
      <c r="AP98" s="152">
        <f>AM98-AN98-AO98</f>
        <v/>
      </c>
      <c r="AQ98" s="152">
        <f>'Debt Payoff'!$C$8-SUM(D98,H98,L98,P98,T98,X98,AB98,AF98,AJ98,AN98)</f>
        <v/>
      </c>
      <c r="AR98" s="152">
        <f>SUM(D98,H98,L98,P98,T98,X98,AB98,AF98,AJ98,AN98)+SUM(E98,I98,M98,Q98,U98,Y98,AC98,AG98,AK98,AO98)</f>
        <v/>
      </c>
      <c r="AS98" s="152">
        <f>SUM(F98,J98,N98,R98,V98,Z98,AD98,AH98,AL98,AP98)</f>
        <v/>
      </c>
      <c r="AT98" s="152">
        <f>IF(B98&gt;AS$6,NA(),B98)</f>
        <v/>
      </c>
      <c r="AU98" s="152">
        <f>IF(B98&gt;AS$6,NA(),AS98)</f>
        <v/>
      </c>
      <c r="AV98" s="152" t="n"/>
      <c r="AW98" s="152" t="n">
        <v>87</v>
      </c>
      <c r="AX98" s="152">
        <f>IF(BA97&lt;=0.005,0,BA97*(1+AX$6))</f>
        <v/>
      </c>
      <c r="AY98" s="152">
        <f>MIN(AX98,AX$7)</f>
        <v/>
      </c>
      <c r="AZ98" s="152">
        <f>MAX(0,MIN(AX98-AY98,CL98))</f>
        <v/>
      </c>
      <c r="BA98" s="152">
        <f>AX98-AY98-AZ98</f>
        <v/>
      </c>
      <c r="BB98" s="152">
        <f>IF(BE97&lt;=0.005,0,BE97*(1+BB$6))</f>
        <v/>
      </c>
      <c r="BC98" s="152">
        <f>MIN(BB98,BB$7)</f>
        <v/>
      </c>
      <c r="BD98" s="152">
        <f>MAX(0,MIN(BB98-BC98,CL98-(AZ98)))</f>
        <v/>
      </c>
      <c r="BE98" s="152">
        <f>BB98-BC98-BD98</f>
        <v/>
      </c>
      <c r="BF98" s="152">
        <f>IF(BI97&lt;=0.005,0,BI97*(1+BF$6))</f>
        <v/>
      </c>
      <c r="BG98" s="152">
        <f>MIN(BF98,BF$7)</f>
        <v/>
      </c>
      <c r="BH98" s="152">
        <f>MAX(0,MIN(BF98-BG98,CL98-(AZ98+BD98)))</f>
        <v/>
      </c>
      <c r="BI98" s="152">
        <f>BF98-BG98-BH98</f>
        <v/>
      </c>
      <c r="BJ98" s="152">
        <f>IF(BM97&lt;=0.005,0,BM97*(1+BJ$6))</f>
        <v/>
      </c>
      <c r="BK98" s="152">
        <f>MIN(BJ98,BJ$7)</f>
        <v/>
      </c>
      <c r="BL98" s="152">
        <f>MAX(0,MIN(BJ98-BK98,CL98-(AZ98+BD98+BH98)))</f>
        <v/>
      </c>
      <c r="BM98" s="152">
        <f>BJ98-BK98-BL98</f>
        <v/>
      </c>
      <c r="BN98" s="152">
        <f>IF(BQ97&lt;=0.005,0,BQ97*(1+BN$6))</f>
        <v/>
      </c>
      <c r="BO98" s="152">
        <f>MIN(BN98,BN$7)</f>
        <v/>
      </c>
      <c r="BP98" s="152">
        <f>MAX(0,MIN(BN98-BO98,CL98-(AZ98+BD98+BH98+BL98)))</f>
        <v/>
      </c>
      <c r="BQ98" s="152">
        <f>BN98-BO98-BP98</f>
        <v/>
      </c>
      <c r="BR98" s="152">
        <f>IF(BU97&lt;=0.005,0,BU97*(1+BR$6))</f>
        <v/>
      </c>
      <c r="BS98" s="152">
        <f>MIN(BR98,BR$7)</f>
        <v/>
      </c>
      <c r="BT98" s="152">
        <f>MAX(0,MIN(BR98-BS98,CL98-(AZ98+BD98+BH98+BL98+BP98)))</f>
        <v/>
      </c>
      <c r="BU98" s="152">
        <f>BR98-BS98-BT98</f>
        <v/>
      </c>
      <c r="BV98" s="152">
        <f>IF(BY97&lt;=0.005,0,BY97*(1+BV$6))</f>
        <v/>
      </c>
      <c r="BW98" s="152">
        <f>MIN(BV98,BV$7)</f>
        <v/>
      </c>
      <c r="BX98" s="152">
        <f>MAX(0,MIN(BV98-BW98,CL98-(AZ98+BD98+BH98+BL98+BP98+BT98)))</f>
        <v/>
      </c>
      <c r="BY98" s="152">
        <f>BV98-BW98-BX98</f>
        <v/>
      </c>
      <c r="BZ98" s="152">
        <f>IF(CC97&lt;=0.005,0,CC97*(1+BZ$6))</f>
        <v/>
      </c>
      <c r="CA98" s="152">
        <f>MIN(BZ98,BZ$7)</f>
        <v/>
      </c>
      <c r="CB98" s="152">
        <f>MAX(0,MIN(BZ98-CA98,CL98-(AZ98+BD98+BH98+BL98+BP98+BT98+BX98)))</f>
        <v/>
      </c>
      <c r="CC98" s="152">
        <f>BZ98-CA98-CB98</f>
        <v/>
      </c>
      <c r="CD98" s="152">
        <f>IF(CG97&lt;=0.005,0,CG97*(1+CD$6))</f>
        <v/>
      </c>
      <c r="CE98" s="152">
        <f>MIN(CD98,CD$7)</f>
        <v/>
      </c>
      <c r="CF98" s="152">
        <f>MAX(0,MIN(CD98-CE98,CL98-(AZ98+BD98+BH98+BL98+BP98+BT98+BX98+CB98)))</f>
        <v/>
      </c>
      <c r="CG98" s="152">
        <f>CD98-CE98-CF98</f>
        <v/>
      </c>
      <c r="CH98" s="152">
        <f>IF(CK97&lt;=0.005,0,CK97*(1+CH$6))</f>
        <v/>
      </c>
      <c r="CI98" s="152">
        <f>MIN(CH98,CH$7)</f>
        <v/>
      </c>
      <c r="CJ98" s="152">
        <f>MAX(0,MIN(CH98-CI98,CL98-(AZ98+BD98+BH98+BL98+BP98+BT98+BX98+CB98+CF98)))</f>
        <v/>
      </c>
      <c r="CK98" s="152">
        <f>CH98-CI98-CJ98</f>
        <v/>
      </c>
      <c r="CL98" s="152">
        <f>'Debt Payoff'!$C$8-SUM(AY98,BC98,BG98,BK98,BO98,BS98,BW98,CA98,CE98,CI98)</f>
        <v/>
      </c>
      <c r="CM98" s="152">
        <f>SUM(AY98,BC98,BG98,BK98,BO98,BS98,BW98,CA98,CE98,CI98)+SUM(AZ98,BD98,BH98,BL98,BP98,BT98,BX98,CB98,CF98,CJ98)</f>
        <v/>
      </c>
      <c r="CN98" s="152">
        <f>SUM(BA98,BE98,BI98,BM98,BQ98,BU98,BY98,CC98,CG98,CK98)</f>
        <v/>
      </c>
      <c r="CO98" s="152">
        <f>IF(AW98&gt;CN$6,NA(),AW98)</f>
        <v/>
      </c>
      <c r="CP98" s="152">
        <f>IF(AW98&gt;CN$6,NA(),CN98)</f>
        <v/>
      </c>
    </row>
    <row r="99">
      <c r="B99" s="152" t="n">
        <v>88</v>
      </c>
      <c r="C99" s="152">
        <f>IF(F98&lt;=0.005,0,F98*(1+C$6))</f>
        <v/>
      </c>
      <c r="D99" s="152">
        <f>MIN(C99,C$7)</f>
        <v/>
      </c>
      <c r="E99" s="152">
        <f>MAX(0,MIN(C99-D99,AQ99))</f>
        <v/>
      </c>
      <c r="F99" s="152">
        <f>C99-D99-E99</f>
        <v/>
      </c>
      <c r="G99" s="152">
        <f>IF(J98&lt;=0.005,0,J98*(1+G$6))</f>
        <v/>
      </c>
      <c r="H99" s="152">
        <f>MIN(G99,G$7)</f>
        <v/>
      </c>
      <c r="I99" s="152">
        <f>MAX(0,MIN(G99-H99,AQ99-(E99)))</f>
        <v/>
      </c>
      <c r="J99" s="152">
        <f>G99-H99-I99</f>
        <v/>
      </c>
      <c r="K99" s="152">
        <f>IF(N98&lt;=0.005,0,N98*(1+K$6))</f>
        <v/>
      </c>
      <c r="L99" s="152">
        <f>MIN(K99,K$7)</f>
        <v/>
      </c>
      <c r="M99" s="152">
        <f>MAX(0,MIN(K99-L99,AQ99-(E99+I99)))</f>
        <v/>
      </c>
      <c r="N99" s="152">
        <f>K99-L99-M99</f>
        <v/>
      </c>
      <c r="O99" s="152">
        <f>IF(R98&lt;=0.005,0,R98*(1+O$6))</f>
        <v/>
      </c>
      <c r="P99" s="152">
        <f>MIN(O99,O$7)</f>
        <v/>
      </c>
      <c r="Q99" s="152">
        <f>MAX(0,MIN(O99-P99,AQ99-(E99+I99+M99)))</f>
        <v/>
      </c>
      <c r="R99" s="152">
        <f>O99-P99-Q99</f>
        <v/>
      </c>
      <c r="S99" s="152">
        <f>IF(V98&lt;=0.005,0,V98*(1+S$6))</f>
        <v/>
      </c>
      <c r="T99" s="152">
        <f>MIN(S99,S$7)</f>
        <v/>
      </c>
      <c r="U99" s="152">
        <f>MAX(0,MIN(S99-T99,AQ99-(E99+I99+M99+Q99)))</f>
        <v/>
      </c>
      <c r="V99" s="152">
        <f>S99-T99-U99</f>
        <v/>
      </c>
      <c r="W99" s="152">
        <f>IF(Z98&lt;=0.005,0,Z98*(1+W$6))</f>
        <v/>
      </c>
      <c r="X99" s="152">
        <f>MIN(W99,W$7)</f>
        <v/>
      </c>
      <c r="Y99" s="152">
        <f>MAX(0,MIN(W99-X99,AQ99-(E99+I99+M99+Q99+U99)))</f>
        <v/>
      </c>
      <c r="Z99" s="152">
        <f>W99-X99-Y99</f>
        <v/>
      </c>
      <c r="AA99" s="152">
        <f>IF(AD98&lt;=0.005,0,AD98*(1+AA$6))</f>
        <v/>
      </c>
      <c r="AB99" s="152">
        <f>MIN(AA99,AA$7)</f>
        <v/>
      </c>
      <c r="AC99" s="152">
        <f>MAX(0,MIN(AA99-AB99,AQ99-(E99+I99+M99+Q99+U99+Y99)))</f>
        <v/>
      </c>
      <c r="AD99" s="152">
        <f>AA99-AB99-AC99</f>
        <v/>
      </c>
      <c r="AE99" s="152">
        <f>IF(AH98&lt;=0.005,0,AH98*(1+AE$6))</f>
        <v/>
      </c>
      <c r="AF99" s="152">
        <f>MIN(AE99,AE$7)</f>
        <v/>
      </c>
      <c r="AG99" s="152">
        <f>MAX(0,MIN(AE99-AF99,AQ99-(E99+I99+M99+Q99+U99+Y99+AC99)))</f>
        <v/>
      </c>
      <c r="AH99" s="152">
        <f>AE99-AF99-AG99</f>
        <v/>
      </c>
      <c r="AI99" s="152">
        <f>IF(AL98&lt;=0.005,0,AL98*(1+AI$6))</f>
        <v/>
      </c>
      <c r="AJ99" s="152">
        <f>MIN(AI99,AI$7)</f>
        <v/>
      </c>
      <c r="AK99" s="152">
        <f>MAX(0,MIN(AI99-AJ99,AQ99-(E99+I99+M99+Q99+U99+Y99+AC99+AG99)))</f>
        <v/>
      </c>
      <c r="AL99" s="152">
        <f>AI99-AJ99-AK99</f>
        <v/>
      </c>
      <c r="AM99" s="152">
        <f>IF(AP98&lt;=0.005,0,AP98*(1+AM$6))</f>
        <v/>
      </c>
      <c r="AN99" s="152">
        <f>MIN(AM99,AM$7)</f>
        <v/>
      </c>
      <c r="AO99" s="152">
        <f>MAX(0,MIN(AM99-AN99,AQ99-(E99+I99+M99+Q99+U99+Y99+AC99+AG99+AK99)))</f>
        <v/>
      </c>
      <c r="AP99" s="152">
        <f>AM99-AN99-AO99</f>
        <v/>
      </c>
      <c r="AQ99" s="152">
        <f>'Debt Payoff'!$C$8-SUM(D99,H99,L99,P99,T99,X99,AB99,AF99,AJ99,AN99)</f>
        <v/>
      </c>
      <c r="AR99" s="152">
        <f>SUM(D99,H99,L99,P99,T99,X99,AB99,AF99,AJ99,AN99)+SUM(E99,I99,M99,Q99,U99,Y99,AC99,AG99,AK99,AO99)</f>
        <v/>
      </c>
      <c r="AS99" s="152">
        <f>SUM(F99,J99,N99,R99,V99,Z99,AD99,AH99,AL99,AP99)</f>
        <v/>
      </c>
      <c r="AT99" s="152">
        <f>IF(B99&gt;AS$6,NA(),B99)</f>
        <v/>
      </c>
      <c r="AU99" s="152">
        <f>IF(B99&gt;AS$6,NA(),AS99)</f>
        <v/>
      </c>
      <c r="AV99" s="152" t="n"/>
      <c r="AW99" s="152" t="n">
        <v>88</v>
      </c>
      <c r="AX99" s="152">
        <f>IF(BA98&lt;=0.005,0,BA98*(1+AX$6))</f>
        <v/>
      </c>
      <c r="AY99" s="152">
        <f>MIN(AX99,AX$7)</f>
        <v/>
      </c>
      <c r="AZ99" s="152">
        <f>MAX(0,MIN(AX99-AY99,CL99))</f>
        <v/>
      </c>
      <c r="BA99" s="152">
        <f>AX99-AY99-AZ99</f>
        <v/>
      </c>
      <c r="BB99" s="152">
        <f>IF(BE98&lt;=0.005,0,BE98*(1+BB$6))</f>
        <v/>
      </c>
      <c r="BC99" s="152">
        <f>MIN(BB99,BB$7)</f>
        <v/>
      </c>
      <c r="BD99" s="152">
        <f>MAX(0,MIN(BB99-BC99,CL99-(AZ99)))</f>
        <v/>
      </c>
      <c r="BE99" s="152">
        <f>BB99-BC99-BD99</f>
        <v/>
      </c>
      <c r="BF99" s="152">
        <f>IF(BI98&lt;=0.005,0,BI98*(1+BF$6))</f>
        <v/>
      </c>
      <c r="BG99" s="152">
        <f>MIN(BF99,BF$7)</f>
        <v/>
      </c>
      <c r="BH99" s="152">
        <f>MAX(0,MIN(BF99-BG99,CL99-(AZ99+BD99)))</f>
        <v/>
      </c>
      <c r="BI99" s="152">
        <f>BF99-BG99-BH99</f>
        <v/>
      </c>
      <c r="BJ99" s="152">
        <f>IF(BM98&lt;=0.005,0,BM98*(1+BJ$6))</f>
        <v/>
      </c>
      <c r="BK99" s="152">
        <f>MIN(BJ99,BJ$7)</f>
        <v/>
      </c>
      <c r="BL99" s="152">
        <f>MAX(0,MIN(BJ99-BK99,CL99-(AZ99+BD99+BH99)))</f>
        <v/>
      </c>
      <c r="BM99" s="152">
        <f>BJ99-BK99-BL99</f>
        <v/>
      </c>
      <c r="BN99" s="152">
        <f>IF(BQ98&lt;=0.005,0,BQ98*(1+BN$6))</f>
        <v/>
      </c>
      <c r="BO99" s="152">
        <f>MIN(BN99,BN$7)</f>
        <v/>
      </c>
      <c r="BP99" s="152">
        <f>MAX(0,MIN(BN99-BO99,CL99-(AZ99+BD99+BH99+BL99)))</f>
        <v/>
      </c>
      <c r="BQ99" s="152">
        <f>BN99-BO99-BP99</f>
        <v/>
      </c>
      <c r="BR99" s="152">
        <f>IF(BU98&lt;=0.005,0,BU98*(1+BR$6))</f>
        <v/>
      </c>
      <c r="BS99" s="152">
        <f>MIN(BR99,BR$7)</f>
        <v/>
      </c>
      <c r="BT99" s="152">
        <f>MAX(0,MIN(BR99-BS99,CL99-(AZ99+BD99+BH99+BL99+BP99)))</f>
        <v/>
      </c>
      <c r="BU99" s="152">
        <f>BR99-BS99-BT99</f>
        <v/>
      </c>
      <c r="BV99" s="152">
        <f>IF(BY98&lt;=0.005,0,BY98*(1+BV$6))</f>
        <v/>
      </c>
      <c r="BW99" s="152">
        <f>MIN(BV99,BV$7)</f>
        <v/>
      </c>
      <c r="BX99" s="152">
        <f>MAX(0,MIN(BV99-BW99,CL99-(AZ99+BD99+BH99+BL99+BP99+BT99)))</f>
        <v/>
      </c>
      <c r="BY99" s="152">
        <f>BV99-BW99-BX99</f>
        <v/>
      </c>
      <c r="BZ99" s="152">
        <f>IF(CC98&lt;=0.005,0,CC98*(1+BZ$6))</f>
        <v/>
      </c>
      <c r="CA99" s="152">
        <f>MIN(BZ99,BZ$7)</f>
        <v/>
      </c>
      <c r="CB99" s="152">
        <f>MAX(0,MIN(BZ99-CA99,CL99-(AZ99+BD99+BH99+BL99+BP99+BT99+BX99)))</f>
        <v/>
      </c>
      <c r="CC99" s="152">
        <f>BZ99-CA99-CB99</f>
        <v/>
      </c>
      <c r="CD99" s="152">
        <f>IF(CG98&lt;=0.005,0,CG98*(1+CD$6))</f>
        <v/>
      </c>
      <c r="CE99" s="152">
        <f>MIN(CD99,CD$7)</f>
        <v/>
      </c>
      <c r="CF99" s="152">
        <f>MAX(0,MIN(CD99-CE99,CL99-(AZ99+BD99+BH99+BL99+BP99+BT99+BX99+CB99)))</f>
        <v/>
      </c>
      <c r="CG99" s="152">
        <f>CD99-CE99-CF99</f>
        <v/>
      </c>
      <c r="CH99" s="152">
        <f>IF(CK98&lt;=0.005,0,CK98*(1+CH$6))</f>
        <v/>
      </c>
      <c r="CI99" s="152">
        <f>MIN(CH99,CH$7)</f>
        <v/>
      </c>
      <c r="CJ99" s="152">
        <f>MAX(0,MIN(CH99-CI99,CL99-(AZ99+BD99+BH99+BL99+BP99+BT99+BX99+CB99+CF99)))</f>
        <v/>
      </c>
      <c r="CK99" s="152">
        <f>CH99-CI99-CJ99</f>
        <v/>
      </c>
      <c r="CL99" s="152">
        <f>'Debt Payoff'!$C$8-SUM(AY99,BC99,BG99,BK99,BO99,BS99,BW99,CA99,CE99,CI99)</f>
        <v/>
      </c>
      <c r="CM99" s="152">
        <f>SUM(AY99,BC99,BG99,BK99,BO99,BS99,BW99,CA99,CE99,CI99)+SUM(AZ99,BD99,BH99,BL99,BP99,BT99,BX99,CB99,CF99,CJ99)</f>
        <v/>
      </c>
      <c r="CN99" s="152">
        <f>SUM(BA99,BE99,BI99,BM99,BQ99,BU99,BY99,CC99,CG99,CK99)</f>
        <v/>
      </c>
      <c r="CO99" s="152">
        <f>IF(AW99&gt;CN$6,NA(),AW99)</f>
        <v/>
      </c>
      <c r="CP99" s="152">
        <f>IF(AW99&gt;CN$6,NA(),CN99)</f>
        <v/>
      </c>
    </row>
    <row r="100">
      <c r="B100" s="152" t="n">
        <v>89</v>
      </c>
      <c r="C100" s="152">
        <f>IF(F99&lt;=0.005,0,F99*(1+C$6))</f>
        <v/>
      </c>
      <c r="D100" s="152">
        <f>MIN(C100,C$7)</f>
        <v/>
      </c>
      <c r="E100" s="152">
        <f>MAX(0,MIN(C100-D100,AQ100))</f>
        <v/>
      </c>
      <c r="F100" s="152">
        <f>C100-D100-E100</f>
        <v/>
      </c>
      <c r="G100" s="152">
        <f>IF(J99&lt;=0.005,0,J99*(1+G$6))</f>
        <v/>
      </c>
      <c r="H100" s="152">
        <f>MIN(G100,G$7)</f>
        <v/>
      </c>
      <c r="I100" s="152">
        <f>MAX(0,MIN(G100-H100,AQ100-(E100)))</f>
        <v/>
      </c>
      <c r="J100" s="152">
        <f>G100-H100-I100</f>
        <v/>
      </c>
      <c r="K100" s="152">
        <f>IF(N99&lt;=0.005,0,N99*(1+K$6))</f>
        <v/>
      </c>
      <c r="L100" s="152">
        <f>MIN(K100,K$7)</f>
        <v/>
      </c>
      <c r="M100" s="152">
        <f>MAX(0,MIN(K100-L100,AQ100-(E100+I100)))</f>
        <v/>
      </c>
      <c r="N100" s="152">
        <f>K100-L100-M100</f>
        <v/>
      </c>
      <c r="O100" s="152">
        <f>IF(R99&lt;=0.005,0,R99*(1+O$6))</f>
        <v/>
      </c>
      <c r="P100" s="152">
        <f>MIN(O100,O$7)</f>
        <v/>
      </c>
      <c r="Q100" s="152">
        <f>MAX(0,MIN(O100-P100,AQ100-(E100+I100+M100)))</f>
        <v/>
      </c>
      <c r="R100" s="152">
        <f>O100-P100-Q100</f>
        <v/>
      </c>
      <c r="S100" s="152">
        <f>IF(V99&lt;=0.005,0,V99*(1+S$6))</f>
        <v/>
      </c>
      <c r="T100" s="152">
        <f>MIN(S100,S$7)</f>
        <v/>
      </c>
      <c r="U100" s="152">
        <f>MAX(0,MIN(S100-T100,AQ100-(E100+I100+M100+Q100)))</f>
        <v/>
      </c>
      <c r="V100" s="152">
        <f>S100-T100-U100</f>
        <v/>
      </c>
      <c r="W100" s="152">
        <f>IF(Z99&lt;=0.005,0,Z99*(1+W$6))</f>
        <v/>
      </c>
      <c r="X100" s="152">
        <f>MIN(W100,W$7)</f>
        <v/>
      </c>
      <c r="Y100" s="152">
        <f>MAX(0,MIN(W100-X100,AQ100-(E100+I100+M100+Q100+U100)))</f>
        <v/>
      </c>
      <c r="Z100" s="152">
        <f>W100-X100-Y100</f>
        <v/>
      </c>
      <c r="AA100" s="152">
        <f>IF(AD99&lt;=0.005,0,AD99*(1+AA$6))</f>
        <v/>
      </c>
      <c r="AB100" s="152">
        <f>MIN(AA100,AA$7)</f>
        <v/>
      </c>
      <c r="AC100" s="152">
        <f>MAX(0,MIN(AA100-AB100,AQ100-(E100+I100+M100+Q100+U100+Y100)))</f>
        <v/>
      </c>
      <c r="AD100" s="152">
        <f>AA100-AB100-AC100</f>
        <v/>
      </c>
      <c r="AE100" s="152">
        <f>IF(AH99&lt;=0.005,0,AH99*(1+AE$6))</f>
        <v/>
      </c>
      <c r="AF100" s="152">
        <f>MIN(AE100,AE$7)</f>
        <v/>
      </c>
      <c r="AG100" s="152">
        <f>MAX(0,MIN(AE100-AF100,AQ100-(E100+I100+M100+Q100+U100+Y100+AC100)))</f>
        <v/>
      </c>
      <c r="AH100" s="152">
        <f>AE100-AF100-AG100</f>
        <v/>
      </c>
      <c r="AI100" s="152">
        <f>IF(AL99&lt;=0.005,0,AL99*(1+AI$6))</f>
        <v/>
      </c>
      <c r="AJ100" s="152">
        <f>MIN(AI100,AI$7)</f>
        <v/>
      </c>
      <c r="AK100" s="152">
        <f>MAX(0,MIN(AI100-AJ100,AQ100-(E100+I100+M100+Q100+U100+Y100+AC100+AG100)))</f>
        <v/>
      </c>
      <c r="AL100" s="152">
        <f>AI100-AJ100-AK100</f>
        <v/>
      </c>
      <c r="AM100" s="152">
        <f>IF(AP99&lt;=0.005,0,AP99*(1+AM$6))</f>
        <v/>
      </c>
      <c r="AN100" s="152">
        <f>MIN(AM100,AM$7)</f>
        <v/>
      </c>
      <c r="AO100" s="152">
        <f>MAX(0,MIN(AM100-AN100,AQ100-(E100+I100+M100+Q100+U100+Y100+AC100+AG100+AK100)))</f>
        <v/>
      </c>
      <c r="AP100" s="152">
        <f>AM100-AN100-AO100</f>
        <v/>
      </c>
      <c r="AQ100" s="152">
        <f>'Debt Payoff'!$C$8-SUM(D100,H100,L100,P100,T100,X100,AB100,AF100,AJ100,AN100)</f>
        <v/>
      </c>
      <c r="AR100" s="152">
        <f>SUM(D100,H100,L100,P100,T100,X100,AB100,AF100,AJ100,AN100)+SUM(E100,I100,M100,Q100,U100,Y100,AC100,AG100,AK100,AO100)</f>
        <v/>
      </c>
      <c r="AS100" s="152">
        <f>SUM(F100,J100,N100,R100,V100,Z100,AD100,AH100,AL100,AP100)</f>
        <v/>
      </c>
      <c r="AT100" s="152">
        <f>IF(B100&gt;AS$6,NA(),B100)</f>
        <v/>
      </c>
      <c r="AU100" s="152">
        <f>IF(B100&gt;AS$6,NA(),AS100)</f>
        <v/>
      </c>
      <c r="AV100" s="152" t="n"/>
      <c r="AW100" s="152" t="n">
        <v>89</v>
      </c>
      <c r="AX100" s="152">
        <f>IF(BA99&lt;=0.005,0,BA99*(1+AX$6))</f>
        <v/>
      </c>
      <c r="AY100" s="152">
        <f>MIN(AX100,AX$7)</f>
        <v/>
      </c>
      <c r="AZ100" s="152">
        <f>MAX(0,MIN(AX100-AY100,CL100))</f>
        <v/>
      </c>
      <c r="BA100" s="152">
        <f>AX100-AY100-AZ100</f>
        <v/>
      </c>
      <c r="BB100" s="152">
        <f>IF(BE99&lt;=0.005,0,BE99*(1+BB$6))</f>
        <v/>
      </c>
      <c r="BC100" s="152">
        <f>MIN(BB100,BB$7)</f>
        <v/>
      </c>
      <c r="BD100" s="152">
        <f>MAX(0,MIN(BB100-BC100,CL100-(AZ100)))</f>
        <v/>
      </c>
      <c r="BE100" s="152">
        <f>BB100-BC100-BD100</f>
        <v/>
      </c>
      <c r="BF100" s="152">
        <f>IF(BI99&lt;=0.005,0,BI99*(1+BF$6))</f>
        <v/>
      </c>
      <c r="BG100" s="152">
        <f>MIN(BF100,BF$7)</f>
        <v/>
      </c>
      <c r="BH100" s="152">
        <f>MAX(0,MIN(BF100-BG100,CL100-(AZ100+BD100)))</f>
        <v/>
      </c>
      <c r="BI100" s="152">
        <f>BF100-BG100-BH100</f>
        <v/>
      </c>
      <c r="BJ100" s="152">
        <f>IF(BM99&lt;=0.005,0,BM99*(1+BJ$6))</f>
        <v/>
      </c>
      <c r="BK100" s="152">
        <f>MIN(BJ100,BJ$7)</f>
        <v/>
      </c>
      <c r="BL100" s="152">
        <f>MAX(0,MIN(BJ100-BK100,CL100-(AZ100+BD100+BH100)))</f>
        <v/>
      </c>
      <c r="BM100" s="152">
        <f>BJ100-BK100-BL100</f>
        <v/>
      </c>
      <c r="BN100" s="152">
        <f>IF(BQ99&lt;=0.005,0,BQ99*(1+BN$6))</f>
        <v/>
      </c>
      <c r="BO100" s="152">
        <f>MIN(BN100,BN$7)</f>
        <v/>
      </c>
      <c r="BP100" s="152">
        <f>MAX(0,MIN(BN100-BO100,CL100-(AZ100+BD100+BH100+BL100)))</f>
        <v/>
      </c>
      <c r="BQ100" s="152">
        <f>BN100-BO100-BP100</f>
        <v/>
      </c>
      <c r="BR100" s="152">
        <f>IF(BU99&lt;=0.005,0,BU99*(1+BR$6))</f>
        <v/>
      </c>
      <c r="BS100" s="152">
        <f>MIN(BR100,BR$7)</f>
        <v/>
      </c>
      <c r="BT100" s="152">
        <f>MAX(0,MIN(BR100-BS100,CL100-(AZ100+BD100+BH100+BL100+BP100)))</f>
        <v/>
      </c>
      <c r="BU100" s="152">
        <f>BR100-BS100-BT100</f>
        <v/>
      </c>
      <c r="BV100" s="152">
        <f>IF(BY99&lt;=0.005,0,BY99*(1+BV$6))</f>
        <v/>
      </c>
      <c r="BW100" s="152">
        <f>MIN(BV100,BV$7)</f>
        <v/>
      </c>
      <c r="BX100" s="152">
        <f>MAX(0,MIN(BV100-BW100,CL100-(AZ100+BD100+BH100+BL100+BP100+BT100)))</f>
        <v/>
      </c>
      <c r="BY100" s="152">
        <f>BV100-BW100-BX100</f>
        <v/>
      </c>
      <c r="BZ100" s="152">
        <f>IF(CC99&lt;=0.005,0,CC99*(1+BZ$6))</f>
        <v/>
      </c>
      <c r="CA100" s="152">
        <f>MIN(BZ100,BZ$7)</f>
        <v/>
      </c>
      <c r="CB100" s="152">
        <f>MAX(0,MIN(BZ100-CA100,CL100-(AZ100+BD100+BH100+BL100+BP100+BT100+BX100)))</f>
        <v/>
      </c>
      <c r="CC100" s="152">
        <f>BZ100-CA100-CB100</f>
        <v/>
      </c>
      <c r="CD100" s="152">
        <f>IF(CG99&lt;=0.005,0,CG99*(1+CD$6))</f>
        <v/>
      </c>
      <c r="CE100" s="152">
        <f>MIN(CD100,CD$7)</f>
        <v/>
      </c>
      <c r="CF100" s="152">
        <f>MAX(0,MIN(CD100-CE100,CL100-(AZ100+BD100+BH100+BL100+BP100+BT100+BX100+CB100)))</f>
        <v/>
      </c>
      <c r="CG100" s="152">
        <f>CD100-CE100-CF100</f>
        <v/>
      </c>
      <c r="CH100" s="152">
        <f>IF(CK99&lt;=0.005,0,CK99*(1+CH$6))</f>
        <v/>
      </c>
      <c r="CI100" s="152">
        <f>MIN(CH100,CH$7)</f>
        <v/>
      </c>
      <c r="CJ100" s="152">
        <f>MAX(0,MIN(CH100-CI100,CL100-(AZ100+BD100+BH100+BL100+BP100+BT100+BX100+CB100+CF100)))</f>
        <v/>
      </c>
      <c r="CK100" s="152">
        <f>CH100-CI100-CJ100</f>
        <v/>
      </c>
      <c r="CL100" s="152">
        <f>'Debt Payoff'!$C$8-SUM(AY100,BC100,BG100,BK100,BO100,BS100,BW100,CA100,CE100,CI100)</f>
        <v/>
      </c>
      <c r="CM100" s="152">
        <f>SUM(AY100,BC100,BG100,BK100,BO100,BS100,BW100,CA100,CE100,CI100)+SUM(AZ100,BD100,BH100,BL100,BP100,BT100,BX100,CB100,CF100,CJ100)</f>
        <v/>
      </c>
      <c r="CN100" s="152">
        <f>SUM(BA100,BE100,BI100,BM100,BQ100,BU100,BY100,CC100,CG100,CK100)</f>
        <v/>
      </c>
      <c r="CO100" s="152">
        <f>IF(AW100&gt;CN$6,NA(),AW100)</f>
        <v/>
      </c>
      <c r="CP100" s="152">
        <f>IF(AW100&gt;CN$6,NA(),CN100)</f>
        <v/>
      </c>
    </row>
    <row r="101">
      <c r="B101" s="152" t="n">
        <v>90</v>
      </c>
      <c r="C101" s="152">
        <f>IF(F100&lt;=0.005,0,F100*(1+C$6))</f>
        <v/>
      </c>
      <c r="D101" s="152">
        <f>MIN(C101,C$7)</f>
        <v/>
      </c>
      <c r="E101" s="152">
        <f>MAX(0,MIN(C101-D101,AQ101))</f>
        <v/>
      </c>
      <c r="F101" s="152">
        <f>C101-D101-E101</f>
        <v/>
      </c>
      <c r="G101" s="152">
        <f>IF(J100&lt;=0.005,0,J100*(1+G$6))</f>
        <v/>
      </c>
      <c r="H101" s="152">
        <f>MIN(G101,G$7)</f>
        <v/>
      </c>
      <c r="I101" s="152">
        <f>MAX(0,MIN(G101-H101,AQ101-(E101)))</f>
        <v/>
      </c>
      <c r="J101" s="152">
        <f>G101-H101-I101</f>
        <v/>
      </c>
      <c r="K101" s="152">
        <f>IF(N100&lt;=0.005,0,N100*(1+K$6))</f>
        <v/>
      </c>
      <c r="L101" s="152">
        <f>MIN(K101,K$7)</f>
        <v/>
      </c>
      <c r="M101" s="152">
        <f>MAX(0,MIN(K101-L101,AQ101-(E101+I101)))</f>
        <v/>
      </c>
      <c r="N101" s="152">
        <f>K101-L101-M101</f>
        <v/>
      </c>
      <c r="O101" s="152">
        <f>IF(R100&lt;=0.005,0,R100*(1+O$6))</f>
        <v/>
      </c>
      <c r="P101" s="152">
        <f>MIN(O101,O$7)</f>
        <v/>
      </c>
      <c r="Q101" s="152">
        <f>MAX(0,MIN(O101-P101,AQ101-(E101+I101+M101)))</f>
        <v/>
      </c>
      <c r="R101" s="152">
        <f>O101-P101-Q101</f>
        <v/>
      </c>
      <c r="S101" s="152">
        <f>IF(V100&lt;=0.005,0,V100*(1+S$6))</f>
        <v/>
      </c>
      <c r="T101" s="152">
        <f>MIN(S101,S$7)</f>
        <v/>
      </c>
      <c r="U101" s="152">
        <f>MAX(0,MIN(S101-T101,AQ101-(E101+I101+M101+Q101)))</f>
        <v/>
      </c>
      <c r="V101" s="152">
        <f>S101-T101-U101</f>
        <v/>
      </c>
      <c r="W101" s="152">
        <f>IF(Z100&lt;=0.005,0,Z100*(1+W$6))</f>
        <v/>
      </c>
      <c r="X101" s="152">
        <f>MIN(W101,W$7)</f>
        <v/>
      </c>
      <c r="Y101" s="152">
        <f>MAX(0,MIN(W101-X101,AQ101-(E101+I101+M101+Q101+U101)))</f>
        <v/>
      </c>
      <c r="Z101" s="152">
        <f>W101-X101-Y101</f>
        <v/>
      </c>
      <c r="AA101" s="152">
        <f>IF(AD100&lt;=0.005,0,AD100*(1+AA$6))</f>
        <v/>
      </c>
      <c r="AB101" s="152">
        <f>MIN(AA101,AA$7)</f>
        <v/>
      </c>
      <c r="AC101" s="152">
        <f>MAX(0,MIN(AA101-AB101,AQ101-(E101+I101+M101+Q101+U101+Y101)))</f>
        <v/>
      </c>
      <c r="AD101" s="152">
        <f>AA101-AB101-AC101</f>
        <v/>
      </c>
      <c r="AE101" s="152">
        <f>IF(AH100&lt;=0.005,0,AH100*(1+AE$6))</f>
        <v/>
      </c>
      <c r="AF101" s="152">
        <f>MIN(AE101,AE$7)</f>
        <v/>
      </c>
      <c r="AG101" s="152">
        <f>MAX(0,MIN(AE101-AF101,AQ101-(E101+I101+M101+Q101+U101+Y101+AC101)))</f>
        <v/>
      </c>
      <c r="AH101" s="152">
        <f>AE101-AF101-AG101</f>
        <v/>
      </c>
      <c r="AI101" s="152">
        <f>IF(AL100&lt;=0.005,0,AL100*(1+AI$6))</f>
        <v/>
      </c>
      <c r="AJ101" s="152">
        <f>MIN(AI101,AI$7)</f>
        <v/>
      </c>
      <c r="AK101" s="152">
        <f>MAX(0,MIN(AI101-AJ101,AQ101-(E101+I101+M101+Q101+U101+Y101+AC101+AG101)))</f>
        <v/>
      </c>
      <c r="AL101" s="152">
        <f>AI101-AJ101-AK101</f>
        <v/>
      </c>
      <c r="AM101" s="152">
        <f>IF(AP100&lt;=0.005,0,AP100*(1+AM$6))</f>
        <v/>
      </c>
      <c r="AN101" s="152">
        <f>MIN(AM101,AM$7)</f>
        <v/>
      </c>
      <c r="AO101" s="152">
        <f>MAX(0,MIN(AM101-AN101,AQ101-(E101+I101+M101+Q101+U101+Y101+AC101+AG101+AK101)))</f>
        <v/>
      </c>
      <c r="AP101" s="152">
        <f>AM101-AN101-AO101</f>
        <v/>
      </c>
      <c r="AQ101" s="152">
        <f>'Debt Payoff'!$C$8-SUM(D101,H101,L101,P101,T101,X101,AB101,AF101,AJ101,AN101)</f>
        <v/>
      </c>
      <c r="AR101" s="152">
        <f>SUM(D101,H101,L101,P101,T101,X101,AB101,AF101,AJ101,AN101)+SUM(E101,I101,M101,Q101,U101,Y101,AC101,AG101,AK101,AO101)</f>
        <v/>
      </c>
      <c r="AS101" s="152">
        <f>SUM(F101,J101,N101,R101,V101,Z101,AD101,AH101,AL101,AP101)</f>
        <v/>
      </c>
      <c r="AT101" s="152">
        <f>IF(B101&gt;AS$6,NA(),B101)</f>
        <v/>
      </c>
      <c r="AU101" s="152">
        <f>IF(B101&gt;AS$6,NA(),AS101)</f>
        <v/>
      </c>
      <c r="AV101" s="152" t="n"/>
      <c r="AW101" s="152" t="n">
        <v>90</v>
      </c>
      <c r="AX101" s="152">
        <f>IF(BA100&lt;=0.005,0,BA100*(1+AX$6))</f>
        <v/>
      </c>
      <c r="AY101" s="152">
        <f>MIN(AX101,AX$7)</f>
        <v/>
      </c>
      <c r="AZ101" s="152">
        <f>MAX(0,MIN(AX101-AY101,CL101))</f>
        <v/>
      </c>
      <c r="BA101" s="152">
        <f>AX101-AY101-AZ101</f>
        <v/>
      </c>
      <c r="BB101" s="152">
        <f>IF(BE100&lt;=0.005,0,BE100*(1+BB$6))</f>
        <v/>
      </c>
      <c r="BC101" s="152">
        <f>MIN(BB101,BB$7)</f>
        <v/>
      </c>
      <c r="BD101" s="152">
        <f>MAX(0,MIN(BB101-BC101,CL101-(AZ101)))</f>
        <v/>
      </c>
      <c r="BE101" s="152">
        <f>BB101-BC101-BD101</f>
        <v/>
      </c>
      <c r="BF101" s="152">
        <f>IF(BI100&lt;=0.005,0,BI100*(1+BF$6))</f>
        <v/>
      </c>
      <c r="BG101" s="152">
        <f>MIN(BF101,BF$7)</f>
        <v/>
      </c>
      <c r="BH101" s="152">
        <f>MAX(0,MIN(BF101-BG101,CL101-(AZ101+BD101)))</f>
        <v/>
      </c>
      <c r="BI101" s="152">
        <f>BF101-BG101-BH101</f>
        <v/>
      </c>
      <c r="BJ101" s="152">
        <f>IF(BM100&lt;=0.005,0,BM100*(1+BJ$6))</f>
        <v/>
      </c>
      <c r="BK101" s="152">
        <f>MIN(BJ101,BJ$7)</f>
        <v/>
      </c>
      <c r="BL101" s="152">
        <f>MAX(0,MIN(BJ101-BK101,CL101-(AZ101+BD101+BH101)))</f>
        <v/>
      </c>
      <c r="BM101" s="152">
        <f>BJ101-BK101-BL101</f>
        <v/>
      </c>
      <c r="BN101" s="152">
        <f>IF(BQ100&lt;=0.005,0,BQ100*(1+BN$6))</f>
        <v/>
      </c>
      <c r="BO101" s="152">
        <f>MIN(BN101,BN$7)</f>
        <v/>
      </c>
      <c r="BP101" s="152">
        <f>MAX(0,MIN(BN101-BO101,CL101-(AZ101+BD101+BH101+BL101)))</f>
        <v/>
      </c>
      <c r="BQ101" s="152">
        <f>BN101-BO101-BP101</f>
        <v/>
      </c>
      <c r="BR101" s="152">
        <f>IF(BU100&lt;=0.005,0,BU100*(1+BR$6))</f>
        <v/>
      </c>
      <c r="BS101" s="152">
        <f>MIN(BR101,BR$7)</f>
        <v/>
      </c>
      <c r="BT101" s="152">
        <f>MAX(0,MIN(BR101-BS101,CL101-(AZ101+BD101+BH101+BL101+BP101)))</f>
        <v/>
      </c>
      <c r="BU101" s="152">
        <f>BR101-BS101-BT101</f>
        <v/>
      </c>
      <c r="BV101" s="152">
        <f>IF(BY100&lt;=0.005,0,BY100*(1+BV$6))</f>
        <v/>
      </c>
      <c r="BW101" s="152">
        <f>MIN(BV101,BV$7)</f>
        <v/>
      </c>
      <c r="BX101" s="152">
        <f>MAX(0,MIN(BV101-BW101,CL101-(AZ101+BD101+BH101+BL101+BP101+BT101)))</f>
        <v/>
      </c>
      <c r="BY101" s="152">
        <f>BV101-BW101-BX101</f>
        <v/>
      </c>
      <c r="BZ101" s="152">
        <f>IF(CC100&lt;=0.005,0,CC100*(1+BZ$6))</f>
        <v/>
      </c>
      <c r="CA101" s="152">
        <f>MIN(BZ101,BZ$7)</f>
        <v/>
      </c>
      <c r="CB101" s="152">
        <f>MAX(0,MIN(BZ101-CA101,CL101-(AZ101+BD101+BH101+BL101+BP101+BT101+BX101)))</f>
        <v/>
      </c>
      <c r="CC101" s="152">
        <f>BZ101-CA101-CB101</f>
        <v/>
      </c>
      <c r="CD101" s="152">
        <f>IF(CG100&lt;=0.005,0,CG100*(1+CD$6))</f>
        <v/>
      </c>
      <c r="CE101" s="152">
        <f>MIN(CD101,CD$7)</f>
        <v/>
      </c>
      <c r="CF101" s="152">
        <f>MAX(0,MIN(CD101-CE101,CL101-(AZ101+BD101+BH101+BL101+BP101+BT101+BX101+CB101)))</f>
        <v/>
      </c>
      <c r="CG101" s="152">
        <f>CD101-CE101-CF101</f>
        <v/>
      </c>
      <c r="CH101" s="152">
        <f>IF(CK100&lt;=0.005,0,CK100*(1+CH$6))</f>
        <v/>
      </c>
      <c r="CI101" s="152">
        <f>MIN(CH101,CH$7)</f>
        <v/>
      </c>
      <c r="CJ101" s="152">
        <f>MAX(0,MIN(CH101-CI101,CL101-(AZ101+BD101+BH101+BL101+BP101+BT101+BX101+CB101+CF101)))</f>
        <v/>
      </c>
      <c r="CK101" s="152">
        <f>CH101-CI101-CJ101</f>
        <v/>
      </c>
      <c r="CL101" s="152">
        <f>'Debt Payoff'!$C$8-SUM(AY101,BC101,BG101,BK101,BO101,BS101,BW101,CA101,CE101,CI101)</f>
        <v/>
      </c>
      <c r="CM101" s="152">
        <f>SUM(AY101,BC101,BG101,BK101,BO101,BS101,BW101,CA101,CE101,CI101)+SUM(AZ101,BD101,BH101,BL101,BP101,BT101,BX101,CB101,CF101,CJ101)</f>
        <v/>
      </c>
      <c r="CN101" s="152">
        <f>SUM(BA101,BE101,BI101,BM101,BQ101,BU101,BY101,CC101,CG101,CK101)</f>
        <v/>
      </c>
      <c r="CO101" s="152">
        <f>IF(AW101&gt;CN$6,NA(),AW101)</f>
        <v/>
      </c>
      <c r="CP101" s="152">
        <f>IF(AW101&gt;CN$6,NA(),CN101)</f>
        <v/>
      </c>
    </row>
    <row r="102">
      <c r="B102" s="152" t="n">
        <v>91</v>
      </c>
      <c r="C102" s="152">
        <f>IF(F101&lt;=0.005,0,F101*(1+C$6))</f>
        <v/>
      </c>
      <c r="D102" s="152">
        <f>MIN(C102,C$7)</f>
        <v/>
      </c>
      <c r="E102" s="152">
        <f>MAX(0,MIN(C102-D102,AQ102))</f>
        <v/>
      </c>
      <c r="F102" s="152">
        <f>C102-D102-E102</f>
        <v/>
      </c>
      <c r="G102" s="152">
        <f>IF(J101&lt;=0.005,0,J101*(1+G$6))</f>
        <v/>
      </c>
      <c r="H102" s="152">
        <f>MIN(G102,G$7)</f>
        <v/>
      </c>
      <c r="I102" s="152">
        <f>MAX(0,MIN(G102-H102,AQ102-(E102)))</f>
        <v/>
      </c>
      <c r="J102" s="152">
        <f>G102-H102-I102</f>
        <v/>
      </c>
      <c r="K102" s="152">
        <f>IF(N101&lt;=0.005,0,N101*(1+K$6))</f>
        <v/>
      </c>
      <c r="L102" s="152">
        <f>MIN(K102,K$7)</f>
        <v/>
      </c>
      <c r="M102" s="152">
        <f>MAX(0,MIN(K102-L102,AQ102-(E102+I102)))</f>
        <v/>
      </c>
      <c r="N102" s="152">
        <f>K102-L102-M102</f>
        <v/>
      </c>
      <c r="O102" s="152">
        <f>IF(R101&lt;=0.005,0,R101*(1+O$6))</f>
        <v/>
      </c>
      <c r="P102" s="152">
        <f>MIN(O102,O$7)</f>
        <v/>
      </c>
      <c r="Q102" s="152">
        <f>MAX(0,MIN(O102-P102,AQ102-(E102+I102+M102)))</f>
        <v/>
      </c>
      <c r="R102" s="152">
        <f>O102-P102-Q102</f>
        <v/>
      </c>
      <c r="S102" s="152">
        <f>IF(V101&lt;=0.005,0,V101*(1+S$6))</f>
        <v/>
      </c>
      <c r="T102" s="152">
        <f>MIN(S102,S$7)</f>
        <v/>
      </c>
      <c r="U102" s="152">
        <f>MAX(0,MIN(S102-T102,AQ102-(E102+I102+M102+Q102)))</f>
        <v/>
      </c>
      <c r="V102" s="152">
        <f>S102-T102-U102</f>
        <v/>
      </c>
      <c r="W102" s="152">
        <f>IF(Z101&lt;=0.005,0,Z101*(1+W$6))</f>
        <v/>
      </c>
      <c r="X102" s="152">
        <f>MIN(W102,W$7)</f>
        <v/>
      </c>
      <c r="Y102" s="152">
        <f>MAX(0,MIN(W102-X102,AQ102-(E102+I102+M102+Q102+U102)))</f>
        <v/>
      </c>
      <c r="Z102" s="152">
        <f>W102-X102-Y102</f>
        <v/>
      </c>
      <c r="AA102" s="152">
        <f>IF(AD101&lt;=0.005,0,AD101*(1+AA$6))</f>
        <v/>
      </c>
      <c r="AB102" s="152">
        <f>MIN(AA102,AA$7)</f>
        <v/>
      </c>
      <c r="AC102" s="152">
        <f>MAX(0,MIN(AA102-AB102,AQ102-(E102+I102+M102+Q102+U102+Y102)))</f>
        <v/>
      </c>
      <c r="AD102" s="152">
        <f>AA102-AB102-AC102</f>
        <v/>
      </c>
      <c r="AE102" s="152">
        <f>IF(AH101&lt;=0.005,0,AH101*(1+AE$6))</f>
        <v/>
      </c>
      <c r="AF102" s="152">
        <f>MIN(AE102,AE$7)</f>
        <v/>
      </c>
      <c r="AG102" s="152">
        <f>MAX(0,MIN(AE102-AF102,AQ102-(E102+I102+M102+Q102+U102+Y102+AC102)))</f>
        <v/>
      </c>
      <c r="AH102" s="152">
        <f>AE102-AF102-AG102</f>
        <v/>
      </c>
      <c r="AI102" s="152">
        <f>IF(AL101&lt;=0.005,0,AL101*(1+AI$6))</f>
        <v/>
      </c>
      <c r="AJ102" s="152">
        <f>MIN(AI102,AI$7)</f>
        <v/>
      </c>
      <c r="AK102" s="152">
        <f>MAX(0,MIN(AI102-AJ102,AQ102-(E102+I102+M102+Q102+U102+Y102+AC102+AG102)))</f>
        <v/>
      </c>
      <c r="AL102" s="152">
        <f>AI102-AJ102-AK102</f>
        <v/>
      </c>
      <c r="AM102" s="152">
        <f>IF(AP101&lt;=0.005,0,AP101*(1+AM$6))</f>
        <v/>
      </c>
      <c r="AN102" s="152">
        <f>MIN(AM102,AM$7)</f>
        <v/>
      </c>
      <c r="AO102" s="152">
        <f>MAX(0,MIN(AM102-AN102,AQ102-(E102+I102+M102+Q102+U102+Y102+AC102+AG102+AK102)))</f>
        <v/>
      </c>
      <c r="AP102" s="152">
        <f>AM102-AN102-AO102</f>
        <v/>
      </c>
      <c r="AQ102" s="152">
        <f>'Debt Payoff'!$C$8-SUM(D102,H102,L102,P102,T102,X102,AB102,AF102,AJ102,AN102)</f>
        <v/>
      </c>
      <c r="AR102" s="152">
        <f>SUM(D102,H102,L102,P102,T102,X102,AB102,AF102,AJ102,AN102)+SUM(E102,I102,M102,Q102,U102,Y102,AC102,AG102,AK102,AO102)</f>
        <v/>
      </c>
      <c r="AS102" s="152">
        <f>SUM(F102,J102,N102,R102,V102,Z102,AD102,AH102,AL102,AP102)</f>
        <v/>
      </c>
      <c r="AT102" s="152">
        <f>IF(B102&gt;AS$6,NA(),B102)</f>
        <v/>
      </c>
      <c r="AU102" s="152">
        <f>IF(B102&gt;AS$6,NA(),AS102)</f>
        <v/>
      </c>
      <c r="AV102" s="152" t="n"/>
      <c r="AW102" s="152" t="n">
        <v>91</v>
      </c>
      <c r="AX102" s="152">
        <f>IF(BA101&lt;=0.005,0,BA101*(1+AX$6))</f>
        <v/>
      </c>
      <c r="AY102" s="152">
        <f>MIN(AX102,AX$7)</f>
        <v/>
      </c>
      <c r="AZ102" s="152">
        <f>MAX(0,MIN(AX102-AY102,CL102))</f>
        <v/>
      </c>
      <c r="BA102" s="152">
        <f>AX102-AY102-AZ102</f>
        <v/>
      </c>
      <c r="BB102" s="152">
        <f>IF(BE101&lt;=0.005,0,BE101*(1+BB$6))</f>
        <v/>
      </c>
      <c r="BC102" s="152">
        <f>MIN(BB102,BB$7)</f>
        <v/>
      </c>
      <c r="BD102" s="152">
        <f>MAX(0,MIN(BB102-BC102,CL102-(AZ102)))</f>
        <v/>
      </c>
      <c r="BE102" s="152">
        <f>BB102-BC102-BD102</f>
        <v/>
      </c>
      <c r="BF102" s="152">
        <f>IF(BI101&lt;=0.005,0,BI101*(1+BF$6))</f>
        <v/>
      </c>
      <c r="BG102" s="152">
        <f>MIN(BF102,BF$7)</f>
        <v/>
      </c>
      <c r="BH102" s="152">
        <f>MAX(0,MIN(BF102-BG102,CL102-(AZ102+BD102)))</f>
        <v/>
      </c>
      <c r="BI102" s="152">
        <f>BF102-BG102-BH102</f>
        <v/>
      </c>
      <c r="BJ102" s="152">
        <f>IF(BM101&lt;=0.005,0,BM101*(1+BJ$6))</f>
        <v/>
      </c>
      <c r="BK102" s="152">
        <f>MIN(BJ102,BJ$7)</f>
        <v/>
      </c>
      <c r="BL102" s="152">
        <f>MAX(0,MIN(BJ102-BK102,CL102-(AZ102+BD102+BH102)))</f>
        <v/>
      </c>
      <c r="BM102" s="152">
        <f>BJ102-BK102-BL102</f>
        <v/>
      </c>
      <c r="BN102" s="152">
        <f>IF(BQ101&lt;=0.005,0,BQ101*(1+BN$6))</f>
        <v/>
      </c>
      <c r="BO102" s="152">
        <f>MIN(BN102,BN$7)</f>
        <v/>
      </c>
      <c r="BP102" s="152">
        <f>MAX(0,MIN(BN102-BO102,CL102-(AZ102+BD102+BH102+BL102)))</f>
        <v/>
      </c>
      <c r="BQ102" s="152">
        <f>BN102-BO102-BP102</f>
        <v/>
      </c>
      <c r="BR102" s="152">
        <f>IF(BU101&lt;=0.005,0,BU101*(1+BR$6))</f>
        <v/>
      </c>
      <c r="BS102" s="152">
        <f>MIN(BR102,BR$7)</f>
        <v/>
      </c>
      <c r="BT102" s="152">
        <f>MAX(0,MIN(BR102-BS102,CL102-(AZ102+BD102+BH102+BL102+BP102)))</f>
        <v/>
      </c>
      <c r="BU102" s="152">
        <f>BR102-BS102-BT102</f>
        <v/>
      </c>
      <c r="BV102" s="152">
        <f>IF(BY101&lt;=0.005,0,BY101*(1+BV$6))</f>
        <v/>
      </c>
      <c r="BW102" s="152">
        <f>MIN(BV102,BV$7)</f>
        <v/>
      </c>
      <c r="BX102" s="152">
        <f>MAX(0,MIN(BV102-BW102,CL102-(AZ102+BD102+BH102+BL102+BP102+BT102)))</f>
        <v/>
      </c>
      <c r="BY102" s="152">
        <f>BV102-BW102-BX102</f>
        <v/>
      </c>
      <c r="BZ102" s="152">
        <f>IF(CC101&lt;=0.005,0,CC101*(1+BZ$6))</f>
        <v/>
      </c>
      <c r="CA102" s="152">
        <f>MIN(BZ102,BZ$7)</f>
        <v/>
      </c>
      <c r="CB102" s="152">
        <f>MAX(0,MIN(BZ102-CA102,CL102-(AZ102+BD102+BH102+BL102+BP102+BT102+BX102)))</f>
        <v/>
      </c>
      <c r="CC102" s="152">
        <f>BZ102-CA102-CB102</f>
        <v/>
      </c>
      <c r="CD102" s="152">
        <f>IF(CG101&lt;=0.005,0,CG101*(1+CD$6))</f>
        <v/>
      </c>
      <c r="CE102" s="152">
        <f>MIN(CD102,CD$7)</f>
        <v/>
      </c>
      <c r="CF102" s="152">
        <f>MAX(0,MIN(CD102-CE102,CL102-(AZ102+BD102+BH102+BL102+BP102+BT102+BX102+CB102)))</f>
        <v/>
      </c>
      <c r="CG102" s="152">
        <f>CD102-CE102-CF102</f>
        <v/>
      </c>
      <c r="CH102" s="152">
        <f>IF(CK101&lt;=0.005,0,CK101*(1+CH$6))</f>
        <v/>
      </c>
      <c r="CI102" s="152">
        <f>MIN(CH102,CH$7)</f>
        <v/>
      </c>
      <c r="CJ102" s="152">
        <f>MAX(0,MIN(CH102-CI102,CL102-(AZ102+BD102+BH102+BL102+BP102+BT102+BX102+CB102+CF102)))</f>
        <v/>
      </c>
      <c r="CK102" s="152">
        <f>CH102-CI102-CJ102</f>
        <v/>
      </c>
      <c r="CL102" s="152">
        <f>'Debt Payoff'!$C$8-SUM(AY102,BC102,BG102,BK102,BO102,BS102,BW102,CA102,CE102,CI102)</f>
        <v/>
      </c>
      <c r="CM102" s="152">
        <f>SUM(AY102,BC102,BG102,BK102,BO102,BS102,BW102,CA102,CE102,CI102)+SUM(AZ102,BD102,BH102,BL102,BP102,BT102,BX102,CB102,CF102,CJ102)</f>
        <v/>
      </c>
      <c r="CN102" s="152">
        <f>SUM(BA102,BE102,BI102,BM102,BQ102,BU102,BY102,CC102,CG102,CK102)</f>
        <v/>
      </c>
      <c r="CO102" s="152">
        <f>IF(AW102&gt;CN$6,NA(),AW102)</f>
        <v/>
      </c>
      <c r="CP102" s="152">
        <f>IF(AW102&gt;CN$6,NA(),CN102)</f>
        <v/>
      </c>
    </row>
    <row r="103">
      <c r="B103" s="152" t="n">
        <v>92</v>
      </c>
      <c r="C103" s="152">
        <f>IF(F102&lt;=0.005,0,F102*(1+C$6))</f>
        <v/>
      </c>
      <c r="D103" s="152">
        <f>MIN(C103,C$7)</f>
        <v/>
      </c>
      <c r="E103" s="152">
        <f>MAX(0,MIN(C103-D103,AQ103))</f>
        <v/>
      </c>
      <c r="F103" s="152">
        <f>C103-D103-E103</f>
        <v/>
      </c>
      <c r="G103" s="152">
        <f>IF(J102&lt;=0.005,0,J102*(1+G$6))</f>
        <v/>
      </c>
      <c r="H103" s="152">
        <f>MIN(G103,G$7)</f>
        <v/>
      </c>
      <c r="I103" s="152">
        <f>MAX(0,MIN(G103-H103,AQ103-(E103)))</f>
        <v/>
      </c>
      <c r="J103" s="152">
        <f>G103-H103-I103</f>
        <v/>
      </c>
      <c r="K103" s="152">
        <f>IF(N102&lt;=0.005,0,N102*(1+K$6))</f>
        <v/>
      </c>
      <c r="L103" s="152">
        <f>MIN(K103,K$7)</f>
        <v/>
      </c>
      <c r="M103" s="152">
        <f>MAX(0,MIN(K103-L103,AQ103-(E103+I103)))</f>
        <v/>
      </c>
      <c r="N103" s="152">
        <f>K103-L103-M103</f>
        <v/>
      </c>
      <c r="O103" s="152">
        <f>IF(R102&lt;=0.005,0,R102*(1+O$6))</f>
        <v/>
      </c>
      <c r="P103" s="152">
        <f>MIN(O103,O$7)</f>
        <v/>
      </c>
      <c r="Q103" s="152">
        <f>MAX(0,MIN(O103-P103,AQ103-(E103+I103+M103)))</f>
        <v/>
      </c>
      <c r="R103" s="152">
        <f>O103-P103-Q103</f>
        <v/>
      </c>
      <c r="S103" s="152">
        <f>IF(V102&lt;=0.005,0,V102*(1+S$6))</f>
        <v/>
      </c>
      <c r="T103" s="152">
        <f>MIN(S103,S$7)</f>
        <v/>
      </c>
      <c r="U103" s="152">
        <f>MAX(0,MIN(S103-T103,AQ103-(E103+I103+M103+Q103)))</f>
        <v/>
      </c>
      <c r="V103" s="152">
        <f>S103-T103-U103</f>
        <v/>
      </c>
      <c r="W103" s="152">
        <f>IF(Z102&lt;=0.005,0,Z102*(1+W$6))</f>
        <v/>
      </c>
      <c r="X103" s="152">
        <f>MIN(W103,W$7)</f>
        <v/>
      </c>
      <c r="Y103" s="152">
        <f>MAX(0,MIN(W103-X103,AQ103-(E103+I103+M103+Q103+U103)))</f>
        <v/>
      </c>
      <c r="Z103" s="152">
        <f>W103-X103-Y103</f>
        <v/>
      </c>
      <c r="AA103" s="152">
        <f>IF(AD102&lt;=0.005,0,AD102*(1+AA$6))</f>
        <v/>
      </c>
      <c r="AB103" s="152">
        <f>MIN(AA103,AA$7)</f>
        <v/>
      </c>
      <c r="AC103" s="152">
        <f>MAX(0,MIN(AA103-AB103,AQ103-(E103+I103+M103+Q103+U103+Y103)))</f>
        <v/>
      </c>
      <c r="AD103" s="152">
        <f>AA103-AB103-AC103</f>
        <v/>
      </c>
      <c r="AE103" s="152">
        <f>IF(AH102&lt;=0.005,0,AH102*(1+AE$6))</f>
        <v/>
      </c>
      <c r="AF103" s="152">
        <f>MIN(AE103,AE$7)</f>
        <v/>
      </c>
      <c r="AG103" s="152">
        <f>MAX(0,MIN(AE103-AF103,AQ103-(E103+I103+M103+Q103+U103+Y103+AC103)))</f>
        <v/>
      </c>
      <c r="AH103" s="152">
        <f>AE103-AF103-AG103</f>
        <v/>
      </c>
      <c r="AI103" s="152">
        <f>IF(AL102&lt;=0.005,0,AL102*(1+AI$6))</f>
        <v/>
      </c>
      <c r="AJ103" s="152">
        <f>MIN(AI103,AI$7)</f>
        <v/>
      </c>
      <c r="AK103" s="152">
        <f>MAX(0,MIN(AI103-AJ103,AQ103-(E103+I103+M103+Q103+U103+Y103+AC103+AG103)))</f>
        <v/>
      </c>
      <c r="AL103" s="152">
        <f>AI103-AJ103-AK103</f>
        <v/>
      </c>
      <c r="AM103" s="152">
        <f>IF(AP102&lt;=0.005,0,AP102*(1+AM$6))</f>
        <v/>
      </c>
      <c r="AN103" s="152">
        <f>MIN(AM103,AM$7)</f>
        <v/>
      </c>
      <c r="AO103" s="152">
        <f>MAX(0,MIN(AM103-AN103,AQ103-(E103+I103+M103+Q103+U103+Y103+AC103+AG103+AK103)))</f>
        <v/>
      </c>
      <c r="AP103" s="152">
        <f>AM103-AN103-AO103</f>
        <v/>
      </c>
      <c r="AQ103" s="152">
        <f>'Debt Payoff'!$C$8-SUM(D103,H103,L103,P103,T103,X103,AB103,AF103,AJ103,AN103)</f>
        <v/>
      </c>
      <c r="AR103" s="152">
        <f>SUM(D103,H103,L103,P103,T103,X103,AB103,AF103,AJ103,AN103)+SUM(E103,I103,M103,Q103,U103,Y103,AC103,AG103,AK103,AO103)</f>
        <v/>
      </c>
      <c r="AS103" s="152">
        <f>SUM(F103,J103,N103,R103,V103,Z103,AD103,AH103,AL103,AP103)</f>
        <v/>
      </c>
      <c r="AT103" s="152">
        <f>IF(B103&gt;AS$6,NA(),B103)</f>
        <v/>
      </c>
      <c r="AU103" s="152">
        <f>IF(B103&gt;AS$6,NA(),AS103)</f>
        <v/>
      </c>
      <c r="AV103" s="152" t="n"/>
      <c r="AW103" s="152" t="n">
        <v>92</v>
      </c>
      <c r="AX103" s="152">
        <f>IF(BA102&lt;=0.005,0,BA102*(1+AX$6))</f>
        <v/>
      </c>
      <c r="AY103" s="152">
        <f>MIN(AX103,AX$7)</f>
        <v/>
      </c>
      <c r="AZ103" s="152">
        <f>MAX(0,MIN(AX103-AY103,CL103))</f>
        <v/>
      </c>
      <c r="BA103" s="152">
        <f>AX103-AY103-AZ103</f>
        <v/>
      </c>
      <c r="BB103" s="152">
        <f>IF(BE102&lt;=0.005,0,BE102*(1+BB$6))</f>
        <v/>
      </c>
      <c r="BC103" s="152">
        <f>MIN(BB103,BB$7)</f>
        <v/>
      </c>
      <c r="BD103" s="152">
        <f>MAX(0,MIN(BB103-BC103,CL103-(AZ103)))</f>
        <v/>
      </c>
      <c r="BE103" s="152">
        <f>BB103-BC103-BD103</f>
        <v/>
      </c>
      <c r="BF103" s="152">
        <f>IF(BI102&lt;=0.005,0,BI102*(1+BF$6))</f>
        <v/>
      </c>
      <c r="BG103" s="152">
        <f>MIN(BF103,BF$7)</f>
        <v/>
      </c>
      <c r="BH103" s="152">
        <f>MAX(0,MIN(BF103-BG103,CL103-(AZ103+BD103)))</f>
        <v/>
      </c>
      <c r="BI103" s="152">
        <f>BF103-BG103-BH103</f>
        <v/>
      </c>
      <c r="BJ103" s="152">
        <f>IF(BM102&lt;=0.005,0,BM102*(1+BJ$6))</f>
        <v/>
      </c>
      <c r="BK103" s="152">
        <f>MIN(BJ103,BJ$7)</f>
        <v/>
      </c>
      <c r="BL103" s="152">
        <f>MAX(0,MIN(BJ103-BK103,CL103-(AZ103+BD103+BH103)))</f>
        <v/>
      </c>
      <c r="BM103" s="152">
        <f>BJ103-BK103-BL103</f>
        <v/>
      </c>
      <c r="BN103" s="152">
        <f>IF(BQ102&lt;=0.005,0,BQ102*(1+BN$6))</f>
        <v/>
      </c>
      <c r="BO103" s="152">
        <f>MIN(BN103,BN$7)</f>
        <v/>
      </c>
      <c r="BP103" s="152">
        <f>MAX(0,MIN(BN103-BO103,CL103-(AZ103+BD103+BH103+BL103)))</f>
        <v/>
      </c>
      <c r="BQ103" s="152">
        <f>BN103-BO103-BP103</f>
        <v/>
      </c>
      <c r="BR103" s="152">
        <f>IF(BU102&lt;=0.005,0,BU102*(1+BR$6))</f>
        <v/>
      </c>
      <c r="BS103" s="152">
        <f>MIN(BR103,BR$7)</f>
        <v/>
      </c>
      <c r="BT103" s="152">
        <f>MAX(0,MIN(BR103-BS103,CL103-(AZ103+BD103+BH103+BL103+BP103)))</f>
        <v/>
      </c>
      <c r="BU103" s="152">
        <f>BR103-BS103-BT103</f>
        <v/>
      </c>
      <c r="BV103" s="152">
        <f>IF(BY102&lt;=0.005,0,BY102*(1+BV$6))</f>
        <v/>
      </c>
      <c r="BW103" s="152">
        <f>MIN(BV103,BV$7)</f>
        <v/>
      </c>
      <c r="BX103" s="152">
        <f>MAX(0,MIN(BV103-BW103,CL103-(AZ103+BD103+BH103+BL103+BP103+BT103)))</f>
        <v/>
      </c>
      <c r="BY103" s="152">
        <f>BV103-BW103-BX103</f>
        <v/>
      </c>
      <c r="BZ103" s="152">
        <f>IF(CC102&lt;=0.005,0,CC102*(1+BZ$6))</f>
        <v/>
      </c>
      <c r="CA103" s="152">
        <f>MIN(BZ103,BZ$7)</f>
        <v/>
      </c>
      <c r="CB103" s="152">
        <f>MAX(0,MIN(BZ103-CA103,CL103-(AZ103+BD103+BH103+BL103+BP103+BT103+BX103)))</f>
        <v/>
      </c>
      <c r="CC103" s="152">
        <f>BZ103-CA103-CB103</f>
        <v/>
      </c>
      <c r="CD103" s="152">
        <f>IF(CG102&lt;=0.005,0,CG102*(1+CD$6))</f>
        <v/>
      </c>
      <c r="CE103" s="152">
        <f>MIN(CD103,CD$7)</f>
        <v/>
      </c>
      <c r="CF103" s="152">
        <f>MAX(0,MIN(CD103-CE103,CL103-(AZ103+BD103+BH103+BL103+BP103+BT103+BX103+CB103)))</f>
        <v/>
      </c>
      <c r="CG103" s="152">
        <f>CD103-CE103-CF103</f>
        <v/>
      </c>
      <c r="CH103" s="152">
        <f>IF(CK102&lt;=0.005,0,CK102*(1+CH$6))</f>
        <v/>
      </c>
      <c r="CI103" s="152">
        <f>MIN(CH103,CH$7)</f>
        <v/>
      </c>
      <c r="CJ103" s="152">
        <f>MAX(0,MIN(CH103-CI103,CL103-(AZ103+BD103+BH103+BL103+BP103+BT103+BX103+CB103+CF103)))</f>
        <v/>
      </c>
      <c r="CK103" s="152">
        <f>CH103-CI103-CJ103</f>
        <v/>
      </c>
      <c r="CL103" s="152">
        <f>'Debt Payoff'!$C$8-SUM(AY103,BC103,BG103,BK103,BO103,BS103,BW103,CA103,CE103,CI103)</f>
        <v/>
      </c>
      <c r="CM103" s="152">
        <f>SUM(AY103,BC103,BG103,BK103,BO103,BS103,BW103,CA103,CE103,CI103)+SUM(AZ103,BD103,BH103,BL103,BP103,BT103,BX103,CB103,CF103,CJ103)</f>
        <v/>
      </c>
      <c r="CN103" s="152">
        <f>SUM(BA103,BE103,BI103,BM103,BQ103,BU103,BY103,CC103,CG103,CK103)</f>
        <v/>
      </c>
      <c r="CO103" s="152">
        <f>IF(AW103&gt;CN$6,NA(),AW103)</f>
        <v/>
      </c>
      <c r="CP103" s="152">
        <f>IF(AW103&gt;CN$6,NA(),CN103)</f>
        <v/>
      </c>
    </row>
    <row r="104">
      <c r="B104" s="152" t="n">
        <v>93</v>
      </c>
      <c r="C104" s="152">
        <f>IF(F103&lt;=0.005,0,F103*(1+C$6))</f>
        <v/>
      </c>
      <c r="D104" s="152">
        <f>MIN(C104,C$7)</f>
        <v/>
      </c>
      <c r="E104" s="152">
        <f>MAX(0,MIN(C104-D104,AQ104))</f>
        <v/>
      </c>
      <c r="F104" s="152">
        <f>C104-D104-E104</f>
        <v/>
      </c>
      <c r="G104" s="152">
        <f>IF(J103&lt;=0.005,0,J103*(1+G$6))</f>
        <v/>
      </c>
      <c r="H104" s="152">
        <f>MIN(G104,G$7)</f>
        <v/>
      </c>
      <c r="I104" s="152">
        <f>MAX(0,MIN(G104-H104,AQ104-(E104)))</f>
        <v/>
      </c>
      <c r="J104" s="152">
        <f>G104-H104-I104</f>
        <v/>
      </c>
      <c r="K104" s="152">
        <f>IF(N103&lt;=0.005,0,N103*(1+K$6))</f>
        <v/>
      </c>
      <c r="L104" s="152">
        <f>MIN(K104,K$7)</f>
        <v/>
      </c>
      <c r="M104" s="152">
        <f>MAX(0,MIN(K104-L104,AQ104-(E104+I104)))</f>
        <v/>
      </c>
      <c r="N104" s="152">
        <f>K104-L104-M104</f>
        <v/>
      </c>
      <c r="O104" s="152">
        <f>IF(R103&lt;=0.005,0,R103*(1+O$6))</f>
        <v/>
      </c>
      <c r="P104" s="152">
        <f>MIN(O104,O$7)</f>
        <v/>
      </c>
      <c r="Q104" s="152">
        <f>MAX(0,MIN(O104-P104,AQ104-(E104+I104+M104)))</f>
        <v/>
      </c>
      <c r="R104" s="152">
        <f>O104-P104-Q104</f>
        <v/>
      </c>
      <c r="S104" s="152">
        <f>IF(V103&lt;=0.005,0,V103*(1+S$6))</f>
        <v/>
      </c>
      <c r="T104" s="152">
        <f>MIN(S104,S$7)</f>
        <v/>
      </c>
      <c r="U104" s="152">
        <f>MAX(0,MIN(S104-T104,AQ104-(E104+I104+M104+Q104)))</f>
        <v/>
      </c>
      <c r="V104" s="152">
        <f>S104-T104-U104</f>
        <v/>
      </c>
      <c r="W104" s="152">
        <f>IF(Z103&lt;=0.005,0,Z103*(1+W$6))</f>
        <v/>
      </c>
      <c r="X104" s="152">
        <f>MIN(W104,W$7)</f>
        <v/>
      </c>
      <c r="Y104" s="152">
        <f>MAX(0,MIN(W104-X104,AQ104-(E104+I104+M104+Q104+U104)))</f>
        <v/>
      </c>
      <c r="Z104" s="152">
        <f>W104-X104-Y104</f>
        <v/>
      </c>
      <c r="AA104" s="152">
        <f>IF(AD103&lt;=0.005,0,AD103*(1+AA$6))</f>
        <v/>
      </c>
      <c r="AB104" s="152">
        <f>MIN(AA104,AA$7)</f>
        <v/>
      </c>
      <c r="AC104" s="152">
        <f>MAX(0,MIN(AA104-AB104,AQ104-(E104+I104+M104+Q104+U104+Y104)))</f>
        <v/>
      </c>
      <c r="AD104" s="152">
        <f>AA104-AB104-AC104</f>
        <v/>
      </c>
      <c r="AE104" s="152">
        <f>IF(AH103&lt;=0.005,0,AH103*(1+AE$6))</f>
        <v/>
      </c>
      <c r="AF104" s="152">
        <f>MIN(AE104,AE$7)</f>
        <v/>
      </c>
      <c r="AG104" s="152">
        <f>MAX(0,MIN(AE104-AF104,AQ104-(E104+I104+M104+Q104+U104+Y104+AC104)))</f>
        <v/>
      </c>
      <c r="AH104" s="152">
        <f>AE104-AF104-AG104</f>
        <v/>
      </c>
      <c r="AI104" s="152">
        <f>IF(AL103&lt;=0.005,0,AL103*(1+AI$6))</f>
        <v/>
      </c>
      <c r="AJ104" s="152">
        <f>MIN(AI104,AI$7)</f>
        <v/>
      </c>
      <c r="AK104" s="152">
        <f>MAX(0,MIN(AI104-AJ104,AQ104-(E104+I104+M104+Q104+U104+Y104+AC104+AG104)))</f>
        <v/>
      </c>
      <c r="AL104" s="152">
        <f>AI104-AJ104-AK104</f>
        <v/>
      </c>
      <c r="AM104" s="152">
        <f>IF(AP103&lt;=0.005,0,AP103*(1+AM$6))</f>
        <v/>
      </c>
      <c r="AN104" s="152">
        <f>MIN(AM104,AM$7)</f>
        <v/>
      </c>
      <c r="AO104" s="152">
        <f>MAX(0,MIN(AM104-AN104,AQ104-(E104+I104+M104+Q104+U104+Y104+AC104+AG104+AK104)))</f>
        <v/>
      </c>
      <c r="AP104" s="152">
        <f>AM104-AN104-AO104</f>
        <v/>
      </c>
      <c r="AQ104" s="152">
        <f>'Debt Payoff'!$C$8-SUM(D104,H104,L104,P104,T104,X104,AB104,AF104,AJ104,AN104)</f>
        <v/>
      </c>
      <c r="AR104" s="152">
        <f>SUM(D104,H104,L104,P104,T104,X104,AB104,AF104,AJ104,AN104)+SUM(E104,I104,M104,Q104,U104,Y104,AC104,AG104,AK104,AO104)</f>
        <v/>
      </c>
      <c r="AS104" s="152">
        <f>SUM(F104,J104,N104,R104,V104,Z104,AD104,AH104,AL104,AP104)</f>
        <v/>
      </c>
      <c r="AT104" s="152">
        <f>IF(B104&gt;AS$6,NA(),B104)</f>
        <v/>
      </c>
      <c r="AU104" s="152">
        <f>IF(B104&gt;AS$6,NA(),AS104)</f>
        <v/>
      </c>
      <c r="AV104" s="152" t="n"/>
      <c r="AW104" s="152" t="n">
        <v>93</v>
      </c>
      <c r="AX104" s="152">
        <f>IF(BA103&lt;=0.005,0,BA103*(1+AX$6))</f>
        <v/>
      </c>
      <c r="AY104" s="152">
        <f>MIN(AX104,AX$7)</f>
        <v/>
      </c>
      <c r="AZ104" s="152">
        <f>MAX(0,MIN(AX104-AY104,CL104))</f>
        <v/>
      </c>
      <c r="BA104" s="152">
        <f>AX104-AY104-AZ104</f>
        <v/>
      </c>
      <c r="BB104" s="152">
        <f>IF(BE103&lt;=0.005,0,BE103*(1+BB$6))</f>
        <v/>
      </c>
      <c r="BC104" s="152">
        <f>MIN(BB104,BB$7)</f>
        <v/>
      </c>
      <c r="BD104" s="152">
        <f>MAX(0,MIN(BB104-BC104,CL104-(AZ104)))</f>
        <v/>
      </c>
      <c r="BE104" s="152">
        <f>BB104-BC104-BD104</f>
        <v/>
      </c>
      <c r="BF104" s="152">
        <f>IF(BI103&lt;=0.005,0,BI103*(1+BF$6))</f>
        <v/>
      </c>
      <c r="BG104" s="152">
        <f>MIN(BF104,BF$7)</f>
        <v/>
      </c>
      <c r="BH104" s="152">
        <f>MAX(0,MIN(BF104-BG104,CL104-(AZ104+BD104)))</f>
        <v/>
      </c>
      <c r="BI104" s="152">
        <f>BF104-BG104-BH104</f>
        <v/>
      </c>
      <c r="BJ104" s="152">
        <f>IF(BM103&lt;=0.005,0,BM103*(1+BJ$6))</f>
        <v/>
      </c>
      <c r="BK104" s="152">
        <f>MIN(BJ104,BJ$7)</f>
        <v/>
      </c>
      <c r="BL104" s="152">
        <f>MAX(0,MIN(BJ104-BK104,CL104-(AZ104+BD104+BH104)))</f>
        <v/>
      </c>
      <c r="BM104" s="152">
        <f>BJ104-BK104-BL104</f>
        <v/>
      </c>
      <c r="BN104" s="152">
        <f>IF(BQ103&lt;=0.005,0,BQ103*(1+BN$6))</f>
        <v/>
      </c>
      <c r="BO104" s="152">
        <f>MIN(BN104,BN$7)</f>
        <v/>
      </c>
      <c r="BP104" s="152">
        <f>MAX(0,MIN(BN104-BO104,CL104-(AZ104+BD104+BH104+BL104)))</f>
        <v/>
      </c>
      <c r="BQ104" s="152">
        <f>BN104-BO104-BP104</f>
        <v/>
      </c>
      <c r="BR104" s="152">
        <f>IF(BU103&lt;=0.005,0,BU103*(1+BR$6))</f>
        <v/>
      </c>
      <c r="BS104" s="152">
        <f>MIN(BR104,BR$7)</f>
        <v/>
      </c>
      <c r="BT104" s="152">
        <f>MAX(0,MIN(BR104-BS104,CL104-(AZ104+BD104+BH104+BL104+BP104)))</f>
        <v/>
      </c>
      <c r="BU104" s="152">
        <f>BR104-BS104-BT104</f>
        <v/>
      </c>
      <c r="BV104" s="152">
        <f>IF(BY103&lt;=0.005,0,BY103*(1+BV$6))</f>
        <v/>
      </c>
      <c r="BW104" s="152">
        <f>MIN(BV104,BV$7)</f>
        <v/>
      </c>
      <c r="BX104" s="152">
        <f>MAX(0,MIN(BV104-BW104,CL104-(AZ104+BD104+BH104+BL104+BP104+BT104)))</f>
        <v/>
      </c>
      <c r="BY104" s="152">
        <f>BV104-BW104-BX104</f>
        <v/>
      </c>
      <c r="BZ104" s="152">
        <f>IF(CC103&lt;=0.005,0,CC103*(1+BZ$6))</f>
        <v/>
      </c>
      <c r="CA104" s="152">
        <f>MIN(BZ104,BZ$7)</f>
        <v/>
      </c>
      <c r="CB104" s="152">
        <f>MAX(0,MIN(BZ104-CA104,CL104-(AZ104+BD104+BH104+BL104+BP104+BT104+BX104)))</f>
        <v/>
      </c>
      <c r="CC104" s="152">
        <f>BZ104-CA104-CB104</f>
        <v/>
      </c>
      <c r="CD104" s="152">
        <f>IF(CG103&lt;=0.005,0,CG103*(1+CD$6))</f>
        <v/>
      </c>
      <c r="CE104" s="152">
        <f>MIN(CD104,CD$7)</f>
        <v/>
      </c>
      <c r="CF104" s="152">
        <f>MAX(0,MIN(CD104-CE104,CL104-(AZ104+BD104+BH104+BL104+BP104+BT104+BX104+CB104)))</f>
        <v/>
      </c>
      <c r="CG104" s="152">
        <f>CD104-CE104-CF104</f>
        <v/>
      </c>
      <c r="CH104" s="152">
        <f>IF(CK103&lt;=0.005,0,CK103*(1+CH$6))</f>
        <v/>
      </c>
      <c r="CI104" s="152">
        <f>MIN(CH104,CH$7)</f>
        <v/>
      </c>
      <c r="CJ104" s="152">
        <f>MAX(0,MIN(CH104-CI104,CL104-(AZ104+BD104+BH104+BL104+BP104+BT104+BX104+CB104+CF104)))</f>
        <v/>
      </c>
      <c r="CK104" s="152">
        <f>CH104-CI104-CJ104</f>
        <v/>
      </c>
      <c r="CL104" s="152">
        <f>'Debt Payoff'!$C$8-SUM(AY104,BC104,BG104,BK104,BO104,BS104,BW104,CA104,CE104,CI104)</f>
        <v/>
      </c>
      <c r="CM104" s="152">
        <f>SUM(AY104,BC104,BG104,BK104,BO104,BS104,BW104,CA104,CE104,CI104)+SUM(AZ104,BD104,BH104,BL104,BP104,BT104,BX104,CB104,CF104,CJ104)</f>
        <v/>
      </c>
      <c r="CN104" s="152">
        <f>SUM(BA104,BE104,BI104,BM104,BQ104,BU104,BY104,CC104,CG104,CK104)</f>
        <v/>
      </c>
      <c r="CO104" s="152">
        <f>IF(AW104&gt;CN$6,NA(),AW104)</f>
        <v/>
      </c>
      <c r="CP104" s="152">
        <f>IF(AW104&gt;CN$6,NA(),CN104)</f>
        <v/>
      </c>
    </row>
    <row r="105">
      <c r="B105" s="152" t="n">
        <v>94</v>
      </c>
      <c r="C105" s="152">
        <f>IF(F104&lt;=0.005,0,F104*(1+C$6))</f>
        <v/>
      </c>
      <c r="D105" s="152">
        <f>MIN(C105,C$7)</f>
        <v/>
      </c>
      <c r="E105" s="152">
        <f>MAX(0,MIN(C105-D105,AQ105))</f>
        <v/>
      </c>
      <c r="F105" s="152">
        <f>C105-D105-E105</f>
        <v/>
      </c>
      <c r="G105" s="152">
        <f>IF(J104&lt;=0.005,0,J104*(1+G$6))</f>
        <v/>
      </c>
      <c r="H105" s="152">
        <f>MIN(G105,G$7)</f>
        <v/>
      </c>
      <c r="I105" s="152">
        <f>MAX(0,MIN(G105-H105,AQ105-(E105)))</f>
        <v/>
      </c>
      <c r="J105" s="152">
        <f>G105-H105-I105</f>
        <v/>
      </c>
      <c r="K105" s="152">
        <f>IF(N104&lt;=0.005,0,N104*(1+K$6))</f>
        <v/>
      </c>
      <c r="L105" s="152">
        <f>MIN(K105,K$7)</f>
        <v/>
      </c>
      <c r="M105" s="152">
        <f>MAX(0,MIN(K105-L105,AQ105-(E105+I105)))</f>
        <v/>
      </c>
      <c r="N105" s="152">
        <f>K105-L105-M105</f>
        <v/>
      </c>
      <c r="O105" s="152">
        <f>IF(R104&lt;=0.005,0,R104*(1+O$6))</f>
        <v/>
      </c>
      <c r="P105" s="152">
        <f>MIN(O105,O$7)</f>
        <v/>
      </c>
      <c r="Q105" s="152">
        <f>MAX(0,MIN(O105-P105,AQ105-(E105+I105+M105)))</f>
        <v/>
      </c>
      <c r="R105" s="152">
        <f>O105-P105-Q105</f>
        <v/>
      </c>
      <c r="S105" s="152">
        <f>IF(V104&lt;=0.005,0,V104*(1+S$6))</f>
        <v/>
      </c>
      <c r="T105" s="152">
        <f>MIN(S105,S$7)</f>
        <v/>
      </c>
      <c r="U105" s="152">
        <f>MAX(0,MIN(S105-T105,AQ105-(E105+I105+M105+Q105)))</f>
        <v/>
      </c>
      <c r="V105" s="152">
        <f>S105-T105-U105</f>
        <v/>
      </c>
      <c r="W105" s="152">
        <f>IF(Z104&lt;=0.005,0,Z104*(1+W$6))</f>
        <v/>
      </c>
      <c r="X105" s="152">
        <f>MIN(W105,W$7)</f>
        <v/>
      </c>
      <c r="Y105" s="152">
        <f>MAX(0,MIN(W105-X105,AQ105-(E105+I105+M105+Q105+U105)))</f>
        <v/>
      </c>
      <c r="Z105" s="152">
        <f>W105-X105-Y105</f>
        <v/>
      </c>
      <c r="AA105" s="152">
        <f>IF(AD104&lt;=0.005,0,AD104*(1+AA$6))</f>
        <v/>
      </c>
      <c r="AB105" s="152">
        <f>MIN(AA105,AA$7)</f>
        <v/>
      </c>
      <c r="AC105" s="152">
        <f>MAX(0,MIN(AA105-AB105,AQ105-(E105+I105+M105+Q105+U105+Y105)))</f>
        <v/>
      </c>
      <c r="AD105" s="152">
        <f>AA105-AB105-AC105</f>
        <v/>
      </c>
      <c r="AE105" s="152">
        <f>IF(AH104&lt;=0.005,0,AH104*(1+AE$6))</f>
        <v/>
      </c>
      <c r="AF105" s="152">
        <f>MIN(AE105,AE$7)</f>
        <v/>
      </c>
      <c r="AG105" s="152">
        <f>MAX(0,MIN(AE105-AF105,AQ105-(E105+I105+M105+Q105+U105+Y105+AC105)))</f>
        <v/>
      </c>
      <c r="AH105" s="152">
        <f>AE105-AF105-AG105</f>
        <v/>
      </c>
      <c r="AI105" s="152">
        <f>IF(AL104&lt;=0.005,0,AL104*(1+AI$6))</f>
        <v/>
      </c>
      <c r="AJ105" s="152">
        <f>MIN(AI105,AI$7)</f>
        <v/>
      </c>
      <c r="AK105" s="152">
        <f>MAX(0,MIN(AI105-AJ105,AQ105-(E105+I105+M105+Q105+U105+Y105+AC105+AG105)))</f>
        <v/>
      </c>
      <c r="AL105" s="152">
        <f>AI105-AJ105-AK105</f>
        <v/>
      </c>
      <c r="AM105" s="152">
        <f>IF(AP104&lt;=0.005,0,AP104*(1+AM$6))</f>
        <v/>
      </c>
      <c r="AN105" s="152">
        <f>MIN(AM105,AM$7)</f>
        <v/>
      </c>
      <c r="AO105" s="152">
        <f>MAX(0,MIN(AM105-AN105,AQ105-(E105+I105+M105+Q105+U105+Y105+AC105+AG105+AK105)))</f>
        <v/>
      </c>
      <c r="AP105" s="152">
        <f>AM105-AN105-AO105</f>
        <v/>
      </c>
      <c r="AQ105" s="152">
        <f>'Debt Payoff'!$C$8-SUM(D105,H105,L105,P105,T105,X105,AB105,AF105,AJ105,AN105)</f>
        <v/>
      </c>
      <c r="AR105" s="152">
        <f>SUM(D105,H105,L105,P105,T105,X105,AB105,AF105,AJ105,AN105)+SUM(E105,I105,M105,Q105,U105,Y105,AC105,AG105,AK105,AO105)</f>
        <v/>
      </c>
      <c r="AS105" s="152">
        <f>SUM(F105,J105,N105,R105,V105,Z105,AD105,AH105,AL105,AP105)</f>
        <v/>
      </c>
      <c r="AT105" s="152">
        <f>IF(B105&gt;AS$6,NA(),B105)</f>
        <v/>
      </c>
      <c r="AU105" s="152">
        <f>IF(B105&gt;AS$6,NA(),AS105)</f>
        <v/>
      </c>
      <c r="AV105" s="152" t="n"/>
      <c r="AW105" s="152" t="n">
        <v>94</v>
      </c>
      <c r="AX105" s="152">
        <f>IF(BA104&lt;=0.005,0,BA104*(1+AX$6))</f>
        <v/>
      </c>
      <c r="AY105" s="152">
        <f>MIN(AX105,AX$7)</f>
        <v/>
      </c>
      <c r="AZ105" s="152">
        <f>MAX(0,MIN(AX105-AY105,CL105))</f>
        <v/>
      </c>
      <c r="BA105" s="152">
        <f>AX105-AY105-AZ105</f>
        <v/>
      </c>
      <c r="BB105" s="152">
        <f>IF(BE104&lt;=0.005,0,BE104*(1+BB$6))</f>
        <v/>
      </c>
      <c r="BC105" s="152">
        <f>MIN(BB105,BB$7)</f>
        <v/>
      </c>
      <c r="BD105" s="152">
        <f>MAX(0,MIN(BB105-BC105,CL105-(AZ105)))</f>
        <v/>
      </c>
      <c r="BE105" s="152">
        <f>BB105-BC105-BD105</f>
        <v/>
      </c>
      <c r="BF105" s="152">
        <f>IF(BI104&lt;=0.005,0,BI104*(1+BF$6))</f>
        <v/>
      </c>
      <c r="BG105" s="152">
        <f>MIN(BF105,BF$7)</f>
        <v/>
      </c>
      <c r="BH105" s="152">
        <f>MAX(0,MIN(BF105-BG105,CL105-(AZ105+BD105)))</f>
        <v/>
      </c>
      <c r="BI105" s="152">
        <f>BF105-BG105-BH105</f>
        <v/>
      </c>
      <c r="BJ105" s="152">
        <f>IF(BM104&lt;=0.005,0,BM104*(1+BJ$6))</f>
        <v/>
      </c>
      <c r="BK105" s="152">
        <f>MIN(BJ105,BJ$7)</f>
        <v/>
      </c>
      <c r="BL105" s="152">
        <f>MAX(0,MIN(BJ105-BK105,CL105-(AZ105+BD105+BH105)))</f>
        <v/>
      </c>
      <c r="BM105" s="152">
        <f>BJ105-BK105-BL105</f>
        <v/>
      </c>
      <c r="BN105" s="152">
        <f>IF(BQ104&lt;=0.005,0,BQ104*(1+BN$6))</f>
        <v/>
      </c>
      <c r="BO105" s="152">
        <f>MIN(BN105,BN$7)</f>
        <v/>
      </c>
      <c r="BP105" s="152">
        <f>MAX(0,MIN(BN105-BO105,CL105-(AZ105+BD105+BH105+BL105)))</f>
        <v/>
      </c>
      <c r="BQ105" s="152">
        <f>BN105-BO105-BP105</f>
        <v/>
      </c>
      <c r="BR105" s="152">
        <f>IF(BU104&lt;=0.005,0,BU104*(1+BR$6))</f>
        <v/>
      </c>
      <c r="BS105" s="152">
        <f>MIN(BR105,BR$7)</f>
        <v/>
      </c>
      <c r="BT105" s="152">
        <f>MAX(0,MIN(BR105-BS105,CL105-(AZ105+BD105+BH105+BL105+BP105)))</f>
        <v/>
      </c>
      <c r="BU105" s="152">
        <f>BR105-BS105-BT105</f>
        <v/>
      </c>
      <c r="BV105" s="152">
        <f>IF(BY104&lt;=0.005,0,BY104*(1+BV$6))</f>
        <v/>
      </c>
      <c r="BW105" s="152">
        <f>MIN(BV105,BV$7)</f>
        <v/>
      </c>
      <c r="BX105" s="152">
        <f>MAX(0,MIN(BV105-BW105,CL105-(AZ105+BD105+BH105+BL105+BP105+BT105)))</f>
        <v/>
      </c>
      <c r="BY105" s="152">
        <f>BV105-BW105-BX105</f>
        <v/>
      </c>
      <c r="BZ105" s="152">
        <f>IF(CC104&lt;=0.005,0,CC104*(1+BZ$6))</f>
        <v/>
      </c>
      <c r="CA105" s="152">
        <f>MIN(BZ105,BZ$7)</f>
        <v/>
      </c>
      <c r="CB105" s="152">
        <f>MAX(0,MIN(BZ105-CA105,CL105-(AZ105+BD105+BH105+BL105+BP105+BT105+BX105)))</f>
        <v/>
      </c>
      <c r="CC105" s="152">
        <f>BZ105-CA105-CB105</f>
        <v/>
      </c>
      <c r="CD105" s="152">
        <f>IF(CG104&lt;=0.005,0,CG104*(1+CD$6))</f>
        <v/>
      </c>
      <c r="CE105" s="152">
        <f>MIN(CD105,CD$7)</f>
        <v/>
      </c>
      <c r="CF105" s="152">
        <f>MAX(0,MIN(CD105-CE105,CL105-(AZ105+BD105+BH105+BL105+BP105+BT105+BX105+CB105)))</f>
        <v/>
      </c>
      <c r="CG105" s="152">
        <f>CD105-CE105-CF105</f>
        <v/>
      </c>
      <c r="CH105" s="152">
        <f>IF(CK104&lt;=0.005,0,CK104*(1+CH$6))</f>
        <v/>
      </c>
      <c r="CI105" s="152">
        <f>MIN(CH105,CH$7)</f>
        <v/>
      </c>
      <c r="CJ105" s="152">
        <f>MAX(0,MIN(CH105-CI105,CL105-(AZ105+BD105+BH105+BL105+BP105+BT105+BX105+CB105+CF105)))</f>
        <v/>
      </c>
      <c r="CK105" s="152">
        <f>CH105-CI105-CJ105</f>
        <v/>
      </c>
      <c r="CL105" s="152">
        <f>'Debt Payoff'!$C$8-SUM(AY105,BC105,BG105,BK105,BO105,BS105,BW105,CA105,CE105,CI105)</f>
        <v/>
      </c>
      <c r="CM105" s="152">
        <f>SUM(AY105,BC105,BG105,BK105,BO105,BS105,BW105,CA105,CE105,CI105)+SUM(AZ105,BD105,BH105,BL105,BP105,BT105,BX105,CB105,CF105,CJ105)</f>
        <v/>
      </c>
      <c r="CN105" s="152">
        <f>SUM(BA105,BE105,BI105,BM105,BQ105,BU105,BY105,CC105,CG105,CK105)</f>
        <v/>
      </c>
      <c r="CO105" s="152">
        <f>IF(AW105&gt;CN$6,NA(),AW105)</f>
        <v/>
      </c>
      <c r="CP105" s="152">
        <f>IF(AW105&gt;CN$6,NA(),CN105)</f>
        <v/>
      </c>
    </row>
    <row r="106">
      <c r="B106" s="152" t="n">
        <v>95</v>
      </c>
      <c r="C106" s="152">
        <f>IF(F105&lt;=0.005,0,F105*(1+C$6))</f>
        <v/>
      </c>
      <c r="D106" s="152">
        <f>MIN(C106,C$7)</f>
        <v/>
      </c>
      <c r="E106" s="152">
        <f>MAX(0,MIN(C106-D106,AQ106))</f>
        <v/>
      </c>
      <c r="F106" s="152">
        <f>C106-D106-E106</f>
        <v/>
      </c>
      <c r="G106" s="152">
        <f>IF(J105&lt;=0.005,0,J105*(1+G$6))</f>
        <v/>
      </c>
      <c r="H106" s="152">
        <f>MIN(G106,G$7)</f>
        <v/>
      </c>
      <c r="I106" s="152">
        <f>MAX(0,MIN(G106-H106,AQ106-(E106)))</f>
        <v/>
      </c>
      <c r="J106" s="152">
        <f>G106-H106-I106</f>
        <v/>
      </c>
      <c r="K106" s="152">
        <f>IF(N105&lt;=0.005,0,N105*(1+K$6))</f>
        <v/>
      </c>
      <c r="L106" s="152">
        <f>MIN(K106,K$7)</f>
        <v/>
      </c>
      <c r="M106" s="152">
        <f>MAX(0,MIN(K106-L106,AQ106-(E106+I106)))</f>
        <v/>
      </c>
      <c r="N106" s="152">
        <f>K106-L106-M106</f>
        <v/>
      </c>
      <c r="O106" s="152">
        <f>IF(R105&lt;=0.005,0,R105*(1+O$6))</f>
        <v/>
      </c>
      <c r="P106" s="152">
        <f>MIN(O106,O$7)</f>
        <v/>
      </c>
      <c r="Q106" s="152">
        <f>MAX(0,MIN(O106-P106,AQ106-(E106+I106+M106)))</f>
        <v/>
      </c>
      <c r="R106" s="152">
        <f>O106-P106-Q106</f>
        <v/>
      </c>
      <c r="S106" s="152">
        <f>IF(V105&lt;=0.005,0,V105*(1+S$6))</f>
        <v/>
      </c>
      <c r="T106" s="152">
        <f>MIN(S106,S$7)</f>
        <v/>
      </c>
      <c r="U106" s="152">
        <f>MAX(0,MIN(S106-T106,AQ106-(E106+I106+M106+Q106)))</f>
        <v/>
      </c>
      <c r="V106" s="152">
        <f>S106-T106-U106</f>
        <v/>
      </c>
      <c r="W106" s="152">
        <f>IF(Z105&lt;=0.005,0,Z105*(1+W$6))</f>
        <v/>
      </c>
      <c r="X106" s="152">
        <f>MIN(W106,W$7)</f>
        <v/>
      </c>
      <c r="Y106" s="152">
        <f>MAX(0,MIN(W106-X106,AQ106-(E106+I106+M106+Q106+U106)))</f>
        <v/>
      </c>
      <c r="Z106" s="152">
        <f>W106-X106-Y106</f>
        <v/>
      </c>
      <c r="AA106" s="152">
        <f>IF(AD105&lt;=0.005,0,AD105*(1+AA$6))</f>
        <v/>
      </c>
      <c r="AB106" s="152">
        <f>MIN(AA106,AA$7)</f>
        <v/>
      </c>
      <c r="AC106" s="152">
        <f>MAX(0,MIN(AA106-AB106,AQ106-(E106+I106+M106+Q106+U106+Y106)))</f>
        <v/>
      </c>
      <c r="AD106" s="152">
        <f>AA106-AB106-AC106</f>
        <v/>
      </c>
      <c r="AE106" s="152">
        <f>IF(AH105&lt;=0.005,0,AH105*(1+AE$6))</f>
        <v/>
      </c>
      <c r="AF106" s="152">
        <f>MIN(AE106,AE$7)</f>
        <v/>
      </c>
      <c r="AG106" s="152">
        <f>MAX(0,MIN(AE106-AF106,AQ106-(E106+I106+M106+Q106+U106+Y106+AC106)))</f>
        <v/>
      </c>
      <c r="AH106" s="152">
        <f>AE106-AF106-AG106</f>
        <v/>
      </c>
      <c r="AI106" s="152">
        <f>IF(AL105&lt;=0.005,0,AL105*(1+AI$6))</f>
        <v/>
      </c>
      <c r="AJ106" s="152">
        <f>MIN(AI106,AI$7)</f>
        <v/>
      </c>
      <c r="AK106" s="152">
        <f>MAX(0,MIN(AI106-AJ106,AQ106-(E106+I106+M106+Q106+U106+Y106+AC106+AG106)))</f>
        <v/>
      </c>
      <c r="AL106" s="152">
        <f>AI106-AJ106-AK106</f>
        <v/>
      </c>
      <c r="AM106" s="152">
        <f>IF(AP105&lt;=0.005,0,AP105*(1+AM$6))</f>
        <v/>
      </c>
      <c r="AN106" s="152">
        <f>MIN(AM106,AM$7)</f>
        <v/>
      </c>
      <c r="AO106" s="152">
        <f>MAX(0,MIN(AM106-AN106,AQ106-(E106+I106+M106+Q106+U106+Y106+AC106+AG106+AK106)))</f>
        <v/>
      </c>
      <c r="AP106" s="152">
        <f>AM106-AN106-AO106</f>
        <v/>
      </c>
      <c r="AQ106" s="152">
        <f>'Debt Payoff'!$C$8-SUM(D106,H106,L106,P106,T106,X106,AB106,AF106,AJ106,AN106)</f>
        <v/>
      </c>
      <c r="AR106" s="152">
        <f>SUM(D106,H106,L106,P106,T106,X106,AB106,AF106,AJ106,AN106)+SUM(E106,I106,M106,Q106,U106,Y106,AC106,AG106,AK106,AO106)</f>
        <v/>
      </c>
      <c r="AS106" s="152">
        <f>SUM(F106,J106,N106,R106,V106,Z106,AD106,AH106,AL106,AP106)</f>
        <v/>
      </c>
      <c r="AT106" s="152">
        <f>IF(B106&gt;AS$6,NA(),B106)</f>
        <v/>
      </c>
      <c r="AU106" s="152">
        <f>IF(B106&gt;AS$6,NA(),AS106)</f>
        <v/>
      </c>
      <c r="AV106" s="152" t="n"/>
      <c r="AW106" s="152" t="n">
        <v>95</v>
      </c>
      <c r="AX106" s="152">
        <f>IF(BA105&lt;=0.005,0,BA105*(1+AX$6))</f>
        <v/>
      </c>
      <c r="AY106" s="152">
        <f>MIN(AX106,AX$7)</f>
        <v/>
      </c>
      <c r="AZ106" s="152">
        <f>MAX(0,MIN(AX106-AY106,CL106))</f>
        <v/>
      </c>
      <c r="BA106" s="152">
        <f>AX106-AY106-AZ106</f>
        <v/>
      </c>
      <c r="BB106" s="152">
        <f>IF(BE105&lt;=0.005,0,BE105*(1+BB$6))</f>
        <v/>
      </c>
      <c r="BC106" s="152">
        <f>MIN(BB106,BB$7)</f>
        <v/>
      </c>
      <c r="BD106" s="152">
        <f>MAX(0,MIN(BB106-BC106,CL106-(AZ106)))</f>
        <v/>
      </c>
      <c r="BE106" s="152">
        <f>BB106-BC106-BD106</f>
        <v/>
      </c>
      <c r="BF106" s="152">
        <f>IF(BI105&lt;=0.005,0,BI105*(1+BF$6))</f>
        <v/>
      </c>
      <c r="BG106" s="152">
        <f>MIN(BF106,BF$7)</f>
        <v/>
      </c>
      <c r="BH106" s="152">
        <f>MAX(0,MIN(BF106-BG106,CL106-(AZ106+BD106)))</f>
        <v/>
      </c>
      <c r="BI106" s="152">
        <f>BF106-BG106-BH106</f>
        <v/>
      </c>
      <c r="BJ106" s="152">
        <f>IF(BM105&lt;=0.005,0,BM105*(1+BJ$6))</f>
        <v/>
      </c>
      <c r="BK106" s="152">
        <f>MIN(BJ106,BJ$7)</f>
        <v/>
      </c>
      <c r="BL106" s="152">
        <f>MAX(0,MIN(BJ106-BK106,CL106-(AZ106+BD106+BH106)))</f>
        <v/>
      </c>
      <c r="BM106" s="152">
        <f>BJ106-BK106-BL106</f>
        <v/>
      </c>
      <c r="BN106" s="152">
        <f>IF(BQ105&lt;=0.005,0,BQ105*(1+BN$6))</f>
        <v/>
      </c>
      <c r="BO106" s="152">
        <f>MIN(BN106,BN$7)</f>
        <v/>
      </c>
      <c r="BP106" s="152">
        <f>MAX(0,MIN(BN106-BO106,CL106-(AZ106+BD106+BH106+BL106)))</f>
        <v/>
      </c>
      <c r="BQ106" s="152">
        <f>BN106-BO106-BP106</f>
        <v/>
      </c>
      <c r="BR106" s="152">
        <f>IF(BU105&lt;=0.005,0,BU105*(1+BR$6))</f>
        <v/>
      </c>
      <c r="BS106" s="152">
        <f>MIN(BR106,BR$7)</f>
        <v/>
      </c>
      <c r="BT106" s="152">
        <f>MAX(0,MIN(BR106-BS106,CL106-(AZ106+BD106+BH106+BL106+BP106)))</f>
        <v/>
      </c>
      <c r="BU106" s="152">
        <f>BR106-BS106-BT106</f>
        <v/>
      </c>
      <c r="BV106" s="152">
        <f>IF(BY105&lt;=0.005,0,BY105*(1+BV$6))</f>
        <v/>
      </c>
      <c r="BW106" s="152">
        <f>MIN(BV106,BV$7)</f>
        <v/>
      </c>
      <c r="BX106" s="152">
        <f>MAX(0,MIN(BV106-BW106,CL106-(AZ106+BD106+BH106+BL106+BP106+BT106)))</f>
        <v/>
      </c>
      <c r="BY106" s="152">
        <f>BV106-BW106-BX106</f>
        <v/>
      </c>
      <c r="BZ106" s="152">
        <f>IF(CC105&lt;=0.005,0,CC105*(1+BZ$6))</f>
        <v/>
      </c>
      <c r="CA106" s="152">
        <f>MIN(BZ106,BZ$7)</f>
        <v/>
      </c>
      <c r="CB106" s="152">
        <f>MAX(0,MIN(BZ106-CA106,CL106-(AZ106+BD106+BH106+BL106+BP106+BT106+BX106)))</f>
        <v/>
      </c>
      <c r="CC106" s="152">
        <f>BZ106-CA106-CB106</f>
        <v/>
      </c>
      <c r="CD106" s="152">
        <f>IF(CG105&lt;=0.005,0,CG105*(1+CD$6))</f>
        <v/>
      </c>
      <c r="CE106" s="152">
        <f>MIN(CD106,CD$7)</f>
        <v/>
      </c>
      <c r="CF106" s="152">
        <f>MAX(0,MIN(CD106-CE106,CL106-(AZ106+BD106+BH106+BL106+BP106+BT106+BX106+CB106)))</f>
        <v/>
      </c>
      <c r="CG106" s="152">
        <f>CD106-CE106-CF106</f>
        <v/>
      </c>
      <c r="CH106" s="152">
        <f>IF(CK105&lt;=0.005,0,CK105*(1+CH$6))</f>
        <v/>
      </c>
      <c r="CI106" s="152">
        <f>MIN(CH106,CH$7)</f>
        <v/>
      </c>
      <c r="CJ106" s="152">
        <f>MAX(0,MIN(CH106-CI106,CL106-(AZ106+BD106+BH106+BL106+BP106+BT106+BX106+CB106+CF106)))</f>
        <v/>
      </c>
      <c r="CK106" s="152">
        <f>CH106-CI106-CJ106</f>
        <v/>
      </c>
      <c r="CL106" s="152">
        <f>'Debt Payoff'!$C$8-SUM(AY106,BC106,BG106,BK106,BO106,BS106,BW106,CA106,CE106,CI106)</f>
        <v/>
      </c>
      <c r="CM106" s="152">
        <f>SUM(AY106,BC106,BG106,BK106,BO106,BS106,BW106,CA106,CE106,CI106)+SUM(AZ106,BD106,BH106,BL106,BP106,BT106,BX106,CB106,CF106,CJ106)</f>
        <v/>
      </c>
      <c r="CN106" s="152">
        <f>SUM(BA106,BE106,BI106,BM106,BQ106,BU106,BY106,CC106,CG106,CK106)</f>
        <v/>
      </c>
      <c r="CO106" s="152">
        <f>IF(AW106&gt;CN$6,NA(),AW106)</f>
        <v/>
      </c>
      <c r="CP106" s="152">
        <f>IF(AW106&gt;CN$6,NA(),CN106)</f>
        <v/>
      </c>
    </row>
    <row r="107">
      <c r="B107" s="152" t="n">
        <v>96</v>
      </c>
      <c r="C107" s="152">
        <f>IF(F106&lt;=0.005,0,F106*(1+C$6))</f>
        <v/>
      </c>
      <c r="D107" s="152">
        <f>MIN(C107,C$7)</f>
        <v/>
      </c>
      <c r="E107" s="152">
        <f>MAX(0,MIN(C107-D107,AQ107))</f>
        <v/>
      </c>
      <c r="F107" s="152">
        <f>C107-D107-E107</f>
        <v/>
      </c>
      <c r="G107" s="152">
        <f>IF(J106&lt;=0.005,0,J106*(1+G$6))</f>
        <v/>
      </c>
      <c r="H107" s="152">
        <f>MIN(G107,G$7)</f>
        <v/>
      </c>
      <c r="I107" s="152">
        <f>MAX(0,MIN(G107-H107,AQ107-(E107)))</f>
        <v/>
      </c>
      <c r="J107" s="152">
        <f>G107-H107-I107</f>
        <v/>
      </c>
      <c r="K107" s="152">
        <f>IF(N106&lt;=0.005,0,N106*(1+K$6))</f>
        <v/>
      </c>
      <c r="L107" s="152">
        <f>MIN(K107,K$7)</f>
        <v/>
      </c>
      <c r="M107" s="152">
        <f>MAX(0,MIN(K107-L107,AQ107-(E107+I107)))</f>
        <v/>
      </c>
      <c r="N107" s="152">
        <f>K107-L107-M107</f>
        <v/>
      </c>
      <c r="O107" s="152">
        <f>IF(R106&lt;=0.005,0,R106*(1+O$6))</f>
        <v/>
      </c>
      <c r="P107" s="152">
        <f>MIN(O107,O$7)</f>
        <v/>
      </c>
      <c r="Q107" s="152">
        <f>MAX(0,MIN(O107-P107,AQ107-(E107+I107+M107)))</f>
        <v/>
      </c>
      <c r="R107" s="152">
        <f>O107-P107-Q107</f>
        <v/>
      </c>
      <c r="S107" s="152">
        <f>IF(V106&lt;=0.005,0,V106*(1+S$6))</f>
        <v/>
      </c>
      <c r="T107" s="152">
        <f>MIN(S107,S$7)</f>
        <v/>
      </c>
      <c r="U107" s="152">
        <f>MAX(0,MIN(S107-T107,AQ107-(E107+I107+M107+Q107)))</f>
        <v/>
      </c>
      <c r="V107" s="152">
        <f>S107-T107-U107</f>
        <v/>
      </c>
      <c r="W107" s="152">
        <f>IF(Z106&lt;=0.005,0,Z106*(1+W$6))</f>
        <v/>
      </c>
      <c r="X107" s="152">
        <f>MIN(W107,W$7)</f>
        <v/>
      </c>
      <c r="Y107" s="152">
        <f>MAX(0,MIN(W107-X107,AQ107-(E107+I107+M107+Q107+U107)))</f>
        <v/>
      </c>
      <c r="Z107" s="152">
        <f>W107-X107-Y107</f>
        <v/>
      </c>
      <c r="AA107" s="152">
        <f>IF(AD106&lt;=0.005,0,AD106*(1+AA$6))</f>
        <v/>
      </c>
      <c r="AB107" s="152">
        <f>MIN(AA107,AA$7)</f>
        <v/>
      </c>
      <c r="AC107" s="152">
        <f>MAX(0,MIN(AA107-AB107,AQ107-(E107+I107+M107+Q107+U107+Y107)))</f>
        <v/>
      </c>
      <c r="AD107" s="152">
        <f>AA107-AB107-AC107</f>
        <v/>
      </c>
      <c r="AE107" s="152">
        <f>IF(AH106&lt;=0.005,0,AH106*(1+AE$6))</f>
        <v/>
      </c>
      <c r="AF107" s="152">
        <f>MIN(AE107,AE$7)</f>
        <v/>
      </c>
      <c r="AG107" s="152">
        <f>MAX(0,MIN(AE107-AF107,AQ107-(E107+I107+M107+Q107+U107+Y107+AC107)))</f>
        <v/>
      </c>
      <c r="AH107" s="152">
        <f>AE107-AF107-AG107</f>
        <v/>
      </c>
      <c r="AI107" s="152">
        <f>IF(AL106&lt;=0.005,0,AL106*(1+AI$6))</f>
        <v/>
      </c>
      <c r="AJ107" s="152">
        <f>MIN(AI107,AI$7)</f>
        <v/>
      </c>
      <c r="AK107" s="152">
        <f>MAX(0,MIN(AI107-AJ107,AQ107-(E107+I107+M107+Q107+U107+Y107+AC107+AG107)))</f>
        <v/>
      </c>
      <c r="AL107" s="152">
        <f>AI107-AJ107-AK107</f>
        <v/>
      </c>
      <c r="AM107" s="152">
        <f>IF(AP106&lt;=0.005,0,AP106*(1+AM$6))</f>
        <v/>
      </c>
      <c r="AN107" s="152">
        <f>MIN(AM107,AM$7)</f>
        <v/>
      </c>
      <c r="AO107" s="152">
        <f>MAX(0,MIN(AM107-AN107,AQ107-(E107+I107+M107+Q107+U107+Y107+AC107+AG107+AK107)))</f>
        <v/>
      </c>
      <c r="AP107" s="152">
        <f>AM107-AN107-AO107</f>
        <v/>
      </c>
      <c r="AQ107" s="152">
        <f>'Debt Payoff'!$C$8-SUM(D107,H107,L107,P107,T107,X107,AB107,AF107,AJ107,AN107)</f>
        <v/>
      </c>
      <c r="AR107" s="152">
        <f>SUM(D107,H107,L107,P107,T107,X107,AB107,AF107,AJ107,AN107)+SUM(E107,I107,M107,Q107,U107,Y107,AC107,AG107,AK107,AO107)</f>
        <v/>
      </c>
      <c r="AS107" s="152">
        <f>SUM(F107,J107,N107,R107,V107,Z107,AD107,AH107,AL107,AP107)</f>
        <v/>
      </c>
      <c r="AT107" s="152">
        <f>IF(B107&gt;AS$6,NA(),B107)</f>
        <v/>
      </c>
      <c r="AU107" s="152">
        <f>IF(B107&gt;AS$6,NA(),AS107)</f>
        <v/>
      </c>
      <c r="AV107" s="152" t="n"/>
      <c r="AW107" s="152" t="n">
        <v>96</v>
      </c>
      <c r="AX107" s="152">
        <f>IF(BA106&lt;=0.005,0,BA106*(1+AX$6))</f>
        <v/>
      </c>
      <c r="AY107" s="152">
        <f>MIN(AX107,AX$7)</f>
        <v/>
      </c>
      <c r="AZ107" s="152">
        <f>MAX(0,MIN(AX107-AY107,CL107))</f>
        <v/>
      </c>
      <c r="BA107" s="152">
        <f>AX107-AY107-AZ107</f>
        <v/>
      </c>
      <c r="BB107" s="152">
        <f>IF(BE106&lt;=0.005,0,BE106*(1+BB$6))</f>
        <v/>
      </c>
      <c r="BC107" s="152">
        <f>MIN(BB107,BB$7)</f>
        <v/>
      </c>
      <c r="BD107" s="152">
        <f>MAX(0,MIN(BB107-BC107,CL107-(AZ107)))</f>
        <v/>
      </c>
      <c r="BE107" s="152">
        <f>BB107-BC107-BD107</f>
        <v/>
      </c>
      <c r="BF107" s="152">
        <f>IF(BI106&lt;=0.005,0,BI106*(1+BF$6))</f>
        <v/>
      </c>
      <c r="BG107" s="152">
        <f>MIN(BF107,BF$7)</f>
        <v/>
      </c>
      <c r="BH107" s="152">
        <f>MAX(0,MIN(BF107-BG107,CL107-(AZ107+BD107)))</f>
        <v/>
      </c>
      <c r="BI107" s="152">
        <f>BF107-BG107-BH107</f>
        <v/>
      </c>
      <c r="BJ107" s="152">
        <f>IF(BM106&lt;=0.005,0,BM106*(1+BJ$6))</f>
        <v/>
      </c>
      <c r="BK107" s="152">
        <f>MIN(BJ107,BJ$7)</f>
        <v/>
      </c>
      <c r="BL107" s="152">
        <f>MAX(0,MIN(BJ107-BK107,CL107-(AZ107+BD107+BH107)))</f>
        <v/>
      </c>
      <c r="BM107" s="152">
        <f>BJ107-BK107-BL107</f>
        <v/>
      </c>
      <c r="BN107" s="152">
        <f>IF(BQ106&lt;=0.005,0,BQ106*(1+BN$6))</f>
        <v/>
      </c>
      <c r="BO107" s="152">
        <f>MIN(BN107,BN$7)</f>
        <v/>
      </c>
      <c r="BP107" s="152">
        <f>MAX(0,MIN(BN107-BO107,CL107-(AZ107+BD107+BH107+BL107)))</f>
        <v/>
      </c>
      <c r="BQ107" s="152">
        <f>BN107-BO107-BP107</f>
        <v/>
      </c>
      <c r="BR107" s="152">
        <f>IF(BU106&lt;=0.005,0,BU106*(1+BR$6))</f>
        <v/>
      </c>
      <c r="BS107" s="152">
        <f>MIN(BR107,BR$7)</f>
        <v/>
      </c>
      <c r="BT107" s="152">
        <f>MAX(0,MIN(BR107-BS107,CL107-(AZ107+BD107+BH107+BL107+BP107)))</f>
        <v/>
      </c>
      <c r="BU107" s="152">
        <f>BR107-BS107-BT107</f>
        <v/>
      </c>
      <c r="BV107" s="152">
        <f>IF(BY106&lt;=0.005,0,BY106*(1+BV$6))</f>
        <v/>
      </c>
      <c r="BW107" s="152">
        <f>MIN(BV107,BV$7)</f>
        <v/>
      </c>
      <c r="BX107" s="152">
        <f>MAX(0,MIN(BV107-BW107,CL107-(AZ107+BD107+BH107+BL107+BP107+BT107)))</f>
        <v/>
      </c>
      <c r="BY107" s="152">
        <f>BV107-BW107-BX107</f>
        <v/>
      </c>
      <c r="BZ107" s="152">
        <f>IF(CC106&lt;=0.005,0,CC106*(1+BZ$6))</f>
        <v/>
      </c>
      <c r="CA107" s="152">
        <f>MIN(BZ107,BZ$7)</f>
        <v/>
      </c>
      <c r="CB107" s="152">
        <f>MAX(0,MIN(BZ107-CA107,CL107-(AZ107+BD107+BH107+BL107+BP107+BT107+BX107)))</f>
        <v/>
      </c>
      <c r="CC107" s="152">
        <f>BZ107-CA107-CB107</f>
        <v/>
      </c>
      <c r="CD107" s="152">
        <f>IF(CG106&lt;=0.005,0,CG106*(1+CD$6))</f>
        <v/>
      </c>
      <c r="CE107" s="152">
        <f>MIN(CD107,CD$7)</f>
        <v/>
      </c>
      <c r="CF107" s="152">
        <f>MAX(0,MIN(CD107-CE107,CL107-(AZ107+BD107+BH107+BL107+BP107+BT107+BX107+CB107)))</f>
        <v/>
      </c>
      <c r="CG107" s="152">
        <f>CD107-CE107-CF107</f>
        <v/>
      </c>
      <c r="CH107" s="152">
        <f>IF(CK106&lt;=0.005,0,CK106*(1+CH$6))</f>
        <v/>
      </c>
      <c r="CI107" s="152">
        <f>MIN(CH107,CH$7)</f>
        <v/>
      </c>
      <c r="CJ107" s="152">
        <f>MAX(0,MIN(CH107-CI107,CL107-(AZ107+BD107+BH107+BL107+BP107+BT107+BX107+CB107+CF107)))</f>
        <v/>
      </c>
      <c r="CK107" s="152">
        <f>CH107-CI107-CJ107</f>
        <v/>
      </c>
      <c r="CL107" s="152">
        <f>'Debt Payoff'!$C$8-SUM(AY107,BC107,BG107,BK107,BO107,BS107,BW107,CA107,CE107,CI107)</f>
        <v/>
      </c>
      <c r="CM107" s="152">
        <f>SUM(AY107,BC107,BG107,BK107,BO107,BS107,BW107,CA107,CE107,CI107)+SUM(AZ107,BD107,BH107,BL107,BP107,BT107,BX107,CB107,CF107,CJ107)</f>
        <v/>
      </c>
      <c r="CN107" s="152">
        <f>SUM(BA107,BE107,BI107,BM107,BQ107,BU107,BY107,CC107,CG107,CK107)</f>
        <v/>
      </c>
      <c r="CO107" s="152">
        <f>IF(AW107&gt;CN$6,NA(),AW107)</f>
        <v/>
      </c>
      <c r="CP107" s="152">
        <f>IF(AW107&gt;CN$6,NA(),CN107)</f>
        <v/>
      </c>
    </row>
    <row r="108">
      <c r="B108" s="152" t="n">
        <v>97</v>
      </c>
      <c r="C108" s="152">
        <f>IF(F107&lt;=0.005,0,F107*(1+C$6))</f>
        <v/>
      </c>
      <c r="D108" s="152">
        <f>MIN(C108,C$7)</f>
        <v/>
      </c>
      <c r="E108" s="152">
        <f>MAX(0,MIN(C108-D108,AQ108))</f>
        <v/>
      </c>
      <c r="F108" s="152">
        <f>C108-D108-E108</f>
        <v/>
      </c>
      <c r="G108" s="152">
        <f>IF(J107&lt;=0.005,0,J107*(1+G$6))</f>
        <v/>
      </c>
      <c r="H108" s="152">
        <f>MIN(G108,G$7)</f>
        <v/>
      </c>
      <c r="I108" s="152">
        <f>MAX(0,MIN(G108-H108,AQ108-(E108)))</f>
        <v/>
      </c>
      <c r="J108" s="152">
        <f>G108-H108-I108</f>
        <v/>
      </c>
      <c r="K108" s="152">
        <f>IF(N107&lt;=0.005,0,N107*(1+K$6))</f>
        <v/>
      </c>
      <c r="L108" s="152">
        <f>MIN(K108,K$7)</f>
        <v/>
      </c>
      <c r="M108" s="152">
        <f>MAX(0,MIN(K108-L108,AQ108-(E108+I108)))</f>
        <v/>
      </c>
      <c r="N108" s="152">
        <f>K108-L108-M108</f>
        <v/>
      </c>
      <c r="O108" s="152">
        <f>IF(R107&lt;=0.005,0,R107*(1+O$6))</f>
        <v/>
      </c>
      <c r="P108" s="152">
        <f>MIN(O108,O$7)</f>
        <v/>
      </c>
      <c r="Q108" s="152">
        <f>MAX(0,MIN(O108-P108,AQ108-(E108+I108+M108)))</f>
        <v/>
      </c>
      <c r="R108" s="152">
        <f>O108-P108-Q108</f>
        <v/>
      </c>
      <c r="S108" s="152">
        <f>IF(V107&lt;=0.005,0,V107*(1+S$6))</f>
        <v/>
      </c>
      <c r="T108" s="152">
        <f>MIN(S108,S$7)</f>
        <v/>
      </c>
      <c r="U108" s="152">
        <f>MAX(0,MIN(S108-T108,AQ108-(E108+I108+M108+Q108)))</f>
        <v/>
      </c>
      <c r="V108" s="152">
        <f>S108-T108-U108</f>
        <v/>
      </c>
      <c r="W108" s="152">
        <f>IF(Z107&lt;=0.005,0,Z107*(1+W$6))</f>
        <v/>
      </c>
      <c r="X108" s="152">
        <f>MIN(W108,W$7)</f>
        <v/>
      </c>
      <c r="Y108" s="152">
        <f>MAX(0,MIN(W108-X108,AQ108-(E108+I108+M108+Q108+U108)))</f>
        <v/>
      </c>
      <c r="Z108" s="152">
        <f>W108-X108-Y108</f>
        <v/>
      </c>
      <c r="AA108" s="152">
        <f>IF(AD107&lt;=0.005,0,AD107*(1+AA$6))</f>
        <v/>
      </c>
      <c r="AB108" s="152">
        <f>MIN(AA108,AA$7)</f>
        <v/>
      </c>
      <c r="AC108" s="152">
        <f>MAX(0,MIN(AA108-AB108,AQ108-(E108+I108+M108+Q108+U108+Y108)))</f>
        <v/>
      </c>
      <c r="AD108" s="152">
        <f>AA108-AB108-AC108</f>
        <v/>
      </c>
      <c r="AE108" s="152">
        <f>IF(AH107&lt;=0.005,0,AH107*(1+AE$6))</f>
        <v/>
      </c>
      <c r="AF108" s="152">
        <f>MIN(AE108,AE$7)</f>
        <v/>
      </c>
      <c r="AG108" s="152">
        <f>MAX(0,MIN(AE108-AF108,AQ108-(E108+I108+M108+Q108+U108+Y108+AC108)))</f>
        <v/>
      </c>
      <c r="AH108" s="152">
        <f>AE108-AF108-AG108</f>
        <v/>
      </c>
      <c r="AI108" s="152">
        <f>IF(AL107&lt;=0.005,0,AL107*(1+AI$6))</f>
        <v/>
      </c>
      <c r="AJ108" s="152">
        <f>MIN(AI108,AI$7)</f>
        <v/>
      </c>
      <c r="AK108" s="152">
        <f>MAX(0,MIN(AI108-AJ108,AQ108-(E108+I108+M108+Q108+U108+Y108+AC108+AG108)))</f>
        <v/>
      </c>
      <c r="AL108" s="152">
        <f>AI108-AJ108-AK108</f>
        <v/>
      </c>
      <c r="AM108" s="152">
        <f>IF(AP107&lt;=0.005,0,AP107*(1+AM$6))</f>
        <v/>
      </c>
      <c r="AN108" s="152">
        <f>MIN(AM108,AM$7)</f>
        <v/>
      </c>
      <c r="AO108" s="152">
        <f>MAX(0,MIN(AM108-AN108,AQ108-(E108+I108+M108+Q108+U108+Y108+AC108+AG108+AK108)))</f>
        <v/>
      </c>
      <c r="AP108" s="152">
        <f>AM108-AN108-AO108</f>
        <v/>
      </c>
      <c r="AQ108" s="152">
        <f>'Debt Payoff'!$C$8-SUM(D108,H108,L108,P108,T108,X108,AB108,AF108,AJ108,AN108)</f>
        <v/>
      </c>
      <c r="AR108" s="152">
        <f>SUM(D108,H108,L108,P108,T108,X108,AB108,AF108,AJ108,AN108)+SUM(E108,I108,M108,Q108,U108,Y108,AC108,AG108,AK108,AO108)</f>
        <v/>
      </c>
      <c r="AS108" s="152">
        <f>SUM(F108,J108,N108,R108,V108,Z108,AD108,AH108,AL108,AP108)</f>
        <v/>
      </c>
      <c r="AT108" s="152">
        <f>IF(B108&gt;AS$6,NA(),B108)</f>
        <v/>
      </c>
      <c r="AU108" s="152">
        <f>IF(B108&gt;AS$6,NA(),AS108)</f>
        <v/>
      </c>
      <c r="AV108" s="152" t="n"/>
      <c r="AW108" s="152" t="n">
        <v>97</v>
      </c>
      <c r="AX108" s="152">
        <f>IF(BA107&lt;=0.005,0,BA107*(1+AX$6))</f>
        <v/>
      </c>
      <c r="AY108" s="152">
        <f>MIN(AX108,AX$7)</f>
        <v/>
      </c>
      <c r="AZ108" s="152">
        <f>MAX(0,MIN(AX108-AY108,CL108))</f>
        <v/>
      </c>
      <c r="BA108" s="152">
        <f>AX108-AY108-AZ108</f>
        <v/>
      </c>
      <c r="BB108" s="152">
        <f>IF(BE107&lt;=0.005,0,BE107*(1+BB$6))</f>
        <v/>
      </c>
      <c r="BC108" s="152">
        <f>MIN(BB108,BB$7)</f>
        <v/>
      </c>
      <c r="BD108" s="152">
        <f>MAX(0,MIN(BB108-BC108,CL108-(AZ108)))</f>
        <v/>
      </c>
      <c r="BE108" s="152">
        <f>BB108-BC108-BD108</f>
        <v/>
      </c>
      <c r="BF108" s="152">
        <f>IF(BI107&lt;=0.005,0,BI107*(1+BF$6))</f>
        <v/>
      </c>
      <c r="BG108" s="152">
        <f>MIN(BF108,BF$7)</f>
        <v/>
      </c>
      <c r="BH108" s="152">
        <f>MAX(0,MIN(BF108-BG108,CL108-(AZ108+BD108)))</f>
        <v/>
      </c>
      <c r="BI108" s="152">
        <f>BF108-BG108-BH108</f>
        <v/>
      </c>
      <c r="BJ108" s="152">
        <f>IF(BM107&lt;=0.005,0,BM107*(1+BJ$6))</f>
        <v/>
      </c>
      <c r="BK108" s="152">
        <f>MIN(BJ108,BJ$7)</f>
        <v/>
      </c>
      <c r="BL108" s="152">
        <f>MAX(0,MIN(BJ108-BK108,CL108-(AZ108+BD108+BH108)))</f>
        <v/>
      </c>
      <c r="BM108" s="152">
        <f>BJ108-BK108-BL108</f>
        <v/>
      </c>
      <c r="BN108" s="152">
        <f>IF(BQ107&lt;=0.005,0,BQ107*(1+BN$6))</f>
        <v/>
      </c>
      <c r="BO108" s="152">
        <f>MIN(BN108,BN$7)</f>
        <v/>
      </c>
      <c r="BP108" s="152">
        <f>MAX(0,MIN(BN108-BO108,CL108-(AZ108+BD108+BH108+BL108)))</f>
        <v/>
      </c>
      <c r="BQ108" s="152">
        <f>BN108-BO108-BP108</f>
        <v/>
      </c>
      <c r="BR108" s="152">
        <f>IF(BU107&lt;=0.005,0,BU107*(1+BR$6))</f>
        <v/>
      </c>
      <c r="BS108" s="152">
        <f>MIN(BR108,BR$7)</f>
        <v/>
      </c>
      <c r="BT108" s="152">
        <f>MAX(0,MIN(BR108-BS108,CL108-(AZ108+BD108+BH108+BL108+BP108)))</f>
        <v/>
      </c>
      <c r="BU108" s="152">
        <f>BR108-BS108-BT108</f>
        <v/>
      </c>
      <c r="BV108" s="152">
        <f>IF(BY107&lt;=0.005,0,BY107*(1+BV$6))</f>
        <v/>
      </c>
      <c r="BW108" s="152">
        <f>MIN(BV108,BV$7)</f>
        <v/>
      </c>
      <c r="BX108" s="152">
        <f>MAX(0,MIN(BV108-BW108,CL108-(AZ108+BD108+BH108+BL108+BP108+BT108)))</f>
        <v/>
      </c>
      <c r="BY108" s="152">
        <f>BV108-BW108-BX108</f>
        <v/>
      </c>
      <c r="BZ108" s="152">
        <f>IF(CC107&lt;=0.005,0,CC107*(1+BZ$6))</f>
        <v/>
      </c>
      <c r="CA108" s="152">
        <f>MIN(BZ108,BZ$7)</f>
        <v/>
      </c>
      <c r="CB108" s="152">
        <f>MAX(0,MIN(BZ108-CA108,CL108-(AZ108+BD108+BH108+BL108+BP108+BT108+BX108)))</f>
        <v/>
      </c>
      <c r="CC108" s="152">
        <f>BZ108-CA108-CB108</f>
        <v/>
      </c>
      <c r="CD108" s="152">
        <f>IF(CG107&lt;=0.005,0,CG107*(1+CD$6))</f>
        <v/>
      </c>
      <c r="CE108" s="152">
        <f>MIN(CD108,CD$7)</f>
        <v/>
      </c>
      <c r="CF108" s="152">
        <f>MAX(0,MIN(CD108-CE108,CL108-(AZ108+BD108+BH108+BL108+BP108+BT108+BX108+CB108)))</f>
        <v/>
      </c>
      <c r="CG108" s="152">
        <f>CD108-CE108-CF108</f>
        <v/>
      </c>
      <c r="CH108" s="152">
        <f>IF(CK107&lt;=0.005,0,CK107*(1+CH$6))</f>
        <v/>
      </c>
      <c r="CI108" s="152">
        <f>MIN(CH108,CH$7)</f>
        <v/>
      </c>
      <c r="CJ108" s="152">
        <f>MAX(0,MIN(CH108-CI108,CL108-(AZ108+BD108+BH108+BL108+BP108+BT108+BX108+CB108+CF108)))</f>
        <v/>
      </c>
      <c r="CK108" s="152">
        <f>CH108-CI108-CJ108</f>
        <v/>
      </c>
      <c r="CL108" s="152">
        <f>'Debt Payoff'!$C$8-SUM(AY108,BC108,BG108,BK108,BO108,BS108,BW108,CA108,CE108,CI108)</f>
        <v/>
      </c>
      <c r="CM108" s="152">
        <f>SUM(AY108,BC108,BG108,BK108,BO108,BS108,BW108,CA108,CE108,CI108)+SUM(AZ108,BD108,BH108,BL108,BP108,BT108,BX108,CB108,CF108,CJ108)</f>
        <v/>
      </c>
      <c r="CN108" s="152">
        <f>SUM(BA108,BE108,BI108,BM108,BQ108,BU108,BY108,CC108,CG108,CK108)</f>
        <v/>
      </c>
      <c r="CO108" s="152">
        <f>IF(AW108&gt;CN$6,NA(),AW108)</f>
        <v/>
      </c>
      <c r="CP108" s="152">
        <f>IF(AW108&gt;CN$6,NA(),CN108)</f>
        <v/>
      </c>
    </row>
    <row r="109">
      <c r="B109" s="152" t="n">
        <v>98</v>
      </c>
      <c r="C109" s="152">
        <f>IF(F108&lt;=0.005,0,F108*(1+C$6))</f>
        <v/>
      </c>
      <c r="D109" s="152">
        <f>MIN(C109,C$7)</f>
        <v/>
      </c>
      <c r="E109" s="152">
        <f>MAX(0,MIN(C109-D109,AQ109))</f>
        <v/>
      </c>
      <c r="F109" s="152">
        <f>C109-D109-E109</f>
        <v/>
      </c>
      <c r="G109" s="152">
        <f>IF(J108&lt;=0.005,0,J108*(1+G$6))</f>
        <v/>
      </c>
      <c r="H109" s="152">
        <f>MIN(G109,G$7)</f>
        <v/>
      </c>
      <c r="I109" s="152">
        <f>MAX(0,MIN(G109-H109,AQ109-(E109)))</f>
        <v/>
      </c>
      <c r="J109" s="152">
        <f>G109-H109-I109</f>
        <v/>
      </c>
      <c r="K109" s="152">
        <f>IF(N108&lt;=0.005,0,N108*(1+K$6))</f>
        <v/>
      </c>
      <c r="L109" s="152">
        <f>MIN(K109,K$7)</f>
        <v/>
      </c>
      <c r="M109" s="152">
        <f>MAX(0,MIN(K109-L109,AQ109-(E109+I109)))</f>
        <v/>
      </c>
      <c r="N109" s="152">
        <f>K109-L109-M109</f>
        <v/>
      </c>
      <c r="O109" s="152">
        <f>IF(R108&lt;=0.005,0,R108*(1+O$6))</f>
        <v/>
      </c>
      <c r="P109" s="152">
        <f>MIN(O109,O$7)</f>
        <v/>
      </c>
      <c r="Q109" s="152">
        <f>MAX(0,MIN(O109-P109,AQ109-(E109+I109+M109)))</f>
        <v/>
      </c>
      <c r="R109" s="152">
        <f>O109-P109-Q109</f>
        <v/>
      </c>
      <c r="S109" s="152">
        <f>IF(V108&lt;=0.005,0,V108*(1+S$6))</f>
        <v/>
      </c>
      <c r="T109" s="152">
        <f>MIN(S109,S$7)</f>
        <v/>
      </c>
      <c r="U109" s="152">
        <f>MAX(0,MIN(S109-T109,AQ109-(E109+I109+M109+Q109)))</f>
        <v/>
      </c>
      <c r="V109" s="152">
        <f>S109-T109-U109</f>
        <v/>
      </c>
      <c r="W109" s="152">
        <f>IF(Z108&lt;=0.005,0,Z108*(1+W$6))</f>
        <v/>
      </c>
      <c r="X109" s="152">
        <f>MIN(W109,W$7)</f>
        <v/>
      </c>
      <c r="Y109" s="152">
        <f>MAX(0,MIN(W109-X109,AQ109-(E109+I109+M109+Q109+U109)))</f>
        <v/>
      </c>
      <c r="Z109" s="152">
        <f>W109-X109-Y109</f>
        <v/>
      </c>
      <c r="AA109" s="152">
        <f>IF(AD108&lt;=0.005,0,AD108*(1+AA$6))</f>
        <v/>
      </c>
      <c r="AB109" s="152">
        <f>MIN(AA109,AA$7)</f>
        <v/>
      </c>
      <c r="AC109" s="152">
        <f>MAX(0,MIN(AA109-AB109,AQ109-(E109+I109+M109+Q109+U109+Y109)))</f>
        <v/>
      </c>
      <c r="AD109" s="152">
        <f>AA109-AB109-AC109</f>
        <v/>
      </c>
      <c r="AE109" s="152">
        <f>IF(AH108&lt;=0.005,0,AH108*(1+AE$6))</f>
        <v/>
      </c>
      <c r="AF109" s="152">
        <f>MIN(AE109,AE$7)</f>
        <v/>
      </c>
      <c r="AG109" s="152">
        <f>MAX(0,MIN(AE109-AF109,AQ109-(E109+I109+M109+Q109+U109+Y109+AC109)))</f>
        <v/>
      </c>
      <c r="AH109" s="152">
        <f>AE109-AF109-AG109</f>
        <v/>
      </c>
      <c r="AI109" s="152">
        <f>IF(AL108&lt;=0.005,0,AL108*(1+AI$6))</f>
        <v/>
      </c>
      <c r="AJ109" s="152">
        <f>MIN(AI109,AI$7)</f>
        <v/>
      </c>
      <c r="AK109" s="152">
        <f>MAX(0,MIN(AI109-AJ109,AQ109-(E109+I109+M109+Q109+U109+Y109+AC109+AG109)))</f>
        <v/>
      </c>
      <c r="AL109" s="152">
        <f>AI109-AJ109-AK109</f>
        <v/>
      </c>
      <c r="AM109" s="152">
        <f>IF(AP108&lt;=0.005,0,AP108*(1+AM$6))</f>
        <v/>
      </c>
      <c r="AN109" s="152">
        <f>MIN(AM109,AM$7)</f>
        <v/>
      </c>
      <c r="AO109" s="152">
        <f>MAX(0,MIN(AM109-AN109,AQ109-(E109+I109+M109+Q109+U109+Y109+AC109+AG109+AK109)))</f>
        <v/>
      </c>
      <c r="AP109" s="152">
        <f>AM109-AN109-AO109</f>
        <v/>
      </c>
      <c r="AQ109" s="152">
        <f>'Debt Payoff'!$C$8-SUM(D109,H109,L109,P109,T109,X109,AB109,AF109,AJ109,AN109)</f>
        <v/>
      </c>
      <c r="AR109" s="152">
        <f>SUM(D109,H109,L109,P109,T109,X109,AB109,AF109,AJ109,AN109)+SUM(E109,I109,M109,Q109,U109,Y109,AC109,AG109,AK109,AO109)</f>
        <v/>
      </c>
      <c r="AS109" s="152">
        <f>SUM(F109,J109,N109,R109,V109,Z109,AD109,AH109,AL109,AP109)</f>
        <v/>
      </c>
      <c r="AT109" s="152">
        <f>IF(B109&gt;AS$6,NA(),B109)</f>
        <v/>
      </c>
      <c r="AU109" s="152">
        <f>IF(B109&gt;AS$6,NA(),AS109)</f>
        <v/>
      </c>
      <c r="AV109" s="152" t="n"/>
      <c r="AW109" s="152" t="n">
        <v>98</v>
      </c>
      <c r="AX109" s="152">
        <f>IF(BA108&lt;=0.005,0,BA108*(1+AX$6))</f>
        <v/>
      </c>
      <c r="AY109" s="152">
        <f>MIN(AX109,AX$7)</f>
        <v/>
      </c>
      <c r="AZ109" s="152">
        <f>MAX(0,MIN(AX109-AY109,CL109))</f>
        <v/>
      </c>
      <c r="BA109" s="152">
        <f>AX109-AY109-AZ109</f>
        <v/>
      </c>
      <c r="BB109" s="152">
        <f>IF(BE108&lt;=0.005,0,BE108*(1+BB$6))</f>
        <v/>
      </c>
      <c r="BC109" s="152">
        <f>MIN(BB109,BB$7)</f>
        <v/>
      </c>
      <c r="BD109" s="152">
        <f>MAX(0,MIN(BB109-BC109,CL109-(AZ109)))</f>
        <v/>
      </c>
      <c r="BE109" s="152">
        <f>BB109-BC109-BD109</f>
        <v/>
      </c>
      <c r="BF109" s="152">
        <f>IF(BI108&lt;=0.005,0,BI108*(1+BF$6))</f>
        <v/>
      </c>
      <c r="BG109" s="152">
        <f>MIN(BF109,BF$7)</f>
        <v/>
      </c>
      <c r="BH109" s="152">
        <f>MAX(0,MIN(BF109-BG109,CL109-(AZ109+BD109)))</f>
        <v/>
      </c>
      <c r="BI109" s="152">
        <f>BF109-BG109-BH109</f>
        <v/>
      </c>
      <c r="BJ109" s="152">
        <f>IF(BM108&lt;=0.005,0,BM108*(1+BJ$6))</f>
        <v/>
      </c>
      <c r="BK109" s="152">
        <f>MIN(BJ109,BJ$7)</f>
        <v/>
      </c>
      <c r="BL109" s="152">
        <f>MAX(0,MIN(BJ109-BK109,CL109-(AZ109+BD109+BH109)))</f>
        <v/>
      </c>
      <c r="BM109" s="152">
        <f>BJ109-BK109-BL109</f>
        <v/>
      </c>
      <c r="BN109" s="152">
        <f>IF(BQ108&lt;=0.005,0,BQ108*(1+BN$6))</f>
        <v/>
      </c>
      <c r="BO109" s="152">
        <f>MIN(BN109,BN$7)</f>
        <v/>
      </c>
      <c r="BP109" s="152">
        <f>MAX(0,MIN(BN109-BO109,CL109-(AZ109+BD109+BH109+BL109)))</f>
        <v/>
      </c>
      <c r="BQ109" s="152">
        <f>BN109-BO109-BP109</f>
        <v/>
      </c>
      <c r="BR109" s="152">
        <f>IF(BU108&lt;=0.005,0,BU108*(1+BR$6))</f>
        <v/>
      </c>
      <c r="BS109" s="152">
        <f>MIN(BR109,BR$7)</f>
        <v/>
      </c>
      <c r="BT109" s="152">
        <f>MAX(0,MIN(BR109-BS109,CL109-(AZ109+BD109+BH109+BL109+BP109)))</f>
        <v/>
      </c>
      <c r="BU109" s="152">
        <f>BR109-BS109-BT109</f>
        <v/>
      </c>
      <c r="BV109" s="152">
        <f>IF(BY108&lt;=0.005,0,BY108*(1+BV$6))</f>
        <v/>
      </c>
      <c r="BW109" s="152">
        <f>MIN(BV109,BV$7)</f>
        <v/>
      </c>
      <c r="BX109" s="152">
        <f>MAX(0,MIN(BV109-BW109,CL109-(AZ109+BD109+BH109+BL109+BP109+BT109)))</f>
        <v/>
      </c>
      <c r="BY109" s="152">
        <f>BV109-BW109-BX109</f>
        <v/>
      </c>
      <c r="BZ109" s="152">
        <f>IF(CC108&lt;=0.005,0,CC108*(1+BZ$6))</f>
        <v/>
      </c>
      <c r="CA109" s="152">
        <f>MIN(BZ109,BZ$7)</f>
        <v/>
      </c>
      <c r="CB109" s="152">
        <f>MAX(0,MIN(BZ109-CA109,CL109-(AZ109+BD109+BH109+BL109+BP109+BT109+BX109)))</f>
        <v/>
      </c>
      <c r="CC109" s="152">
        <f>BZ109-CA109-CB109</f>
        <v/>
      </c>
      <c r="CD109" s="152">
        <f>IF(CG108&lt;=0.005,0,CG108*(1+CD$6))</f>
        <v/>
      </c>
      <c r="CE109" s="152">
        <f>MIN(CD109,CD$7)</f>
        <v/>
      </c>
      <c r="CF109" s="152">
        <f>MAX(0,MIN(CD109-CE109,CL109-(AZ109+BD109+BH109+BL109+BP109+BT109+BX109+CB109)))</f>
        <v/>
      </c>
      <c r="CG109" s="152">
        <f>CD109-CE109-CF109</f>
        <v/>
      </c>
      <c r="CH109" s="152">
        <f>IF(CK108&lt;=0.005,0,CK108*(1+CH$6))</f>
        <v/>
      </c>
      <c r="CI109" s="152">
        <f>MIN(CH109,CH$7)</f>
        <v/>
      </c>
      <c r="CJ109" s="152">
        <f>MAX(0,MIN(CH109-CI109,CL109-(AZ109+BD109+BH109+BL109+BP109+BT109+BX109+CB109+CF109)))</f>
        <v/>
      </c>
      <c r="CK109" s="152">
        <f>CH109-CI109-CJ109</f>
        <v/>
      </c>
      <c r="CL109" s="152">
        <f>'Debt Payoff'!$C$8-SUM(AY109,BC109,BG109,BK109,BO109,BS109,BW109,CA109,CE109,CI109)</f>
        <v/>
      </c>
      <c r="CM109" s="152">
        <f>SUM(AY109,BC109,BG109,BK109,BO109,BS109,BW109,CA109,CE109,CI109)+SUM(AZ109,BD109,BH109,BL109,BP109,BT109,BX109,CB109,CF109,CJ109)</f>
        <v/>
      </c>
      <c r="CN109" s="152">
        <f>SUM(BA109,BE109,BI109,BM109,BQ109,BU109,BY109,CC109,CG109,CK109)</f>
        <v/>
      </c>
      <c r="CO109" s="152">
        <f>IF(AW109&gt;CN$6,NA(),AW109)</f>
        <v/>
      </c>
      <c r="CP109" s="152">
        <f>IF(AW109&gt;CN$6,NA(),CN109)</f>
        <v/>
      </c>
    </row>
    <row r="110">
      <c r="B110" s="152" t="n">
        <v>99</v>
      </c>
      <c r="C110" s="152">
        <f>IF(F109&lt;=0.005,0,F109*(1+C$6))</f>
        <v/>
      </c>
      <c r="D110" s="152">
        <f>MIN(C110,C$7)</f>
        <v/>
      </c>
      <c r="E110" s="152">
        <f>MAX(0,MIN(C110-D110,AQ110))</f>
        <v/>
      </c>
      <c r="F110" s="152">
        <f>C110-D110-E110</f>
        <v/>
      </c>
      <c r="G110" s="152">
        <f>IF(J109&lt;=0.005,0,J109*(1+G$6))</f>
        <v/>
      </c>
      <c r="H110" s="152">
        <f>MIN(G110,G$7)</f>
        <v/>
      </c>
      <c r="I110" s="152">
        <f>MAX(0,MIN(G110-H110,AQ110-(E110)))</f>
        <v/>
      </c>
      <c r="J110" s="152">
        <f>G110-H110-I110</f>
        <v/>
      </c>
      <c r="K110" s="152">
        <f>IF(N109&lt;=0.005,0,N109*(1+K$6))</f>
        <v/>
      </c>
      <c r="L110" s="152">
        <f>MIN(K110,K$7)</f>
        <v/>
      </c>
      <c r="M110" s="152">
        <f>MAX(0,MIN(K110-L110,AQ110-(E110+I110)))</f>
        <v/>
      </c>
      <c r="N110" s="152">
        <f>K110-L110-M110</f>
        <v/>
      </c>
      <c r="O110" s="152">
        <f>IF(R109&lt;=0.005,0,R109*(1+O$6))</f>
        <v/>
      </c>
      <c r="P110" s="152">
        <f>MIN(O110,O$7)</f>
        <v/>
      </c>
      <c r="Q110" s="152">
        <f>MAX(0,MIN(O110-P110,AQ110-(E110+I110+M110)))</f>
        <v/>
      </c>
      <c r="R110" s="152">
        <f>O110-P110-Q110</f>
        <v/>
      </c>
      <c r="S110" s="152">
        <f>IF(V109&lt;=0.005,0,V109*(1+S$6))</f>
        <v/>
      </c>
      <c r="T110" s="152">
        <f>MIN(S110,S$7)</f>
        <v/>
      </c>
      <c r="U110" s="152">
        <f>MAX(0,MIN(S110-T110,AQ110-(E110+I110+M110+Q110)))</f>
        <v/>
      </c>
      <c r="V110" s="152">
        <f>S110-T110-U110</f>
        <v/>
      </c>
      <c r="W110" s="152">
        <f>IF(Z109&lt;=0.005,0,Z109*(1+W$6))</f>
        <v/>
      </c>
      <c r="X110" s="152">
        <f>MIN(W110,W$7)</f>
        <v/>
      </c>
      <c r="Y110" s="152">
        <f>MAX(0,MIN(W110-X110,AQ110-(E110+I110+M110+Q110+U110)))</f>
        <v/>
      </c>
      <c r="Z110" s="152">
        <f>W110-X110-Y110</f>
        <v/>
      </c>
      <c r="AA110" s="152">
        <f>IF(AD109&lt;=0.005,0,AD109*(1+AA$6))</f>
        <v/>
      </c>
      <c r="AB110" s="152">
        <f>MIN(AA110,AA$7)</f>
        <v/>
      </c>
      <c r="AC110" s="152">
        <f>MAX(0,MIN(AA110-AB110,AQ110-(E110+I110+M110+Q110+U110+Y110)))</f>
        <v/>
      </c>
      <c r="AD110" s="152">
        <f>AA110-AB110-AC110</f>
        <v/>
      </c>
      <c r="AE110" s="152">
        <f>IF(AH109&lt;=0.005,0,AH109*(1+AE$6))</f>
        <v/>
      </c>
      <c r="AF110" s="152">
        <f>MIN(AE110,AE$7)</f>
        <v/>
      </c>
      <c r="AG110" s="152">
        <f>MAX(0,MIN(AE110-AF110,AQ110-(E110+I110+M110+Q110+U110+Y110+AC110)))</f>
        <v/>
      </c>
      <c r="AH110" s="152">
        <f>AE110-AF110-AG110</f>
        <v/>
      </c>
      <c r="AI110" s="152">
        <f>IF(AL109&lt;=0.005,0,AL109*(1+AI$6))</f>
        <v/>
      </c>
      <c r="AJ110" s="152">
        <f>MIN(AI110,AI$7)</f>
        <v/>
      </c>
      <c r="AK110" s="152">
        <f>MAX(0,MIN(AI110-AJ110,AQ110-(E110+I110+M110+Q110+U110+Y110+AC110+AG110)))</f>
        <v/>
      </c>
      <c r="AL110" s="152">
        <f>AI110-AJ110-AK110</f>
        <v/>
      </c>
      <c r="AM110" s="152">
        <f>IF(AP109&lt;=0.005,0,AP109*(1+AM$6))</f>
        <v/>
      </c>
      <c r="AN110" s="152">
        <f>MIN(AM110,AM$7)</f>
        <v/>
      </c>
      <c r="AO110" s="152">
        <f>MAX(0,MIN(AM110-AN110,AQ110-(E110+I110+M110+Q110+U110+Y110+AC110+AG110+AK110)))</f>
        <v/>
      </c>
      <c r="AP110" s="152">
        <f>AM110-AN110-AO110</f>
        <v/>
      </c>
      <c r="AQ110" s="152">
        <f>'Debt Payoff'!$C$8-SUM(D110,H110,L110,P110,T110,X110,AB110,AF110,AJ110,AN110)</f>
        <v/>
      </c>
      <c r="AR110" s="152">
        <f>SUM(D110,H110,L110,P110,T110,X110,AB110,AF110,AJ110,AN110)+SUM(E110,I110,M110,Q110,U110,Y110,AC110,AG110,AK110,AO110)</f>
        <v/>
      </c>
      <c r="AS110" s="152">
        <f>SUM(F110,J110,N110,R110,V110,Z110,AD110,AH110,AL110,AP110)</f>
        <v/>
      </c>
      <c r="AT110" s="152">
        <f>IF(B110&gt;AS$6,NA(),B110)</f>
        <v/>
      </c>
      <c r="AU110" s="152">
        <f>IF(B110&gt;AS$6,NA(),AS110)</f>
        <v/>
      </c>
      <c r="AV110" s="152" t="n"/>
      <c r="AW110" s="152" t="n">
        <v>99</v>
      </c>
      <c r="AX110" s="152">
        <f>IF(BA109&lt;=0.005,0,BA109*(1+AX$6))</f>
        <v/>
      </c>
      <c r="AY110" s="152">
        <f>MIN(AX110,AX$7)</f>
        <v/>
      </c>
      <c r="AZ110" s="152">
        <f>MAX(0,MIN(AX110-AY110,CL110))</f>
        <v/>
      </c>
      <c r="BA110" s="152">
        <f>AX110-AY110-AZ110</f>
        <v/>
      </c>
      <c r="BB110" s="152">
        <f>IF(BE109&lt;=0.005,0,BE109*(1+BB$6))</f>
        <v/>
      </c>
      <c r="BC110" s="152">
        <f>MIN(BB110,BB$7)</f>
        <v/>
      </c>
      <c r="BD110" s="152">
        <f>MAX(0,MIN(BB110-BC110,CL110-(AZ110)))</f>
        <v/>
      </c>
      <c r="BE110" s="152">
        <f>BB110-BC110-BD110</f>
        <v/>
      </c>
      <c r="BF110" s="152">
        <f>IF(BI109&lt;=0.005,0,BI109*(1+BF$6))</f>
        <v/>
      </c>
      <c r="BG110" s="152">
        <f>MIN(BF110,BF$7)</f>
        <v/>
      </c>
      <c r="BH110" s="152">
        <f>MAX(0,MIN(BF110-BG110,CL110-(AZ110+BD110)))</f>
        <v/>
      </c>
      <c r="BI110" s="152">
        <f>BF110-BG110-BH110</f>
        <v/>
      </c>
      <c r="BJ110" s="152">
        <f>IF(BM109&lt;=0.005,0,BM109*(1+BJ$6))</f>
        <v/>
      </c>
      <c r="BK110" s="152">
        <f>MIN(BJ110,BJ$7)</f>
        <v/>
      </c>
      <c r="BL110" s="152">
        <f>MAX(0,MIN(BJ110-BK110,CL110-(AZ110+BD110+BH110)))</f>
        <v/>
      </c>
      <c r="BM110" s="152">
        <f>BJ110-BK110-BL110</f>
        <v/>
      </c>
      <c r="BN110" s="152">
        <f>IF(BQ109&lt;=0.005,0,BQ109*(1+BN$6))</f>
        <v/>
      </c>
      <c r="BO110" s="152">
        <f>MIN(BN110,BN$7)</f>
        <v/>
      </c>
      <c r="BP110" s="152">
        <f>MAX(0,MIN(BN110-BO110,CL110-(AZ110+BD110+BH110+BL110)))</f>
        <v/>
      </c>
      <c r="BQ110" s="152">
        <f>BN110-BO110-BP110</f>
        <v/>
      </c>
      <c r="BR110" s="152">
        <f>IF(BU109&lt;=0.005,0,BU109*(1+BR$6))</f>
        <v/>
      </c>
      <c r="BS110" s="152">
        <f>MIN(BR110,BR$7)</f>
        <v/>
      </c>
      <c r="BT110" s="152">
        <f>MAX(0,MIN(BR110-BS110,CL110-(AZ110+BD110+BH110+BL110+BP110)))</f>
        <v/>
      </c>
      <c r="BU110" s="152">
        <f>BR110-BS110-BT110</f>
        <v/>
      </c>
      <c r="BV110" s="152">
        <f>IF(BY109&lt;=0.005,0,BY109*(1+BV$6))</f>
        <v/>
      </c>
      <c r="BW110" s="152">
        <f>MIN(BV110,BV$7)</f>
        <v/>
      </c>
      <c r="BX110" s="152">
        <f>MAX(0,MIN(BV110-BW110,CL110-(AZ110+BD110+BH110+BL110+BP110+BT110)))</f>
        <v/>
      </c>
      <c r="BY110" s="152">
        <f>BV110-BW110-BX110</f>
        <v/>
      </c>
      <c r="BZ110" s="152">
        <f>IF(CC109&lt;=0.005,0,CC109*(1+BZ$6))</f>
        <v/>
      </c>
      <c r="CA110" s="152">
        <f>MIN(BZ110,BZ$7)</f>
        <v/>
      </c>
      <c r="CB110" s="152">
        <f>MAX(0,MIN(BZ110-CA110,CL110-(AZ110+BD110+BH110+BL110+BP110+BT110+BX110)))</f>
        <v/>
      </c>
      <c r="CC110" s="152">
        <f>BZ110-CA110-CB110</f>
        <v/>
      </c>
      <c r="CD110" s="152">
        <f>IF(CG109&lt;=0.005,0,CG109*(1+CD$6))</f>
        <v/>
      </c>
      <c r="CE110" s="152">
        <f>MIN(CD110,CD$7)</f>
        <v/>
      </c>
      <c r="CF110" s="152">
        <f>MAX(0,MIN(CD110-CE110,CL110-(AZ110+BD110+BH110+BL110+BP110+BT110+BX110+CB110)))</f>
        <v/>
      </c>
      <c r="CG110" s="152">
        <f>CD110-CE110-CF110</f>
        <v/>
      </c>
      <c r="CH110" s="152">
        <f>IF(CK109&lt;=0.005,0,CK109*(1+CH$6))</f>
        <v/>
      </c>
      <c r="CI110" s="152">
        <f>MIN(CH110,CH$7)</f>
        <v/>
      </c>
      <c r="CJ110" s="152">
        <f>MAX(0,MIN(CH110-CI110,CL110-(AZ110+BD110+BH110+BL110+BP110+BT110+BX110+CB110+CF110)))</f>
        <v/>
      </c>
      <c r="CK110" s="152">
        <f>CH110-CI110-CJ110</f>
        <v/>
      </c>
      <c r="CL110" s="152">
        <f>'Debt Payoff'!$C$8-SUM(AY110,BC110,BG110,BK110,BO110,BS110,BW110,CA110,CE110,CI110)</f>
        <v/>
      </c>
      <c r="CM110" s="152">
        <f>SUM(AY110,BC110,BG110,BK110,BO110,BS110,BW110,CA110,CE110,CI110)+SUM(AZ110,BD110,BH110,BL110,BP110,BT110,BX110,CB110,CF110,CJ110)</f>
        <v/>
      </c>
      <c r="CN110" s="152">
        <f>SUM(BA110,BE110,BI110,BM110,BQ110,BU110,BY110,CC110,CG110,CK110)</f>
        <v/>
      </c>
      <c r="CO110" s="152">
        <f>IF(AW110&gt;CN$6,NA(),AW110)</f>
        <v/>
      </c>
      <c r="CP110" s="152">
        <f>IF(AW110&gt;CN$6,NA(),CN110)</f>
        <v/>
      </c>
    </row>
    <row r="111">
      <c r="B111" s="152" t="n">
        <v>100</v>
      </c>
      <c r="C111" s="152">
        <f>IF(F110&lt;=0.005,0,F110*(1+C$6))</f>
        <v/>
      </c>
      <c r="D111" s="152">
        <f>MIN(C111,C$7)</f>
        <v/>
      </c>
      <c r="E111" s="152">
        <f>MAX(0,MIN(C111-D111,AQ111))</f>
        <v/>
      </c>
      <c r="F111" s="152">
        <f>C111-D111-E111</f>
        <v/>
      </c>
      <c r="G111" s="152">
        <f>IF(J110&lt;=0.005,0,J110*(1+G$6))</f>
        <v/>
      </c>
      <c r="H111" s="152">
        <f>MIN(G111,G$7)</f>
        <v/>
      </c>
      <c r="I111" s="152">
        <f>MAX(0,MIN(G111-H111,AQ111-(E111)))</f>
        <v/>
      </c>
      <c r="J111" s="152">
        <f>G111-H111-I111</f>
        <v/>
      </c>
      <c r="K111" s="152">
        <f>IF(N110&lt;=0.005,0,N110*(1+K$6))</f>
        <v/>
      </c>
      <c r="L111" s="152">
        <f>MIN(K111,K$7)</f>
        <v/>
      </c>
      <c r="M111" s="152">
        <f>MAX(0,MIN(K111-L111,AQ111-(E111+I111)))</f>
        <v/>
      </c>
      <c r="N111" s="152">
        <f>K111-L111-M111</f>
        <v/>
      </c>
      <c r="O111" s="152">
        <f>IF(R110&lt;=0.005,0,R110*(1+O$6))</f>
        <v/>
      </c>
      <c r="P111" s="152">
        <f>MIN(O111,O$7)</f>
        <v/>
      </c>
      <c r="Q111" s="152">
        <f>MAX(0,MIN(O111-P111,AQ111-(E111+I111+M111)))</f>
        <v/>
      </c>
      <c r="R111" s="152">
        <f>O111-P111-Q111</f>
        <v/>
      </c>
      <c r="S111" s="152">
        <f>IF(V110&lt;=0.005,0,V110*(1+S$6))</f>
        <v/>
      </c>
      <c r="T111" s="152">
        <f>MIN(S111,S$7)</f>
        <v/>
      </c>
      <c r="U111" s="152">
        <f>MAX(0,MIN(S111-T111,AQ111-(E111+I111+M111+Q111)))</f>
        <v/>
      </c>
      <c r="V111" s="152">
        <f>S111-T111-U111</f>
        <v/>
      </c>
      <c r="W111" s="152">
        <f>IF(Z110&lt;=0.005,0,Z110*(1+W$6))</f>
        <v/>
      </c>
      <c r="X111" s="152">
        <f>MIN(W111,W$7)</f>
        <v/>
      </c>
      <c r="Y111" s="152">
        <f>MAX(0,MIN(W111-X111,AQ111-(E111+I111+M111+Q111+U111)))</f>
        <v/>
      </c>
      <c r="Z111" s="152">
        <f>W111-X111-Y111</f>
        <v/>
      </c>
      <c r="AA111" s="152">
        <f>IF(AD110&lt;=0.005,0,AD110*(1+AA$6))</f>
        <v/>
      </c>
      <c r="AB111" s="152">
        <f>MIN(AA111,AA$7)</f>
        <v/>
      </c>
      <c r="AC111" s="152">
        <f>MAX(0,MIN(AA111-AB111,AQ111-(E111+I111+M111+Q111+U111+Y111)))</f>
        <v/>
      </c>
      <c r="AD111" s="152">
        <f>AA111-AB111-AC111</f>
        <v/>
      </c>
      <c r="AE111" s="152">
        <f>IF(AH110&lt;=0.005,0,AH110*(1+AE$6))</f>
        <v/>
      </c>
      <c r="AF111" s="152">
        <f>MIN(AE111,AE$7)</f>
        <v/>
      </c>
      <c r="AG111" s="152">
        <f>MAX(0,MIN(AE111-AF111,AQ111-(E111+I111+M111+Q111+U111+Y111+AC111)))</f>
        <v/>
      </c>
      <c r="AH111" s="152">
        <f>AE111-AF111-AG111</f>
        <v/>
      </c>
      <c r="AI111" s="152">
        <f>IF(AL110&lt;=0.005,0,AL110*(1+AI$6))</f>
        <v/>
      </c>
      <c r="AJ111" s="152">
        <f>MIN(AI111,AI$7)</f>
        <v/>
      </c>
      <c r="AK111" s="152">
        <f>MAX(0,MIN(AI111-AJ111,AQ111-(E111+I111+M111+Q111+U111+Y111+AC111+AG111)))</f>
        <v/>
      </c>
      <c r="AL111" s="152">
        <f>AI111-AJ111-AK111</f>
        <v/>
      </c>
      <c r="AM111" s="152">
        <f>IF(AP110&lt;=0.005,0,AP110*(1+AM$6))</f>
        <v/>
      </c>
      <c r="AN111" s="152">
        <f>MIN(AM111,AM$7)</f>
        <v/>
      </c>
      <c r="AO111" s="152">
        <f>MAX(0,MIN(AM111-AN111,AQ111-(E111+I111+M111+Q111+U111+Y111+AC111+AG111+AK111)))</f>
        <v/>
      </c>
      <c r="AP111" s="152">
        <f>AM111-AN111-AO111</f>
        <v/>
      </c>
      <c r="AQ111" s="152">
        <f>'Debt Payoff'!$C$8-SUM(D111,H111,L111,P111,T111,X111,AB111,AF111,AJ111,AN111)</f>
        <v/>
      </c>
      <c r="AR111" s="152">
        <f>SUM(D111,H111,L111,P111,T111,X111,AB111,AF111,AJ111,AN111)+SUM(E111,I111,M111,Q111,U111,Y111,AC111,AG111,AK111,AO111)</f>
        <v/>
      </c>
      <c r="AS111" s="152">
        <f>SUM(F111,J111,N111,R111,V111,Z111,AD111,AH111,AL111,AP111)</f>
        <v/>
      </c>
      <c r="AT111" s="152">
        <f>IF(B111&gt;AS$6,NA(),B111)</f>
        <v/>
      </c>
      <c r="AU111" s="152">
        <f>IF(B111&gt;AS$6,NA(),AS111)</f>
        <v/>
      </c>
      <c r="AV111" s="152" t="n"/>
      <c r="AW111" s="152" t="n">
        <v>100</v>
      </c>
      <c r="AX111" s="152">
        <f>IF(BA110&lt;=0.005,0,BA110*(1+AX$6))</f>
        <v/>
      </c>
      <c r="AY111" s="152">
        <f>MIN(AX111,AX$7)</f>
        <v/>
      </c>
      <c r="AZ111" s="152">
        <f>MAX(0,MIN(AX111-AY111,CL111))</f>
        <v/>
      </c>
      <c r="BA111" s="152">
        <f>AX111-AY111-AZ111</f>
        <v/>
      </c>
      <c r="BB111" s="152">
        <f>IF(BE110&lt;=0.005,0,BE110*(1+BB$6))</f>
        <v/>
      </c>
      <c r="BC111" s="152">
        <f>MIN(BB111,BB$7)</f>
        <v/>
      </c>
      <c r="BD111" s="152">
        <f>MAX(0,MIN(BB111-BC111,CL111-(AZ111)))</f>
        <v/>
      </c>
      <c r="BE111" s="152">
        <f>BB111-BC111-BD111</f>
        <v/>
      </c>
      <c r="BF111" s="152">
        <f>IF(BI110&lt;=0.005,0,BI110*(1+BF$6))</f>
        <v/>
      </c>
      <c r="BG111" s="152">
        <f>MIN(BF111,BF$7)</f>
        <v/>
      </c>
      <c r="BH111" s="152">
        <f>MAX(0,MIN(BF111-BG111,CL111-(AZ111+BD111)))</f>
        <v/>
      </c>
      <c r="BI111" s="152">
        <f>BF111-BG111-BH111</f>
        <v/>
      </c>
      <c r="BJ111" s="152">
        <f>IF(BM110&lt;=0.005,0,BM110*(1+BJ$6))</f>
        <v/>
      </c>
      <c r="BK111" s="152">
        <f>MIN(BJ111,BJ$7)</f>
        <v/>
      </c>
      <c r="BL111" s="152">
        <f>MAX(0,MIN(BJ111-BK111,CL111-(AZ111+BD111+BH111)))</f>
        <v/>
      </c>
      <c r="BM111" s="152">
        <f>BJ111-BK111-BL111</f>
        <v/>
      </c>
      <c r="BN111" s="152">
        <f>IF(BQ110&lt;=0.005,0,BQ110*(1+BN$6))</f>
        <v/>
      </c>
      <c r="BO111" s="152">
        <f>MIN(BN111,BN$7)</f>
        <v/>
      </c>
      <c r="BP111" s="152">
        <f>MAX(0,MIN(BN111-BO111,CL111-(AZ111+BD111+BH111+BL111)))</f>
        <v/>
      </c>
      <c r="BQ111" s="152">
        <f>BN111-BO111-BP111</f>
        <v/>
      </c>
      <c r="BR111" s="152">
        <f>IF(BU110&lt;=0.005,0,BU110*(1+BR$6))</f>
        <v/>
      </c>
      <c r="BS111" s="152">
        <f>MIN(BR111,BR$7)</f>
        <v/>
      </c>
      <c r="BT111" s="152">
        <f>MAX(0,MIN(BR111-BS111,CL111-(AZ111+BD111+BH111+BL111+BP111)))</f>
        <v/>
      </c>
      <c r="BU111" s="152">
        <f>BR111-BS111-BT111</f>
        <v/>
      </c>
      <c r="BV111" s="152">
        <f>IF(BY110&lt;=0.005,0,BY110*(1+BV$6))</f>
        <v/>
      </c>
      <c r="BW111" s="152">
        <f>MIN(BV111,BV$7)</f>
        <v/>
      </c>
      <c r="BX111" s="152">
        <f>MAX(0,MIN(BV111-BW111,CL111-(AZ111+BD111+BH111+BL111+BP111+BT111)))</f>
        <v/>
      </c>
      <c r="BY111" s="152">
        <f>BV111-BW111-BX111</f>
        <v/>
      </c>
      <c r="BZ111" s="152">
        <f>IF(CC110&lt;=0.005,0,CC110*(1+BZ$6))</f>
        <v/>
      </c>
      <c r="CA111" s="152">
        <f>MIN(BZ111,BZ$7)</f>
        <v/>
      </c>
      <c r="CB111" s="152">
        <f>MAX(0,MIN(BZ111-CA111,CL111-(AZ111+BD111+BH111+BL111+BP111+BT111+BX111)))</f>
        <v/>
      </c>
      <c r="CC111" s="152">
        <f>BZ111-CA111-CB111</f>
        <v/>
      </c>
      <c r="CD111" s="152">
        <f>IF(CG110&lt;=0.005,0,CG110*(1+CD$6))</f>
        <v/>
      </c>
      <c r="CE111" s="152">
        <f>MIN(CD111,CD$7)</f>
        <v/>
      </c>
      <c r="CF111" s="152">
        <f>MAX(0,MIN(CD111-CE111,CL111-(AZ111+BD111+BH111+BL111+BP111+BT111+BX111+CB111)))</f>
        <v/>
      </c>
      <c r="CG111" s="152">
        <f>CD111-CE111-CF111</f>
        <v/>
      </c>
      <c r="CH111" s="152">
        <f>IF(CK110&lt;=0.005,0,CK110*(1+CH$6))</f>
        <v/>
      </c>
      <c r="CI111" s="152">
        <f>MIN(CH111,CH$7)</f>
        <v/>
      </c>
      <c r="CJ111" s="152">
        <f>MAX(0,MIN(CH111-CI111,CL111-(AZ111+BD111+BH111+BL111+BP111+BT111+BX111+CB111+CF111)))</f>
        <v/>
      </c>
      <c r="CK111" s="152">
        <f>CH111-CI111-CJ111</f>
        <v/>
      </c>
      <c r="CL111" s="152">
        <f>'Debt Payoff'!$C$8-SUM(AY111,BC111,BG111,BK111,BO111,BS111,BW111,CA111,CE111,CI111)</f>
        <v/>
      </c>
      <c r="CM111" s="152">
        <f>SUM(AY111,BC111,BG111,BK111,BO111,BS111,BW111,CA111,CE111,CI111)+SUM(AZ111,BD111,BH111,BL111,BP111,BT111,BX111,CB111,CF111,CJ111)</f>
        <v/>
      </c>
      <c r="CN111" s="152">
        <f>SUM(BA111,BE111,BI111,BM111,BQ111,BU111,BY111,CC111,CG111,CK111)</f>
        <v/>
      </c>
      <c r="CO111" s="152">
        <f>IF(AW111&gt;CN$6,NA(),AW111)</f>
        <v/>
      </c>
      <c r="CP111" s="152">
        <f>IF(AW111&gt;CN$6,NA(),CN111)</f>
        <v/>
      </c>
    </row>
    <row r="112">
      <c r="B112" s="152" t="n">
        <v>101</v>
      </c>
      <c r="C112" s="152">
        <f>IF(F111&lt;=0.005,0,F111*(1+C$6))</f>
        <v/>
      </c>
      <c r="D112" s="152">
        <f>MIN(C112,C$7)</f>
        <v/>
      </c>
      <c r="E112" s="152">
        <f>MAX(0,MIN(C112-D112,AQ112))</f>
        <v/>
      </c>
      <c r="F112" s="152">
        <f>C112-D112-E112</f>
        <v/>
      </c>
      <c r="G112" s="152">
        <f>IF(J111&lt;=0.005,0,J111*(1+G$6))</f>
        <v/>
      </c>
      <c r="H112" s="152">
        <f>MIN(G112,G$7)</f>
        <v/>
      </c>
      <c r="I112" s="152">
        <f>MAX(0,MIN(G112-H112,AQ112-(E112)))</f>
        <v/>
      </c>
      <c r="J112" s="152">
        <f>G112-H112-I112</f>
        <v/>
      </c>
      <c r="K112" s="152">
        <f>IF(N111&lt;=0.005,0,N111*(1+K$6))</f>
        <v/>
      </c>
      <c r="L112" s="152">
        <f>MIN(K112,K$7)</f>
        <v/>
      </c>
      <c r="M112" s="152">
        <f>MAX(0,MIN(K112-L112,AQ112-(E112+I112)))</f>
        <v/>
      </c>
      <c r="N112" s="152">
        <f>K112-L112-M112</f>
        <v/>
      </c>
      <c r="O112" s="152">
        <f>IF(R111&lt;=0.005,0,R111*(1+O$6))</f>
        <v/>
      </c>
      <c r="P112" s="152">
        <f>MIN(O112,O$7)</f>
        <v/>
      </c>
      <c r="Q112" s="152">
        <f>MAX(0,MIN(O112-P112,AQ112-(E112+I112+M112)))</f>
        <v/>
      </c>
      <c r="R112" s="152">
        <f>O112-P112-Q112</f>
        <v/>
      </c>
      <c r="S112" s="152">
        <f>IF(V111&lt;=0.005,0,V111*(1+S$6))</f>
        <v/>
      </c>
      <c r="T112" s="152">
        <f>MIN(S112,S$7)</f>
        <v/>
      </c>
      <c r="U112" s="152">
        <f>MAX(0,MIN(S112-T112,AQ112-(E112+I112+M112+Q112)))</f>
        <v/>
      </c>
      <c r="V112" s="152">
        <f>S112-T112-U112</f>
        <v/>
      </c>
      <c r="W112" s="152">
        <f>IF(Z111&lt;=0.005,0,Z111*(1+W$6))</f>
        <v/>
      </c>
      <c r="X112" s="152">
        <f>MIN(W112,W$7)</f>
        <v/>
      </c>
      <c r="Y112" s="152">
        <f>MAX(0,MIN(W112-X112,AQ112-(E112+I112+M112+Q112+U112)))</f>
        <v/>
      </c>
      <c r="Z112" s="152">
        <f>W112-X112-Y112</f>
        <v/>
      </c>
      <c r="AA112" s="152">
        <f>IF(AD111&lt;=0.005,0,AD111*(1+AA$6))</f>
        <v/>
      </c>
      <c r="AB112" s="152">
        <f>MIN(AA112,AA$7)</f>
        <v/>
      </c>
      <c r="AC112" s="152">
        <f>MAX(0,MIN(AA112-AB112,AQ112-(E112+I112+M112+Q112+U112+Y112)))</f>
        <v/>
      </c>
      <c r="AD112" s="152">
        <f>AA112-AB112-AC112</f>
        <v/>
      </c>
      <c r="AE112" s="152">
        <f>IF(AH111&lt;=0.005,0,AH111*(1+AE$6))</f>
        <v/>
      </c>
      <c r="AF112" s="152">
        <f>MIN(AE112,AE$7)</f>
        <v/>
      </c>
      <c r="AG112" s="152">
        <f>MAX(0,MIN(AE112-AF112,AQ112-(E112+I112+M112+Q112+U112+Y112+AC112)))</f>
        <v/>
      </c>
      <c r="AH112" s="152">
        <f>AE112-AF112-AG112</f>
        <v/>
      </c>
      <c r="AI112" s="152">
        <f>IF(AL111&lt;=0.005,0,AL111*(1+AI$6))</f>
        <v/>
      </c>
      <c r="AJ112" s="152">
        <f>MIN(AI112,AI$7)</f>
        <v/>
      </c>
      <c r="AK112" s="152">
        <f>MAX(0,MIN(AI112-AJ112,AQ112-(E112+I112+M112+Q112+U112+Y112+AC112+AG112)))</f>
        <v/>
      </c>
      <c r="AL112" s="152">
        <f>AI112-AJ112-AK112</f>
        <v/>
      </c>
      <c r="AM112" s="152">
        <f>IF(AP111&lt;=0.005,0,AP111*(1+AM$6))</f>
        <v/>
      </c>
      <c r="AN112" s="152">
        <f>MIN(AM112,AM$7)</f>
        <v/>
      </c>
      <c r="AO112" s="152">
        <f>MAX(0,MIN(AM112-AN112,AQ112-(E112+I112+M112+Q112+U112+Y112+AC112+AG112+AK112)))</f>
        <v/>
      </c>
      <c r="AP112" s="152">
        <f>AM112-AN112-AO112</f>
        <v/>
      </c>
      <c r="AQ112" s="152">
        <f>'Debt Payoff'!$C$8-SUM(D112,H112,L112,P112,T112,X112,AB112,AF112,AJ112,AN112)</f>
        <v/>
      </c>
      <c r="AR112" s="152">
        <f>SUM(D112,H112,L112,P112,T112,X112,AB112,AF112,AJ112,AN112)+SUM(E112,I112,M112,Q112,U112,Y112,AC112,AG112,AK112,AO112)</f>
        <v/>
      </c>
      <c r="AS112" s="152">
        <f>SUM(F112,J112,N112,R112,V112,Z112,AD112,AH112,AL112,AP112)</f>
        <v/>
      </c>
      <c r="AT112" s="152">
        <f>IF(B112&gt;AS$6,NA(),B112)</f>
        <v/>
      </c>
      <c r="AU112" s="152">
        <f>IF(B112&gt;AS$6,NA(),AS112)</f>
        <v/>
      </c>
      <c r="AV112" s="152" t="n"/>
      <c r="AW112" s="152" t="n">
        <v>101</v>
      </c>
      <c r="AX112" s="152">
        <f>IF(BA111&lt;=0.005,0,BA111*(1+AX$6))</f>
        <v/>
      </c>
      <c r="AY112" s="152">
        <f>MIN(AX112,AX$7)</f>
        <v/>
      </c>
      <c r="AZ112" s="152">
        <f>MAX(0,MIN(AX112-AY112,CL112))</f>
        <v/>
      </c>
      <c r="BA112" s="152">
        <f>AX112-AY112-AZ112</f>
        <v/>
      </c>
      <c r="BB112" s="152">
        <f>IF(BE111&lt;=0.005,0,BE111*(1+BB$6))</f>
        <v/>
      </c>
      <c r="BC112" s="152">
        <f>MIN(BB112,BB$7)</f>
        <v/>
      </c>
      <c r="BD112" s="152">
        <f>MAX(0,MIN(BB112-BC112,CL112-(AZ112)))</f>
        <v/>
      </c>
      <c r="BE112" s="152">
        <f>BB112-BC112-BD112</f>
        <v/>
      </c>
      <c r="BF112" s="152">
        <f>IF(BI111&lt;=0.005,0,BI111*(1+BF$6))</f>
        <v/>
      </c>
      <c r="BG112" s="152">
        <f>MIN(BF112,BF$7)</f>
        <v/>
      </c>
      <c r="BH112" s="152">
        <f>MAX(0,MIN(BF112-BG112,CL112-(AZ112+BD112)))</f>
        <v/>
      </c>
      <c r="BI112" s="152">
        <f>BF112-BG112-BH112</f>
        <v/>
      </c>
      <c r="BJ112" s="152">
        <f>IF(BM111&lt;=0.005,0,BM111*(1+BJ$6))</f>
        <v/>
      </c>
      <c r="BK112" s="152">
        <f>MIN(BJ112,BJ$7)</f>
        <v/>
      </c>
      <c r="BL112" s="152">
        <f>MAX(0,MIN(BJ112-BK112,CL112-(AZ112+BD112+BH112)))</f>
        <v/>
      </c>
      <c r="BM112" s="152">
        <f>BJ112-BK112-BL112</f>
        <v/>
      </c>
      <c r="BN112" s="152">
        <f>IF(BQ111&lt;=0.005,0,BQ111*(1+BN$6))</f>
        <v/>
      </c>
      <c r="BO112" s="152">
        <f>MIN(BN112,BN$7)</f>
        <v/>
      </c>
      <c r="BP112" s="152">
        <f>MAX(0,MIN(BN112-BO112,CL112-(AZ112+BD112+BH112+BL112)))</f>
        <v/>
      </c>
      <c r="BQ112" s="152">
        <f>BN112-BO112-BP112</f>
        <v/>
      </c>
      <c r="BR112" s="152">
        <f>IF(BU111&lt;=0.005,0,BU111*(1+BR$6))</f>
        <v/>
      </c>
      <c r="BS112" s="152">
        <f>MIN(BR112,BR$7)</f>
        <v/>
      </c>
      <c r="BT112" s="152">
        <f>MAX(0,MIN(BR112-BS112,CL112-(AZ112+BD112+BH112+BL112+BP112)))</f>
        <v/>
      </c>
      <c r="BU112" s="152">
        <f>BR112-BS112-BT112</f>
        <v/>
      </c>
      <c r="BV112" s="152">
        <f>IF(BY111&lt;=0.005,0,BY111*(1+BV$6))</f>
        <v/>
      </c>
      <c r="BW112" s="152">
        <f>MIN(BV112,BV$7)</f>
        <v/>
      </c>
      <c r="BX112" s="152">
        <f>MAX(0,MIN(BV112-BW112,CL112-(AZ112+BD112+BH112+BL112+BP112+BT112)))</f>
        <v/>
      </c>
      <c r="BY112" s="152">
        <f>BV112-BW112-BX112</f>
        <v/>
      </c>
      <c r="BZ112" s="152">
        <f>IF(CC111&lt;=0.005,0,CC111*(1+BZ$6))</f>
        <v/>
      </c>
      <c r="CA112" s="152">
        <f>MIN(BZ112,BZ$7)</f>
        <v/>
      </c>
      <c r="CB112" s="152">
        <f>MAX(0,MIN(BZ112-CA112,CL112-(AZ112+BD112+BH112+BL112+BP112+BT112+BX112)))</f>
        <v/>
      </c>
      <c r="CC112" s="152">
        <f>BZ112-CA112-CB112</f>
        <v/>
      </c>
      <c r="CD112" s="152">
        <f>IF(CG111&lt;=0.005,0,CG111*(1+CD$6))</f>
        <v/>
      </c>
      <c r="CE112" s="152">
        <f>MIN(CD112,CD$7)</f>
        <v/>
      </c>
      <c r="CF112" s="152">
        <f>MAX(0,MIN(CD112-CE112,CL112-(AZ112+BD112+BH112+BL112+BP112+BT112+BX112+CB112)))</f>
        <v/>
      </c>
      <c r="CG112" s="152">
        <f>CD112-CE112-CF112</f>
        <v/>
      </c>
      <c r="CH112" s="152">
        <f>IF(CK111&lt;=0.005,0,CK111*(1+CH$6))</f>
        <v/>
      </c>
      <c r="CI112" s="152">
        <f>MIN(CH112,CH$7)</f>
        <v/>
      </c>
      <c r="CJ112" s="152">
        <f>MAX(0,MIN(CH112-CI112,CL112-(AZ112+BD112+BH112+BL112+BP112+BT112+BX112+CB112+CF112)))</f>
        <v/>
      </c>
      <c r="CK112" s="152">
        <f>CH112-CI112-CJ112</f>
        <v/>
      </c>
      <c r="CL112" s="152">
        <f>'Debt Payoff'!$C$8-SUM(AY112,BC112,BG112,BK112,BO112,BS112,BW112,CA112,CE112,CI112)</f>
        <v/>
      </c>
      <c r="CM112" s="152">
        <f>SUM(AY112,BC112,BG112,BK112,BO112,BS112,BW112,CA112,CE112,CI112)+SUM(AZ112,BD112,BH112,BL112,BP112,BT112,BX112,CB112,CF112,CJ112)</f>
        <v/>
      </c>
      <c r="CN112" s="152">
        <f>SUM(BA112,BE112,BI112,BM112,BQ112,BU112,BY112,CC112,CG112,CK112)</f>
        <v/>
      </c>
      <c r="CO112" s="152">
        <f>IF(AW112&gt;CN$6,NA(),AW112)</f>
        <v/>
      </c>
      <c r="CP112" s="152">
        <f>IF(AW112&gt;CN$6,NA(),CN112)</f>
        <v/>
      </c>
    </row>
    <row r="113">
      <c r="B113" s="152" t="n">
        <v>102</v>
      </c>
      <c r="C113" s="152">
        <f>IF(F112&lt;=0.005,0,F112*(1+C$6))</f>
        <v/>
      </c>
      <c r="D113" s="152">
        <f>MIN(C113,C$7)</f>
        <v/>
      </c>
      <c r="E113" s="152">
        <f>MAX(0,MIN(C113-D113,AQ113))</f>
        <v/>
      </c>
      <c r="F113" s="152">
        <f>C113-D113-E113</f>
        <v/>
      </c>
      <c r="G113" s="152">
        <f>IF(J112&lt;=0.005,0,J112*(1+G$6))</f>
        <v/>
      </c>
      <c r="H113" s="152">
        <f>MIN(G113,G$7)</f>
        <v/>
      </c>
      <c r="I113" s="152">
        <f>MAX(0,MIN(G113-H113,AQ113-(E113)))</f>
        <v/>
      </c>
      <c r="J113" s="152">
        <f>G113-H113-I113</f>
        <v/>
      </c>
      <c r="K113" s="152">
        <f>IF(N112&lt;=0.005,0,N112*(1+K$6))</f>
        <v/>
      </c>
      <c r="L113" s="152">
        <f>MIN(K113,K$7)</f>
        <v/>
      </c>
      <c r="M113" s="152">
        <f>MAX(0,MIN(K113-L113,AQ113-(E113+I113)))</f>
        <v/>
      </c>
      <c r="N113" s="152">
        <f>K113-L113-M113</f>
        <v/>
      </c>
      <c r="O113" s="152">
        <f>IF(R112&lt;=0.005,0,R112*(1+O$6))</f>
        <v/>
      </c>
      <c r="P113" s="152">
        <f>MIN(O113,O$7)</f>
        <v/>
      </c>
      <c r="Q113" s="152">
        <f>MAX(0,MIN(O113-P113,AQ113-(E113+I113+M113)))</f>
        <v/>
      </c>
      <c r="R113" s="152">
        <f>O113-P113-Q113</f>
        <v/>
      </c>
      <c r="S113" s="152">
        <f>IF(V112&lt;=0.005,0,V112*(1+S$6))</f>
        <v/>
      </c>
      <c r="T113" s="152">
        <f>MIN(S113,S$7)</f>
        <v/>
      </c>
      <c r="U113" s="152">
        <f>MAX(0,MIN(S113-T113,AQ113-(E113+I113+M113+Q113)))</f>
        <v/>
      </c>
      <c r="V113" s="152">
        <f>S113-T113-U113</f>
        <v/>
      </c>
      <c r="W113" s="152">
        <f>IF(Z112&lt;=0.005,0,Z112*(1+W$6))</f>
        <v/>
      </c>
      <c r="X113" s="152">
        <f>MIN(W113,W$7)</f>
        <v/>
      </c>
      <c r="Y113" s="152">
        <f>MAX(0,MIN(W113-X113,AQ113-(E113+I113+M113+Q113+U113)))</f>
        <v/>
      </c>
      <c r="Z113" s="152">
        <f>W113-X113-Y113</f>
        <v/>
      </c>
      <c r="AA113" s="152">
        <f>IF(AD112&lt;=0.005,0,AD112*(1+AA$6))</f>
        <v/>
      </c>
      <c r="AB113" s="152">
        <f>MIN(AA113,AA$7)</f>
        <v/>
      </c>
      <c r="AC113" s="152">
        <f>MAX(0,MIN(AA113-AB113,AQ113-(E113+I113+M113+Q113+U113+Y113)))</f>
        <v/>
      </c>
      <c r="AD113" s="152">
        <f>AA113-AB113-AC113</f>
        <v/>
      </c>
      <c r="AE113" s="152">
        <f>IF(AH112&lt;=0.005,0,AH112*(1+AE$6))</f>
        <v/>
      </c>
      <c r="AF113" s="152">
        <f>MIN(AE113,AE$7)</f>
        <v/>
      </c>
      <c r="AG113" s="152">
        <f>MAX(0,MIN(AE113-AF113,AQ113-(E113+I113+M113+Q113+U113+Y113+AC113)))</f>
        <v/>
      </c>
      <c r="AH113" s="152">
        <f>AE113-AF113-AG113</f>
        <v/>
      </c>
      <c r="AI113" s="152">
        <f>IF(AL112&lt;=0.005,0,AL112*(1+AI$6))</f>
        <v/>
      </c>
      <c r="AJ113" s="152">
        <f>MIN(AI113,AI$7)</f>
        <v/>
      </c>
      <c r="AK113" s="152">
        <f>MAX(0,MIN(AI113-AJ113,AQ113-(E113+I113+M113+Q113+U113+Y113+AC113+AG113)))</f>
        <v/>
      </c>
      <c r="AL113" s="152">
        <f>AI113-AJ113-AK113</f>
        <v/>
      </c>
      <c r="AM113" s="152">
        <f>IF(AP112&lt;=0.005,0,AP112*(1+AM$6))</f>
        <v/>
      </c>
      <c r="AN113" s="152">
        <f>MIN(AM113,AM$7)</f>
        <v/>
      </c>
      <c r="AO113" s="152">
        <f>MAX(0,MIN(AM113-AN113,AQ113-(E113+I113+M113+Q113+U113+Y113+AC113+AG113+AK113)))</f>
        <v/>
      </c>
      <c r="AP113" s="152">
        <f>AM113-AN113-AO113</f>
        <v/>
      </c>
      <c r="AQ113" s="152">
        <f>'Debt Payoff'!$C$8-SUM(D113,H113,L113,P113,T113,X113,AB113,AF113,AJ113,AN113)</f>
        <v/>
      </c>
      <c r="AR113" s="152">
        <f>SUM(D113,H113,L113,P113,T113,X113,AB113,AF113,AJ113,AN113)+SUM(E113,I113,M113,Q113,U113,Y113,AC113,AG113,AK113,AO113)</f>
        <v/>
      </c>
      <c r="AS113" s="152">
        <f>SUM(F113,J113,N113,R113,V113,Z113,AD113,AH113,AL113,AP113)</f>
        <v/>
      </c>
      <c r="AT113" s="152">
        <f>IF(B113&gt;AS$6,NA(),B113)</f>
        <v/>
      </c>
      <c r="AU113" s="152">
        <f>IF(B113&gt;AS$6,NA(),AS113)</f>
        <v/>
      </c>
      <c r="AV113" s="152" t="n"/>
      <c r="AW113" s="152" t="n">
        <v>102</v>
      </c>
      <c r="AX113" s="152">
        <f>IF(BA112&lt;=0.005,0,BA112*(1+AX$6))</f>
        <v/>
      </c>
      <c r="AY113" s="152">
        <f>MIN(AX113,AX$7)</f>
        <v/>
      </c>
      <c r="AZ113" s="152">
        <f>MAX(0,MIN(AX113-AY113,CL113))</f>
        <v/>
      </c>
      <c r="BA113" s="152">
        <f>AX113-AY113-AZ113</f>
        <v/>
      </c>
      <c r="BB113" s="152">
        <f>IF(BE112&lt;=0.005,0,BE112*(1+BB$6))</f>
        <v/>
      </c>
      <c r="BC113" s="152">
        <f>MIN(BB113,BB$7)</f>
        <v/>
      </c>
      <c r="BD113" s="152">
        <f>MAX(0,MIN(BB113-BC113,CL113-(AZ113)))</f>
        <v/>
      </c>
      <c r="BE113" s="152">
        <f>BB113-BC113-BD113</f>
        <v/>
      </c>
      <c r="BF113" s="152">
        <f>IF(BI112&lt;=0.005,0,BI112*(1+BF$6))</f>
        <v/>
      </c>
      <c r="BG113" s="152">
        <f>MIN(BF113,BF$7)</f>
        <v/>
      </c>
      <c r="BH113" s="152">
        <f>MAX(0,MIN(BF113-BG113,CL113-(AZ113+BD113)))</f>
        <v/>
      </c>
      <c r="BI113" s="152">
        <f>BF113-BG113-BH113</f>
        <v/>
      </c>
      <c r="BJ113" s="152">
        <f>IF(BM112&lt;=0.005,0,BM112*(1+BJ$6))</f>
        <v/>
      </c>
      <c r="BK113" s="152">
        <f>MIN(BJ113,BJ$7)</f>
        <v/>
      </c>
      <c r="BL113" s="152">
        <f>MAX(0,MIN(BJ113-BK113,CL113-(AZ113+BD113+BH113)))</f>
        <v/>
      </c>
      <c r="BM113" s="152">
        <f>BJ113-BK113-BL113</f>
        <v/>
      </c>
      <c r="BN113" s="152">
        <f>IF(BQ112&lt;=0.005,0,BQ112*(1+BN$6))</f>
        <v/>
      </c>
      <c r="BO113" s="152">
        <f>MIN(BN113,BN$7)</f>
        <v/>
      </c>
      <c r="BP113" s="152">
        <f>MAX(0,MIN(BN113-BO113,CL113-(AZ113+BD113+BH113+BL113)))</f>
        <v/>
      </c>
      <c r="BQ113" s="152">
        <f>BN113-BO113-BP113</f>
        <v/>
      </c>
      <c r="BR113" s="152">
        <f>IF(BU112&lt;=0.005,0,BU112*(1+BR$6))</f>
        <v/>
      </c>
      <c r="BS113" s="152">
        <f>MIN(BR113,BR$7)</f>
        <v/>
      </c>
      <c r="BT113" s="152">
        <f>MAX(0,MIN(BR113-BS113,CL113-(AZ113+BD113+BH113+BL113+BP113)))</f>
        <v/>
      </c>
      <c r="BU113" s="152">
        <f>BR113-BS113-BT113</f>
        <v/>
      </c>
      <c r="BV113" s="152">
        <f>IF(BY112&lt;=0.005,0,BY112*(1+BV$6))</f>
        <v/>
      </c>
      <c r="BW113" s="152">
        <f>MIN(BV113,BV$7)</f>
        <v/>
      </c>
      <c r="BX113" s="152">
        <f>MAX(0,MIN(BV113-BW113,CL113-(AZ113+BD113+BH113+BL113+BP113+BT113)))</f>
        <v/>
      </c>
      <c r="BY113" s="152">
        <f>BV113-BW113-BX113</f>
        <v/>
      </c>
      <c r="BZ113" s="152">
        <f>IF(CC112&lt;=0.005,0,CC112*(1+BZ$6))</f>
        <v/>
      </c>
      <c r="CA113" s="152">
        <f>MIN(BZ113,BZ$7)</f>
        <v/>
      </c>
      <c r="CB113" s="152">
        <f>MAX(0,MIN(BZ113-CA113,CL113-(AZ113+BD113+BH113+BL113+BP113+BT113+BX113)))</f>
        <v/>
      </c>
      <c r="CC113" s="152">
        <f>BZ113-CA113-CB113</f>
        <v/>
      </c>
      <c r="CD113" s="152">
        <f>IF(CG112&lt;=0.005,0,CG112*(1+CD$6))</f>
        <v/>
      </c>
      <c r="CE113" s="152">
        <f>MIN(CD113,CD$7)</f>
        <v/>
      </c>
      <c r="CF113" s="152">
        <f>MAX(0,MIN(CD113-CE113,CL113-(AZ113+BD113+BH113+BL113+BP113+BT113+BX113+CB113)))</f>
        <v/>
      </c>
      <c r="CG113" s="152">
        <f>CD113-CE113-CF113</f>
        <v/>
      </c>
      <c r="CH113" s="152">
        <f>IF(CK112&lt;=0.005,0,CK112*(1+CH$6))</f>
        <v/>
      </c>
      <c r="CI113" s="152">
        <f>MIN(CH113,CH$7)</f>
        <v/>
      </c>
      <c r="CJ113" s="152">
        <f>MAX(0,MIN(CH113-CI113,CL113-(AZ113+BD113+BH113+BL113+BP113+BT113+BX113+CB113+CF113)))</f>
        <v/>
      </c>
      <c r="CK113" s="152">
        <f>CH113-CI113-CJ113</f>
        <v/>
      </c>
      <c r="CL113" s="152">
        <f>'Debt Payoff'!$C$8-SUM(AY113,BC113,BG113,BK113,BO113,BS113,BW113,CA113,CE113,CI113)</f>
        <v/>
      </c>
      <c r="CM113" s="152">
        <f>SUM(AY113,BC113,BG113,BK113,BO113,BS113,BW113,CA113,CE113,CI113)+SUM(AZ113,BD113,BH113,BL113,BP113,BT113,BX113,CB113,CF113,CJ113)</f>
        <v/>
      </c>
      <c r="CN113" s="152">
        <f>SUM(BA113,BE113,BI113,BM113,BQ113,BU113,BY113,CC113,CG113,CK113)</f>
        <v/>
      </c>
      <c r="CO113" s="152">
        <f>IF(AW113&gt;CN$6,NA(),AW113)</f>
        <v/>
      </c>
      <c r="CP113" s="152">
        <f>IF(AW113&gt;CN$6,NA(),CN113)</f>
        <v/>
      </c>
    </row>
    <row r="114">
      <c r="B114" s="152" t="n">
        <v>103</v>
      </c>
      <c r="C114" s="152">
        <f>IF(F113&lt;=0.005,0,F113*(1+C$6))</f>
        <v/>
      </c>
      <c r="D114" s="152">
        <f>MIN(C114,C$7)</f>
        <v/>
      </c>
      <c r="E114" s="152">
        <f>MAX(0,MIN(C114-D114,AQ114))</f>
        <v/>
      </c>
      <c r="F114" s="152">
        <f>C114-D114-E114</f>
        <v/>
      </c>
      <c r="G114" s="152">
        <f>IF(J113&lt;=0.005,0,J113*(1+G$6))</f>
        <v/>
      </c>
      <c r="H114" s="152">
        <f>MIN(G114,G$7)</f>
        <v/>
      </c>
      <c r="I114" s="152">
        <f>MAX(0,MIN(G114-H114,AQ114-(E114)))</f>
        <v/>
      </c>
      <c r="J114" s="152">
        <f>G114-H114-I114</f>
        <v/>
      </c>
      <c r="K114" s="152">
        <f>IF(N113&lt;=0.005,0,N113*(1+K$6))</f>
        <v/>
      </c>
      <c r="L114" s="152">
        <f>MIN(K114,K$7)</f>
        <v/>
      </c>
      <c r="M114" s="152">
        <f>MAX(0,MIN(K114-L114,AQ114-(E114+I114)))</f>
        <v/>
      </c>
      <c r="N114" s="152">
        <f>K114-L114-M114</f>
        <v/>
      </c>
      <c r="O114" s="152">
        <f>IF(R113&lt;=0.005,0,R113*(1+O$6))</f>
        <v/>
      </c>
      <c r="P114" s="152">
        <f>MIN(O114,O$7)</f>
        <v/>
      </c>
      <c r="Q114" s="152">
        <f>MAX(0,MIN(O114-P114,AQ114-(E114+I114+M114)))</f>
        <v/>
      </c>
      <c r="R114" s="152">
        <f>O114-P114-Q114</f>
        <v/>
      </c>
      <c r="S114" s="152">
        <f>IF(V113&lt;=0.005,0,V113*(1+S$6))</f>
        <v/>
      </c>
      <c r="T114" s="152">
        <f>MIN(S114,S$7)</f>
        <v/>
      </c>
      <c r="U114" s="152">
        <f>MAX(0,MIN(S114-T114,AQ114-(E114+I114+M114+Q114)))</f>
        <v/>
      </c>
      <c r="V114" s="152">
        <f>S114-T114-U114</f>
        <v/>
      </c>
      <c r="W114" s="152">
        <f>IF(Z113&lt;=0.005,0,Z113*(1+W$6))</f>
        <v/>
      </c>
      <c r="X114" s="152">
        <f>MIN(W114,W$7)</f>
        <v/>
      </c>
      <c r="Y114" s="152">
        <f>MAX(0,MIN(W114-X114,AQ114-(E114+I114+M114+Q114+U114)))</f>
        <v/>
      </c>
      <c r="Z114" s="152">
        <f>W114-X114-Y114</f>
        <v/>
      </c>
      <c r="AA114" s="152">
        <f>IF(AD113&lt;=0.005,0,AD113*(1+AA$6))</f>
        <v/>
      </c>
      <c r="AB114" s="152">
        <f>MIN(AA114,AA$7)</f>
        <v/>
      </c>
      <c r="AC114" s="152">
        <f>MAX(0,MIN(AA114-AB114,AQ114-(E114+I114+M114+Q114+U114+Y114)))</f>
        <v/>
      </c>
      <c r="AD114" s="152">
        <f>AA114-AB114-AC114</f>
        <v/>
      </c>
      <c r="AE114" s="152">
        <f>IF(AH113&lt;=0.005,0,AH113*(1+AE$6))</f>
        <v/>
      </c>
      <c r="AF114" s="152">
        <f>MIN(AE114,AE$7)</f>
        <v/>
      </c>
      <c r="AG114" s="152">
        <f>MAX(0,MIN(AE114-AF114,AQ114-(E114+I114+M114+Q114+U114+Y114+AC114)))</f>
        <v/>
      </c>
      <c r="AH114" s="152">
        <f>AE114-AF114-AG114</f>
        <v/>
      </c>
      <c r="AI114" s="152">
        <f>IF(AL113&lt;=0.005,0,AL113*(1+AI$6))</f>
        <v/>
      </c>
      <c r="AJ114" s="152">
        <f>MIN(AI114,AI$7)</f>
        <v/>
      </c>
      <c r="AK114" s="152">
        <f>MAX(0,MIN(AI114-AJ114,AQ114-(E114+I114+M114+Q114+U114+Y114+AC114+AG114)))</f>
        <v/>
      </c>
      <c r="AL114" s="152">
        <f>AI114-AJ114-AK114</f>
        <v/>
      </c>
      <c r="AM114" s="152">
        <f>IF(AP113&lt;=0.005,0,AP113*(1+AM$6))</f>
        <v/>
      </c>
      <c r="AN114" s="152">
        <f>MIN(AM114,AM$7)</f>
        <v/>
      </c>
      <c r="AO114" s="152">
        <f>MAX(0,MIN(AM114-AN114,AQ114-(E114+I114+M114+Q114+U114+Y114+AC114+AG114+AK114)))</f>
        <v/>
      </c>
      <c r="AP114" s="152">
        <f>AM114-AN114-AO114</f>
        <v/>
      </c>
      <c r="AQ114" s="152">
        <f>'Debt Payoff'!$C$8-SUM(D114,H114,L114,P114,T114,X114,AB114,AF114,AJ114,AN114)</f>
        <v/>
      </c>
      <c r="AR114" s="152">
        <f>SUM(D114,H114,L114,P114,T114,X114,AB114,AF114,AJ114,AN114)+SUM(E114,I114,M114,Q114,U114,Y114,AC114,AG114,AK114,AO114)</f>
        <v/>
      </c>
      <c r="AS114" s="152">
        <f>SUM(F114,J114,N114,R114,V114,Z114,AD114,AH114,AL114,AP114)</f>
        <v/>
      </c>
      <c r="AT114" s="152">
        <f>IF(B114&gt;AS$6,NA(),B114)</f>
        <v/>
      </c>
      <c r="AU114" s="152">
        <f>IF(B114&gt;AS$6,NA(),AS114)</f>
        <v/>
      </c>
      <c r="AV114" s="152" t="n"/>
      <c r="AW114" s="152" t="n">
        <v>103</v>
      </c>
      <c r="AX114" s="152">
        <f>IF(BA113&lt;=0.005,0,BA113*(1+AX$6))</f>
        <v/>
      </c>
      <c r="AY114" s="152">
        <f>MIN(AX114,AX$7)</f>
        <v/>
      </c>
      <c r="AZ114" s="152">
        <f>MAX(0,MIN(AX114-AY114,CL114))</f>
        <v/>
      </c>
      <c r="BA114" s="152">
        <f>AX114-AY114-AZ114</f>
        <v/>
      </c>
      <c r="BB114" s="152">
        <f>IF(BE113&lt;=0.005,0,BE113*(1+BB$6))</f>
        <v/>
      </c>
      <c r="BC114" s="152">
        <f>MIN(BB114,BB$7)</f>
        <v/>
      </c>
      <c r="BD114" s="152">
        <f>MAX(0,MIN(BB114-BC114,CL114-(AZ114)))</f>
        <v/>
      </c>
      <c r="BE114" s="152">
        <f>BB114-BC114-BD114</f>
        <v/>
      </c>
      <c r="BF114" s="152">
        <f>IF(BI113&lt;=0.005,0,BI113*(1+BF$6))</f>
        <v/>
      </c>
      <c r="BG114" s="152">
        <f>MIN(BF114,BF$7)</f>
        <v/>
      </c>
      <c r="BH114" s="152">
        <f>MAX(0,MIN(BF114-BG114,CL114-(AZ114+BD114)))</f>
        <v/>
      </c>
      <c r="BI114" s="152">
        <f>BF114-BG114-BH114</f>
        <v/>
      </c>
      <c r="BJ114" s="152">
        <f>IF(BM113&lt;=0.005,0,BM113*(1+BJ$6))</f>
        <v/>
      </c>
      <c r="BK114" s="152">
        <f>MIN(BJ114,BJ$7)</f>
        <v/>
      </c>
      <c r="BL114" s="152">
        <f>MAX(0,MIN(BJ114-BK114,CL114-(AZ114+BD114+BH114)))</f>
        <v/>
      </c>
      <c r="BM114" s="152">
        <f>BJ114-BK114-BL114</f>
        <v/>
      </c>
      <c r="BN114" s="152">
        <f>IF(BQ113&lt;=0.005,0,BQ113*(1+BN$6))</f>
        <v/>
      </c>
      <c r="BO114" s="152">
        <f>MIN(BN114,BN$7)</f>
        <v/>
      </c>
      <c r="BP114" s="152">
        <f>MAX(0,MIN(BN114-BO114,CL114-(AZ114+BD114+BH114+BL114)))</f>
        <v/>
      </c>
      <c r="BQ114" s="152">
        <f>BN114-BO114-BP114</f>
        <v/>
      </c>
      <c r="BR114" s="152">
        <f>IF(BU113&lt;=0.005,0,BU113*(1+BR$6))</f>
        <v/>
      </c>
      <c r="BS114" s="152">
        <f>MIN(BR114,BR$7)</f>
        <v/>
      </c>
      <c r="BT114" s="152">
        <f>MAX(0,MIN(BR114-BS114,CL114-(AZ114+BD114+BH114+BL114+BP114)))</f>
        <v/>
      </c>
      <c r="BU114" s="152">
        <f>BR114-BS114-BT114</f>
        <v/>
      </c>
      <c r="BV114" s="152">
        <f>IF(BY113&lt;=0.005,0,BY113*(1+BV$6))</f>
        <v/>
      </c>
      <c r="BW114" s="152">
        <f>MIN(BV114,BV$7)</f>
        <v/>
      </c>
      <c r="BX114" s="152">
        <f>MAX(0,MIN(BV114-BW114,CL114-(AZ114+BD114+BH114+BL114+BP114+BT114)))</f>
        <v/>
      </c>
      <c r="BY114" s="152">
        <f>BV114-BW114-BX114</f>
        <v/>
      </c>
      <c r="BZ114" s="152">
        <f>IF(CC113&lt;=0.005,0,CC113*(1+BZ$6))</f>
        <v/>
      </c>
      <c r="CA114" s="152">
        <f>MIN(BZ114,BZ$7)</f>
        <v/>
      </c>
      <c r="CB114" s="152">
        <f>MAX(0,MIN(BZ114-CA114,CL114-(AZ114+BD114+BH114+BL114+BP114+BT114+BX114)))</f>
        <v/>
      </c>
      <c r="CC114" s="152">
        <f>BZ114-CA114-CB114</f>
        <v/>
      </c>
      <c r="CD114" s="152">
        <f>IF(CG113&lt;=0.005,0,CG113*(1+CD$6))</f>
        <v/>
      </c>
      <c r="CE114" s="152">
        <f>MIN(CD114,CD$7)</f>
        <v/>
      </c>
      <c r="CF114" s="152">
        <f>MAX(0,MIN(CD114-CE114,CL114-(AZ114+BD114+BH114+BL114+BP114+BT114+BX114+CB114)))</f>
        <v/>
      </c>
      <c r="CG114" s="152">
        <f>CD114-CE114-CF114</f>
        <v/>
      </c>
      <c r="CH114" s="152">
        <f>IF(CK113&lt;=0.005,0,CK113*(1+CH$6))</f>
        <v/>
      </c>
      <c r="CI114" s="152">
        <f>MIN(CH114,CH$7)</f>
        <v/>
      </c>
      <c r="CJ114" s="152">
        <f>MAX(0,MIN(CH114-CI114,CL114-(AZ114+BD114+BH114+BL114+BP114+BT114+BX114+CB114+CF114)))</f>
        <v/>
      </c>
      <c r="CK114" s="152">
        <f>CH114-CI114-CJ114</f>
        <v/>
      </c>
      <c r="CL114" s="152">
        <f>'Debt Payoff'!$C$8-SUM(AY114,BC114,BG114,BK114,BO114,BS114,BW114,CA114,CE114,CI114)</f>
        <v/>
      </c>
      <c r="CM114" s="152">
        <f>SUM(AY114,BC114,BG114,BK114,BO114,BS114,BW114,CA114,CE114,CI114)+SUM(AZ114,BD114,BH114,BL114,BP114,BT114,BX114,CB114,CF114,CJ114)</f>
        <v/>
      </c>
      <c r="CN114" s="152">
        <f>SUM(BA114,BE114,BI114,BM114,BQ114,BU114,BY114,CC114,CG114,CK114)</f>
        <v/>
      </c>
      <c r="CO114" s="152">
        <f>IF(AW114&gt;CN$6,NA(),AW114)</f>
        <v/>
      </c>
      <c r="CP114" s="152">
        <f>IF(AW114&gt;CN$6,NA(),CN114)</f>
        <v/>
      </c>
    </row>
    <row r="115">
      <c r="B115" s="152" t="n">
        <v>104</v>
      </c>
      <c r="C115" s="152">
        <f>IF(F114&lt;=0.005,0,F114*(1+C$6))</f>
        <v/>
      </c>
      <c r="D115" s="152">
        <f>MIN(C115,C$7)</f>
        <v/>
      </c>
      <c r="E115" s="152">
        <f>MAX(0,MIN(C115-D115,AQ115))</f>
        <v/>
      </c>
      <c r="F115" s="152">
        <f>C115-D115-E115</f>
        <v/>
      </c>
      <c r="G115" s="152">
        <f>IF(J114&lt;=0.005,0,J114*(1+G$6))</f>
        <v/>
      </c>
      <c r="H115" s="152">
        <f>MIN(G115,G$7)</f>
        <v/>
      </c>
      <c r="I115" s="152">
        <f>MAX(0,MIN(G115-H115,AQ115-(E115)))</f>
        <v/>
      </c>
      <c r="J115" s="152">
        <f>G115-H115-I115</f>
        <v/>
      </c>
      <c r="K115" s="152">
        <f>IF(N114&lt;=0.005,0,N114*(1+K$6))</f>
        <v/>
      </c>
      <c r="L115" s="152">
        <f>MIN(K115,K$7)</f>
        <v/>
      </c>
      <c r="M115" s="152">
        <f>MAX(0,MIN(K115-L115,AQ115-(E115+I115)))</f>
        <v/>
      </c>
      <c r="N115" s="152">
        <f>K115-L115-M115</f>
        <v/>
      </c>
      <c r="O115" s="152">
        <f>IF(R114&lt;=0.005,0,R114*(1+O$6))</f>
        <v/>
      </c>
      <c r="P115" s="152">
        <f>MIN(O115,O$7)</f>
        <v/>
      </c>
      <c r="Q115" s="152">
        <f>MAX(0,MIN(O115-P115,AQ115-(E115+I115+M115)))</f>
        <v/>
      </c>
      <c r="R115" s="152">
        <f>O115-P115-Q115</f>
        <v/>
      </c>
      <c r="S115" s="152">
        <f>IF(V114&lt;=0.005,0,V114*(1+S$6))</f>
        <v/>
      </c>
      <c r="T115" s="152">
        <f>MIN(S115,S$7)</f>
        <v/>
      </c>
      <c r="U115" s="152">
        <f>MAX(0,MIN(S115-T115,AQ115-(E115+I115+M115+Q115)))</f>
        <v/>
      </c>
      <c r="V115" s="152">
        <f>S115-T115-U115</f>
        <v/>
      </c>
      <c r="W115" s="152">
        <f>IF(Z114&lt;=0.005,0,Z114*(1+W$6))</f>
        <v/>
      </c>
      <c r="X115" s="152">
        <f>MIN(W115,W$7)</f>
        <v/>
      </c>
      <c r="Y115" s="152">
        <f>MAX(0,MIN(W115-X115,AQ115-(E115+I115+M115+Q115+U115)))</f>
        <v/>
      </c>
      <c r="Z115" s="152">
        <f>W115-X115-Y115</f>
        <v/>
      </c>
      <c r="AA115" s="152">
        <f>IF(AD114&lt;=0.005,0,AD114*(1+AA$6))</f>
        <v/>
      </c>
      <c r="AB115" s="152">
        <f>MIN(AA115,AA$7)</f>
        <v/>
      </c>
      <c r="AC115" s="152">
        <f>MAX(0,MIN(AA115-AB115,AQ115-(E115+I115+M115+Q115+U115+Y115)))</f>
        <v/>
      </c>
      <c r="AD115" s="152">
        <f>AA115-AB115-AC115</f>
        <v/>
      </c>
      <c r="AE115" s="152">
        <f>IF(AH114&lt;=0.005,0,AH114*(1+AE$6))</f>
        <v/>
      </c>
      <c r="AF115" s="152">
        <f>MIN(AE115,AE$7)</f>
        <v/>
      </c>
      <c r="AG115" s="152">
        <f>MAX(0,MIN(AE115-AF115,AQ115-(E115+I115+M115+Q115+U115+Y115+AC115)))</f>
        <v/>
      </c>
      <c r="AH115" s="152">
        <f>AE115-AF115-AG115</f>
        <v/>
      </c>
      <c r="AI115" s="152">
        <f>IF(AL114&lt;=0.005,0,AL114*(1+AI$6))</f>
        <v/>
      </c>
      <c r="AJ115" s="152">
        <f>MIN(AI115,AI$7)</f>
        <v/>
      </c>
      <c r="AK115" s="152">
        <f>MAX(0,MIN(AI115-AJ115,AQ115-(E115+I115+M115+Q115+U115+Y115+AC115+AG115)))</f>
        <v/>
      </c>
      <c r="AL115" s="152">
        <f>AI115-AJ115-AK115</f>
        <v/>
      </c>
      <c r="AM115" s="152">
        <f>IF(AP114&lt;=0.005,0,AP114*(1+AM$6))</f>
        <v/>
      </c>
      <c r="AN115" s="152">
        <f>MIN(AM115,AM$7)</f>
        <v/>
      </c>
      <c r="AO115" s="152">
        <f>MAX(0,MIN(AM115-AN115,AQ115-(E115+I115+M115+Q115+U115+Y115+AC115+AG115+AK115)))</f>
        <v/>
      </c>
      <c r="AP115" s="152">
        <f>AM115-AN115-AO115</f>
        <v/>
      </c>
      <c r="AQ115" s="152">
        <f>'Debt Payoff'!$C$8-SUM(D115,H115,L115,P115,T115,X115,AB115,AF115,AJ115,AN115)</f>
        <v/>
      </c>
      <c r="AR115" s="152">
        <f>SUM(D115,H115,L115,P115,T115,X115,AB115,AF115,AJ115,AN115)+SUM(E115,I115,M115,Q115,U115,Y115,AC115,AG115,AK115,AO115)</f>
        <v/>
      </c>
      <c r="AS115" s="152">
        <f>SUM(F115,J115,N115,R115,V115,Z115,AD115,AH115,AL115,AP115)</f>
        <v/>
      </c>
      <c r="AT115" s="152">
        <f>IF(B115&gt;AS$6,NA(),B115)</f>
        <v/>
      </c>
      <c r="AU115" s="152">
        <f>IF(B115&gt;AS$6,NA(),AS115)</f>
        <v/>
      </c>
      <c r="AV115" s="152" t="n"/>
      <c r="AW115" s="152" t="n">
        <v>104</v>
      </c>
      <c r="AX115" s="152">
        <f>IF(BA114&lt;=0.005,0,BA114*(1+AX$6))</f>
        <v/>
      </c>
      <c r="AY115" s="152">
        <f>MIN(AX115,AX$7)</f>
        <v/>
      </c>
      <c r="AZ115" s="152">
        <f>MAX(0,MIN(AX115-AY115,CL115))</f>
        <v/>
      </c>
      <c r="BA115" s="152">
        <f>AX115-AY115-AZ115</f>
        <v/>
      </c>
      <c r="BB115" s="152">
        <f>IF(BE114&lt;=0.005,0,BE114*(1+BB$6))</f>
        <v/>
      </c>
      <c r="BC115" s="152">
        <f>MIN(BB115,BB$7)</f>
        <v/>
      </c>
      <c r="BD115" s="152">
        <f>MAX(0,MIN(BB115-BC115,CL115-(AZ115)))</f>
        <v/>
      </c>
      <c r="BE115" s="152">
        <f>BB115-BC115-BD115</f>
        <v/>
      </c>
      <c r="BF115" s="152">
        <f>IF(BI114&lt;=0.005,0,BI114*(1+BF$6))</f>
        <v/>
      </c>
      <c r="BG115" s="152">
        <f>MIN(BF115,BF$7)</f>
        <v/>
      </c>
      <c r="BH115" s="152">
        <f>MAX(0,MIN(BF115-BG115,CL115-(AZ115+BD115)))</f>
        <v/>
      </c>
      <c r="BI115" s="152">
        <f>BF115-BG115-BH115</f>
        <v/>
      </c>
      <c r="BJ115" s="152">
        <f>IF(BM114&lt;=0.005,0,BM114*(1+BJ$6))</f>
        <v/>
      </c>
      <c r="BK115" s="152">
        <f>MIN(BJ115,BJ$7)</f>
        <v/>
      </c>
      <c r="BL115" s="152">
        <f>MAX(0,MIN(BJ115-BK115,CL115-(AZ115+BD115+BH115)))</f>
        <v/>
      </c>
      <c r="BM115" s="152">
        <f>BJ115-BK115-BL115</f>
        <v/>
      </c>
      <c r="BN115" s="152">
        <f>IF(BQ114&lt;=0.005,0,BQ114*(1+BN$6))</f>
        <v/>
      </c>
      <c r="BO115" s="152">
        <f>MIN(BN115,BN$7)</f>
        <v/>
      </c>
      <c r="BP115" s="152">
        <f>MAX(0,MIN(BN115-BO115,CL115-(AZ115+BD115+BH115+BL115)))</f>
        <v/>
      </c>
      <c r="BQ115" s="152">
        <f>BN115-BO115-BP115</f>
        <v/>
      </c>
      <c r="BR115" s="152">
        <f>IF(BU114&lt;=0.005,0,BU114*(1+BR$6))</f>
        <v/>
      </c>
      <c r="BS115" s="152">
        <f>MIN(BR115,BR$7)</f>
        <v/>
      </c>
      <c r="BT115" s="152">
        <f>MAX(0,MIN(BR115-BS115,CL115-(AZ115+BD115+BH115+BL115+BP115)))</f>
        <v/>
      </c>
      <c r="BU115" s="152">
        <f>BR115-BS115-BT115</f>
        <v/>
      </c>
      <c r="BV115" s="152">
        <f>IF(BY114&lt;=0.005,0,BY114*(1+BV$6))</f>
        <v/>
      </c>
      <c r="BW115" s="152">
        <f>MIN(BV115,BV$7)</f>
        <v/>
      </c>
      <c r="BX115" s="152">
        <f>MAX(0,MIN(BV115-BW115,CL115-(AZ115+BD115+BH115+BL115+BP115+BT115)))</f>
        <v/>
      </c>
      <c r="BY115" s="152">
        <f>BV115-BW115-BX115</f>
        <v/>
      </c>
      <c r="BZ115" s="152">
        <f>IF(CC114&lt;=0.005,0,CC114*(1+BZ$6))</f>
        <v/>
      </c>
      <c r="CA115" s="152">
        <f>MIN(BZ115,BZ$7)</f>
        <v/>
      </c>
      <c r="CB115" s="152">
        <f>MAX(0,MIN(BZ115-CA115,CL115-(AZ115+BD115+BH115+BL115+BP115+BT115+BX115)))</f>
        <v/>
      </c>
      <c r="CC115" s="152">
        <f>BZ115-CA115-CB115</f>
        <v/>
      </c>
      <c r="CD115" s="152">
        <f>IF(CG114&lt;=0.005,0,CG114*(1+CD$6))</f>
        <v/>
      </c>
      <c r="CE115" s="152">
        <f>MIN(CD115,CD$7)</f>
        <v/>
      </c>
      <c r="CF115" s="152">
        <f>MAX(0,MIN(CD115-CE115,CL115-(AZ115+BD115+BH115+BL115+BP115+BT115+BX115+CB115)))</f>
        <v/>
      </c>
      <c r="CG115" s="152">
        <f>CD115-CE115-CF115</f>
        <v/>
      </c>
      <c r="CH115" s="152">
        <f>IF(CK114&lt;=0.005,0,CK114*(1+CH$6))</f>
        <v/>
      </c>
      <c r="CI115" s="152">
        <f>MIN(CH115,CH$7)</f>
        <v/>
      </c>
      <c r="CJ115" s="152">
        <f>MAX(0,MIN(CH115-CI115,CL115-(AZ115+BD115+BH115+BL115+BP115+BT115+BX115+CB115+CF115)))</f>
        <v/>
      </c>
      <c r="CK115" s="152">
        <f>CH115-CI115-CJ115</f>
        <v/>
      </c>
      <c r="CL115" s="152">
        <f>'Debt Payoff'!$C$8-SUM(AY115,BC115,BG115,BK115,BO115,BS115,BW115,CA115,CE115,CI115)</f>
        <v/>
      </c>
      <c r="CM115" s="152">
        <f>SUM(AY115,BC115,BG115,BK115,BO115,BS115,BW115,CA115,CE115,CI115)+SUM(AZ115,BD115,BH115,BL115,BP115,BT115,BX115,CB115,CF115,CJ115)</f>
        <v/>
      </c>
      <c r="CN115" s="152">
        <f>SUM(BA115,BE115,BI115,BM115,BQ115,BU115,BY115,CC115,CG115,CK115)</f>
        <v/>
      </c>
      <c r="CO115" s="152">
        <f>IF(AW115&gt;CN$6,NA(),AW115)</f>
        <v/>
      </c>
      <c r="CP115" s="152">
        <f>IF(AW115&gt;CN$6,NA(),CN115)</f>
        <v/>
      </c>
    </row>
    <row r="116">
      <c r="B116" s="152" t="n">
        <v>105</v>
      </c>
      <c r="C116" s="152">
        <f>IF(F115&lt;=0.005,0,F115*(1+C$6))</f>
        <v/>
      </c>
      <c r="D116" s="152">
        <f>MIN(C116,C$7)</f>
        <v/>
      </c>
      <c r="E116" s="152">
        <f>MAX(0,MIN(C116-D116,AQ116))</f>
        <v/>
      </c>
      <c r="F116" s="152">
        <f>C116-D116-E116</f>
        <v/>
      </c>
      <c r="G116" s="152">
        <f>IF(J115&lt;=0.005,0,J115*(1+G$6))</f>
        <v/>
      </c>
      <c r="H116" s="152">
        <f>MIN(G116,G$7)</f>
        <v/>
      </c>
      <c r="I116" s="152">
        <f>MAX(0,MIN(G116-H116,AQ116-(E116)))</f>
        <v/>
      </c>
      <c r="J116" s="152">
        <f>G116-H116-I116</f>
        <v/>
      </c>
      <c r="K116" s="152">
        <f>IF(N115&lt;=0.005,0,N115*(1+K$6))</f>
        <v/>
      </c>
      <c r="L116" s="152">
        <f>MIN(K116,K$7)</f>
        <v/>
      </c>
      <c r="M116" s="152">
        <f>MAX(0,MIN(K116-L116,AQ116-(E116+I116)))</f>
        <v/>
      </c>
      <c r="N116" s="152">
        <f>K116-L116-M116</f>
        <v/>
      </c>
      <c r="O116" s="152">
        <f>IF(R115&lt;=0.005,0,R115*(1+O$6))</f>
        <v/>
      </c>
      <c r="P116" s="152">
        <f>MIN(O116,O$7)</f>
        <v/>
      </c>
      <c r="Q116" s="152">
        <f>MAX(0,MIN(O116-P116,AQ116-(E116+I116+M116)))</f>
        <v/>
      </c>
      <c r="R116" s="152">
        <f>O116-P116-Q116</f>
        <v/>
      </c>
      <c r="S116" s="152">
        <f>IF(V115&lt;=0.005,0,V115*(1+S$6))</f>
        <v/>
      </c>
      <c r="T116" s="152">
        <f>MIN(S116,S$7)</f>
        <v/>
      </c>
      <c r="U116" s="152">
        <f>MAX(0,MIN(S116-T116,AQ116-(E116+I116+M116+Q116)))</f>
        <v/>
      </c>
      <c r="V116" s="152">
        <f>S116-T116-U116</f>
        <v/>
      </c>
      <c r="W116" s="152">
        <f>IF(Z115&lt;=0.005,0,Z115*(1+W$6))</f>
        <v/>
      </c>
      <c r="X116" s="152">
        <f>MIN(W116,W$7)</f>
        <v/>
      </c>
      <c r="Y116" s="152">
        <f>MAX(0,MIN(W116-X116,AQ116-(E116+I116+M116+Q116+U116)))</f>
        <v/>
      </c>
      <c r="Z116" s="152">
        <f>W116-X116-Y116</f>
        <v/>
      </c>
      <c r="AA116" s="152">
        <f>IF(AD115&lt;=0.005,0,AD115*(1+AA$6))</f>
        <v/>
      </c>
      <c r="AB116" s="152">
        <f>MIN(AA116,AA$7)</f>
        <v/>
      </c>
      <c r="AC116" s="152">
        <f>MAX(0,MIN(AA116-AB116,AQ116-(E116+I116+M116+Q116+U116+Y116)))</f>
        <v/>
      </c>
      <c r="AD116" s="152">
        <f>AA116-AB116-AC116</f>
        <v/>
      </c>
      <c r="AE116" s="152">
        <f>IF(AH115&lt;=0.005,0,AH115*(1+AE$6))</f>
        <v/>
      </c>
      <c r="AF116" s="152">
        <f>MIN(AE116,AE$7)</f>
        <v/>
      </c>
      <c r="AG116" s="152">
        <f>MAX(0,MIN(AE116-AF116,AQ116-(E116+I116+M116+Q116+U116+Y116+AC116)))</f>
        <v/>
      </c>
      <c r="AH116" s="152">
        <f>AE116-AF116-AG116</f>
        <v/>
      </c>
      <c r="AI116" s="152">
        <f>IF(AL115&lt;=0.005,0,AL115*(1+AI$6))</f>
        <v/>
      </c>
      <c r="AJ116" s="152">
        <f>MIN(AI116,AI$7)</f>
        <v/>
      </c>
      <c r="AK116" s="152">
        <f>MAX(0,MIN(AI116-AJ116,AQ116-(E116+I116+M116+Q116+U116+Y116+AC116+AG116)))</f>
        <v/>
      </c>
      <c r="AL116" s="152">
        <f>AI116-AJ116-AK116</f>
        <v/>
      </c>
      <c r="AM116" s="152">
        <f>IF(AP115&lt;=0.005,0,AP115*(1+AM$6))</f>
        <v/>
      </c>
      <c r="AN116" s="152">
        <f>MIN(AM116,AM$7)</f>
        <v/>
      </c>
      <c r="AO116" s="152">
        <f>MAX(0,MIN(AM116-AN116,AQ116-(E116+I116+M116+Q116+U116+Y116+AC116+AG116+AK116)))</f>
        <v/>
      </c>
      <c r="AP116" s="152">
        <f>AM116-AN116-AO116</f>
        <v/>
      </c>
      <c r="AQ116" s="152">
        <f>'Debt Payoff'!$C$8-SUM(D116,H116,L116,P116,T116,X116,AB116,AF116,AJ116,AN116)</f>
        <v/>
      </c>
      <c r="AR116" s="152">
        <f>SUM(D116,H116,L116,P116,T116,X116,AB116,AF116,AJ116,AN116)+SUM(E116,I116,M116,Q116,U116,Y116,AC116,AG116,AK116,AO116)</f>
        <v/>
      </c>
      <c r="AS116" s="152">
        <f>SUM(F116,J116,N116,R116,V116,Z116,AD116,AH116,AL116,AP116)</f>
        <v/>
      </c>
      <c r="AT116" s="152">
        <f>IF(B116&gt;AS$6,NA(),B116)</f>
        <v/>
      </c>
      <c r="AU116" s="152">
        <f>IF(B116&gt;AS$6,NA(),AS116)</f>
        <v/>
      </c>
      <c r="AV116" s="152" t="n"/>
      <c r="AW116" s="152" t="n">
        <v>105</v>
      </c>
      <c r="AX116" s="152">
        <f>IF(BA115&lt;=0.005,0,BA115*(1+AX$6))</f>
        <v/>
      </c>
      <c r="AY116" s="152">
        <f>MIN(AX116,AX$7)</f>
        <v/>
      </c>
      <c r="AZ116" s="152">
        <f>MAX(0,MIN(AX116-AY116,CL116))</f>
        <v/>
      </c>
      <c r="BA116" s="152">
        <f>AX116-AY116-AZ116</f>
        <v/>
      </c>
      <c r="BB116" s="152">
        <f>IF(BE115&lt;=0.005,0,BE115*(1+BB$6))</f>
        <v/>
      </c>
      <c r="BC116" s="152">
        <f>MIN(BB116,BB$7)</f>
        <v/>
      </c>
      <c r="BD116" s="152">
        <f>MAX(0,MIN(BB116-BC116,CL116-(AZ116)))</f>
        <v/>
      </c>
      <c r="BE116" s="152">
        <f>BB116-BC116-BD116</f>
        <v/>
      </c>
      <c r="BF116" s="152">
        <f>IF(BI115&lt;=0.005,0,BI115*(1+BF$6))</f>
        <v/>
      </c>
      <c r="BG116" s="152">
        <f>MIN(BF116,BF$7)</f>
        <v/>
      </c>
      <c r="BH116" s="152">
        <f>MAX(0,MIN(BF116-BG116,CL116-(AZ116+BD116)))</f>
        <v/>
      </c>
      <c r="BI116" s="152">
        <f>BF116-BG116-BH116</f>
        <v/>
      </c>
      <c r="BJ116" s="152">
        <f>IF(BM115&lt;=0.005,0,BM115*(1+BJ$6))</f>
        <v/>
      </c>
      <c r="BK116" s="152">
        <f>MIN(BJ116,BJ$7)</f>
        <v/>
      </c>
      <c r="BL116" s="152">
        <f>MAX(0,MIN(BJ116-BK116,CL116-(AZ116+BD116+BH116)))</f>
        <v/>
      </c>
      <c r="BM116" s="152">
        <f>BJ116-BK116-BL116</f>
        <v/>
      </c>
      <c r="BN116" s="152">
        <f>IF(BQ115&lt;=0.005,0,BQ115*(1+BN$6))</f>
        <v/>
      </c>
      <c r="BO116" s="152">
        <f>MIN(BN116,BN$7)</f>
        <v/>
      </c>
      <c r="BP116" s="152">
        <f>MAX(0,MIN(BN116-BO116,CL116-(AZ116+BD116+BH116+BL116)))</f>
        <v/>
      </c>
      <c r="BQ116" s="152">
        <f>BN116-BO116-BP116</f>
        <v/>
      </c>
      <c r="BR116" s="152">
        <f>IF(BU115&lt;=0.005,0,BU115*(1+BR$6))</f>
        <v/>
      </c>
      <c r="BS116" s="152">
        <f>MIN(BR116,BR$7)</f>
        <v/>
      </c>
      <c r="BT116" s="152">
        <f>MAX(0,MIN(BR116-BS116,CL116-(AZ116+BD116+BH116+BL116+BP116)))</f>
        <v/>
      </c>
      <c r="BU116" s="152">
        <f>BR116-BS116-BT116</f>
        <v/>
      </c>
      <c r="BV116" s="152">
        <f>IF(BY115&lt;=0.005,0,BY115*(1+BV$6))</f>
        <v/>
      </c>
      <c r="BW116" s="152">
        <f>MIN(BV116,BV$7)</f>
        <v/>
      </c>
      <c r="BX116" s="152">
        <f>MAX(0,MIN(BV116-BW116,CL116-(AZ116+BD116+BH116+BL116+BP116+BT116)))</f>
        <v/>
      </c>
      <c r="BY116" s="152">
        <f>BV116-BW116-BX116</f>
        <v/>
      </c>
      <c r="BZ116" s="152">
        <f>IF(CC115&lt;=0.005,0,CC115*(1+BZ$6))</f>
        <v/>
      </c>
      <c r="CA116" s="152">
        <f>MIN(BZ116,BZ$7)</f>
        <v/>
      </c>
      <c r="CB116" s="152">
        <f>MAX(0,MIN(BZ116-CA116,CL116-(AZ116+BD116+BH116+BL116+BP116+BT116+BX116)))</f>
        <v/>
      </c>
      <c r="CC116" s="152">
        <f>BZ116-CA116-CB116</f>
        <v/>
      </c>
      <c r="CD116" s="152">
        <f>IF(CG115&lt;=0.005,0,CG115*(1+CD$6))</f>
        <v/>
      </c>
      <c r="CE116" s="152">
        <f>MIN(CD116,CD$7)</f>
        <v/>
      </c>
      <c r="CF116" s="152">
        <f>MAX(0,MIN(CD116-CE116,CL116-(AZ116+BD116+BH116+BL116+BP116+BT116+BX116+CB116)))</f>
        <v/>
      </c>
      <c r="CG116" s="152">
        <f>CD116-CE116-CF116</f>
        <v/>
      </c>
      <c r="CH116" s="152">
        <f>IF(CK115&lt;=0.005,0,CK115*(1+CH$6))</f>
        <v/>
      </c>
      <c r="CI116" s="152">
        <f>MIN(CH116,CH$7)</f>
        <v/>
      </c>
      <c r="CJ116" s="152">
        <f>MAX(0,MIN(CH116-CI116,CL116-(AZ116+BD116+BH116+BL116+BP116+BT116+BX116+CB116+CF116)))</f>
        <v/>
      </c>
      <c r="CK116" s="152">
        <f>CH116-CI116-CJ116</f>
        <v/>
      </c>
      <c r="CL116" s="152">
        <f>'Debt Payoff'!$C$8-SUM(AY116,BC116,BG116,BK116,BO116,BS116,BW116,CA116,CE116,CI116)</f>
        <v/>
      </c>
      <c r="CM116" s="152">
        <f>SUM(AY116,BC116,BG116,BK116,BO116,BS116,BW116,CA116,CE116,CI116)+SUM(AZ116,BD116,BH116,BL116,BP116,BT116,BX116,CB116,CF116,CJ116)</f>
        <v/>
      </c>
      <c r="CN116" s="152">
        <f>SUM(BA116,BE116,BI116,BM116,BQ116,BU116,BY116,CC116,CG116,CK116)</f>
        <v/>
      </c>
      <c r="CO116" s="152">
        <f>IF(AW116&gt;CN$6,NA(),AW116)</f>
        <v/>
      </c>
      <c r="CP116" s="152">
        <f>IF(AW116&gt;CN$6,NA(),CN116)</f>
        <v/>
      </c>
    </row>
    <row r="117">
      <c r="B117" s="152" t="n">
        <v>106</v>
      </c>
      <c r="C117" s="152">
        <f>IF(F116&lt;=0.005,0,F116*(1+C$6))</f>
        <v/>
      </c>
      <c r="D117" s="152">
        <f>MIN(C117,C$7)</f>
        <v/>
      </c>
      <c r="E117" s="152">
        <f>MAX(0,MIN(C117-D117,AQ117))</f>
        <v/>
      </c>
      <c r="F117" s="152">
        <f>C117-D117-E117</f>
        <v/>
      </c>
      <c r="G117" s="152">
        <f>IF(J116&lt;=0.005,0,J116*(1+G$6))</f>
        <v/>
      </c>
      <c r="H117" s="152">
        <f>MIN(G117,G$7)</f>
        <v/>
      </c>
      <c r="I117" s="152">
        <f>MAX(0,MIN(G117-H117,AQ117-(E117)))</f>
        <v/>
      </c>
      <c r="J117" s="152">
        <f>G117-H117-I117</f>
        <v/>
      </c>
      <c r="K117" s="152">
        <f>IF(N116&lt;=0.005,0,N116*(1+K$6))</f>
        <v/>
      </c>
      <c r="L117" s="152">
        <f>MIN(K117,K$7)</f>
        <v/>
      </c>
      <c r="M117" s="152">
        <f>MAX(0,MIN(K117-L117,AQ117-(E117+I117)))</f>
        <v/>
      </c>
      <c r="N117" s="152">
        <f>K117-L117-M117</f>
        <v/>
      </c>
      <c r="O117" s="152">
        <f>IF(R116&lt;=0.005,0,R116*(1+O$6))</f>
        <v/>
      </c>
      <c r="P117" s="152">
        <f>MIN(O117,O$7)</f>
        <v/>
      </c>
      <c r="Q117" s="152">
        <f>MAX(0,MIN(O117-P117,AQ117-(E117+I117+M117)))</f>
        <v/>
      </c>
      <c r="R117" s="152">
        <f>O117-P117-Q117</f>
        <v/>
      </c>
      <c r="S117" s="152">
        <f>IF(V116&lt;=0.005,0,V116*(1+S$6))</f>
        <v/>
      </c>
      <c r="T117" s="152">
        <f>MIN(S117,S$7)</f>
        <v/>
      </c>
      <c r="U117" s="152">
        <f>MAX(0,MIN(S117-T117,AQ117-(E117+I117+M117+Q117)))</f>
        <v/>
      </c>
      <c r="V117" s="152">
        <f>S117-T117-U117</f>
        <v/>
      </c>
      <c r="W117" s="152">
        <f>IF(Z116&lt;=0.005,0,Z116*(1+W$6))</f>
        <v/>
      </c>
      <c r="X117" s="152">
        <f>MIN(W117,W$7)</f>
        <v/>
      </c>
      <c r="Y117" s="152">
        <f>MAX(0,MIN(W117-X117,AQ117-(E117+I117+M117+Q117+U117)))</f>
        <v/>
      </c>
      <c r="Z117" s="152">
        <f>W117-X117-Y117</f>
        <v/>
      </c>
      <c r="AA117" s="152">
        <f>IF(AD116&lt;=0.005,0,AD116*(1+AA$6))</f>
        <v/>
      </c>
      <c r="AB117" s="152">
        <f>MIN(AA117,AA$7)</f>
        <v/>
      </c>
      <c r="AC117" s="152">
        <f>MAX(0,MIN(AA117-AB117,AQ117-(E117+I117+M117+Q117+U117+Y117)))</f>
        <v/>
      </c>
      <c r="AD117" s="152">
        <f>AA117-AB117-AC117</f>
        <v/>
      </c>
      <c r="AE117" s="152">
        <f>IF(AH116&lt;=0.005,0,AH116*(1+AE$6))</f>
        <v/>
      </c>
      <c r="AF117" s="152">
        <f>MIN(AE117,AE$7)</f>
        <v/>
      </c>
      <c r="AG117" s="152">
        <f>MAX(0,MIN(AE117-AF117,AQ117-(E117+I117+M117+Q117+U117+Y117+AC117)))</f>
        <v/>
      </c>
      <c r="AH117" s="152">
        <f>AE117-AF117-AG117</f>
        <v/>
      </c>
      <c r="AI117" s="152">
        <f>IF(AL116&lt;=0.005,0,AL116*(1+AI$6))</f>
        <v/>
      </c>
      <c r="AJ117" s="152">
        <f>MIN(AI117,AI$7)</f>
        <v/>
      </c>
      <c r="AK117" s="152">
        <f>MAX(0,MIN(AI117-AJ117,AQ117-(E117+I117+M117+Q117+U117+Y117+AC117+AG117)))</f>
        <v/>
      </c>
      <c r="AL117" s="152">
        <f>AI117-AJ117-AK117</f>
        <v/>
      </c>
      <c r="AM117" s="152">
        <f>IF(AP116&lt;=0.005,0,AP116*(1+AM$6))</f>
        <v/>
      </c>
      <c r="AN117" s="152">
        <f>MIN(AM117,AM$7)</f>
        <v/>
      </c>
      <c r="AO117" s="152">
        <f>MAX(0,MIN(AM117-AN117,AQ117-(E117+I117+M117+Q117+U117+Y117+AC117+AG117+AK117)))</f>
        <v/>
      </c>
      <c r="AP117" s="152">
        <f>AM117-AN117-AO117</f>
        <v/>
      </c>
      <c r="AQ117" s="152">
        <f>'Debt Payoff'!$C$8-SUM(D117,H117,L117,P117,T117,X117,AB117,AF117,AJ117,AN117)</f>
        <v/>
      </c>
      <c r="AR117" s="152">
        <f>SUM(D117,H117,L117,P117,T117,X117,AB117,AF117,AJ117,AN117)+SUM(E117,I117,M117,Q117,U117,Y117,AC117,AG117,AK117,AO117)</f>
        <v/>
      </c>
      <c r="AS117" s="152">
        <f>SUM(F117,J117,N117,R117,V117,Z117,AD117,AH117,AL117,AP117)</f>
        <v/>
      </c>
      <c r="AT117" s="152">
        <f>IF(B117&gt;AS$6,NA(),B117)</f>
        <v/>
      </c>
      <c r="AU117" s="152">
        <f>IF(B117&gt;AS$6,NA(),AS117)</f>
        <v/>
      </c>
      <c r="AV117" s="152" t="n"/>
      <c r="AW117" s="152" t="n">
        <v>106</v>
      </c>
      <c r="AX117" s="152">
        <f>IF(BA116&lt;=0.005,0,BA116*(1+AX$6))</f>
        <v/>
      </c>
      <c r="AY117" s="152">
        <f>MIN(AX117,AX$7)</f>
        <v/>
      </c>
      <c r="AZ117" s="152">
        <f>MAX(0,MIN(AX117-AY117,CL117))</f>
        <v/>
      </c>
      <c r="BA117" s="152">
        <f>AX117-AY117-AZ117</f>
        <v/>
      </c>
      <c r="BB117" s="152">
        <f>IF(BE116&lt;=0.005,0,BE116*(1+BB$6))</f>
        <v/>
      </c>
      <c r="BC117" s="152">
        <f>MIN(BB117,BB$7)</f>
        <v/>
      </c>
      <c r="BD117" s="152">
        <f>MAX(0,MIN(BB117-BC117,CL117-(AZ117)))</f>
        <v/>
      </c>
      <c r="BE117" s="152">
        <f>BB117-BC117-BD117</f>
        <v/>
      </c>
      <c r="BF117" s="152">
        <f>IF(BI116&lt;=0.005,0,BI116*(1+BF$6))</f>
        <v/>
      </c>
      <c r="BG117" s="152">
        <f>MIN(BF117,BF$7)</f>
        <v/>
      </c>
      <c r="BH117" s="152">
        <f>MAX(0,MIN(BF117-BG117,CL117-(AZ117+BD117)))</f>
        <v/>
      </c>
      <c r="BI117" s="152">
        <f>BF117-BG117-BH117</f>
        <v/>
      </c>
      <c r="BJ117" s="152">
        <f>IF(BM116&lt;=0.005,0,BM116*(1+BJ$6))</f>
        <v/>
      </c>
      <c r="BK117" s="152">
        <f>MIN(BJ117,BJ$7)</f>
        <v/>
      </c>
      <c r="BL117" s="152">
        <f>MAX(0,MIN(BJ117-BK117,CL117-(AZ117+BD117+BH117)))</f>
        <v/>
      </c>
      <c r="BM117" s="152">
        <f>BJ117-BK117-BL117</f>
        <v/>
      </c>
      <c r="BN117" s="152">
        <f>IF(BQ116&lt;=0.005,0,BQ116*(1+BN$6))</f>
        <v/>
      </c>
      <c r="BO117" s="152">
        <f>MIN(BN117,BN$7)</f>
        <v/>
      </c>
      <c r="BP117" s="152">
        <f>MAX(0,MIN(BN117-BO117,CL117-(AZ117+BD117+BH117+BL117)))</f>
        <v/>
      </c>
      <c r="BQ117" s="152">
        <f>BN117-BO117-BP117</f>
        <v/>
      </c>
      <c r="BR117" s="152">
        <f>IF(BU116&lt;=0.005,0,BU116*(1+BR$6))</f>
        <v/>
      </c>
      <c r="BS117" s="152">
        <f>MIN(BR117,BR$7)</f>
        <v/>
      </c>
      <c r="BT117" s="152">
        <f>MAX(0,MIN(BR117-BS117,CL117-(AZ117+BD117+BH117+BL117+BP117)))</f>
        <v/>
      </c>
      <c r="BU117" s="152">
        <f>BR117-BS117-BT117</f>
        <v/>
      </c>
      <c r="BV117" s="152">
        <f>IF(BY116&lt;=0.005,0,BY116*(1+BV$6))</f>
        <v/>
      </c>
      <c r="BW117" s="152">
        <f>MIN(BV117,BV$7)</f>
        <v/>
      </c>
      <c r="BX117" s="152">
        <f>MAX(0,MIN(BV117-BW117,CL117-(AZ117+BD117+BH117+BL117+BP117+BT117)))</f>
        <v/>
      </c>
      <c r="BY117" s="152">
        <f>BV117-BW117-BX117</f>
        <v/>
      </c>
      <c r="BZ117" s="152">
        <f>IF(CC116&lt;=0.005,0,CC116*(1+BZ$6))</f>
        <v/>
      </c>
      <c r="CA117" s="152">
        <f>MIN(BZ117,BZ$7)</f>
        <v/>
      </c>
      <c r="CB117" s="152">
        <f>MAX(0,MIN(BZ117-CA117,CL117-(AZ117+BD117+BH117+BL117+BP117+BT117+BX117)))</f>
        <v/>
      </c>
      <c r="CC117" s="152">
        <f>BZ117-CA117-CB117</f>
        <v/>
      </c>
      <c r="CD117" s="152">
        <f>IF(CG116&lt;=0.005,0,CG116*(1+CD$6))</f>
        <v/>
      </c>
      <c r="CE117" s="152">
        <f>MIN(CD117,CD$7)</f>
        <v/>
      </c>
      <c r="CF117" s="152">
        <f>MAX(0,MIN(CD117-CE117,CL117-(AZ117+BD117+BH117+BL117+BP117+BT117+BX117+CB117)))</f>
        <v/>
      </c>
      <c r="CG117" s="152">
        <f>CD117-CE117-CF117</f>
        <v/>
      </c>
      <c r="CH117" s="152">
        <f>IF(CK116&lt;=0.005,0,CK116*(1+CH$6))</f>
        <v/>
      </c>
      <c r="CI117" s="152">
        <f>MIN(CH117,CH$7)</f>
        <v/>
      </c>
      <c r="CJ117" s="152">
        <f>MAX(0,MIN(CH117-CI117,CL117-(AZ117+BD117+BH117+BL117+BP117+BT117+BX117+CB117+CF117)))</f>
        <v/>
      </c>
      <c r="CK117" s="152">
        <f>CH117-CI117-CJ117</f>
        <v/>
      </c>
      <c r="CL117" s="152">
        <f>'Debt Payoff'!$C$8-SUM(AY117,BC117,BG117,BK117,BO117,BS117,BW117,CA117,CE117,CI117)</f>
        <v/>
      </c>
      <c r="CM117" s="152">
        <f>SUM(AY117,BC117,BG117,BK117,BO117,BS117,BW117,CA117,CE117,CI117)+SUM(AZ117,BD117,BH117,BL117,BP117,BT117,BX117,CB117,CF117,CJ117)</f>
        <v/>
      </c>
      <c r="CN117" s="152">
        <f>SUM(BA117,BE117,BI117,BM117,BQ117,BU117,BY117,CC117,CG117,CK117)</f>
        <v/>
      </c>
      <c r="CO117" s="152">
        <f>IF(AW117&gt;CN$6,NA(),AW117)</f>
        <v/>
      </c>
      <c r="CP117" s="152">
        <f>IF(AW117&gt;CN$6,NA(),CN117)</f>
        <v/>
      </c>
    </row>
    <row r="118">
      <c r="B118" s="152" t="n">
        <v>107</v>
      </c>
      <c r="C118" s="152">
        <f>IF(F117&lt;=0.005,0,F117*(1+C$6))</f>
        <v/>
      </c>
      <c r="D118" s="152">
        <f>MIN(C118,C$7)</f>
        <v/>
      </c>
      <c r="E118" s="152">
        <f>MAX(0,MIN(C118-D118,AQ118))</f>
        <v/>
      </c>
      <c r="F118" s="152">
        <f>C118-D118-E118</f>
        <v/>
      </c>
      <c r="G118" s="152">
        <f>IF(J117&lt;=0.005,0,J117*(1+G$6))</f>
        <v/>
      </c>
      <c r="H118" s="152">
        <f>MIN(G118,G$7)</f>
        <v/>
      </c>
      <c r="I118" s="152">
        <f>MAX(0,MIN(G118-H118,AQ118-(E118)))</f>
        <v/>
      </c>
      <c r="J118" s="152">
        <f>G118-H118-I118</f>
        <v/>
      </c>
      <c r="K118" s="152">
        <f>IF(N117&lt;=0.005,0,N117*(1+K$6))</f>
        <v/>
      </c>
      <c r="L118" s="152">
        <f>MIN(K118,K$7)</f>
        <v/>
      </c>
      <c r="M118" s="152">
        <f>MAX(0,MIN(K118-L118,AQ118-(E118+I118)))</f>
        <v/>
      </c>
      <c r="N118" s="152">
        <f>K118-L118-M118</f>
        <v/>
      </c>
      <c r="O118" s="152">
        <f>IF(R117&lt;=0.005,0,R117*(1+O$6))</f>
        <v/>
      </c>
      <c r="P118" s="152">
        <f>MIN(O118,O$7)</f>
        <v/>
      </c>
      <c r="Q118" s="152">
        <f>MAX(0,MIN(O118-P118,AQ118-(E118+I118+M118)))</f>
        <v/>
      </c>
      <c r="R118" s="152">
        <f>O118-P118-Q118</f>
        <v/>
      </c>
      <c r="S118" s="152">
        <f>IF(V117&lt;=0.005,0,V117*(1+S$6))</f>
        <v/>
      </c>
      <c r="T118" s="152">
        <f>MIN(S118,S$7)</f>
        <v/>
      </c>
      <c r="U118" s="152">
        <f>MAX(0,MIN(S118-T118,AQ118-(E118+I118+M118+Q118)))</f>
        <v/>
      </c>
      <c r="V118" s="152">
        <f>S118-T118-U118</f>
        <v/>
      </c>
      <c r="W118" s="152">
        <f>IF(Z117&lt;=0.005,0,Z117*(1+W$6))</f>
        <v/>
      </c>
      <c r="X118" s="152">
        <f>MIN(W118,W$7)</f>
        <v/>
      </c>
      <c r="Y118" s="152">
        <f>MAX(0,MIN(W118-X118,AQ118-(E118+I118+M118+Q118+U118)))</f>
        <v/>
      </c>
      <c r="Z118" s="152">
        <f>W118-X118-Y118</f>
        <v/>
      </c>
      <c r="AA118" s="152">
        <f>IF(AD117&lt;=0.005,0,AD117*(1+AA$6))</f>
        <v/>
      </c>
      <c r="AB118" s="152">
        <f>MIN(AA118,AA$7)</f>
        <v/>
      </c>
      <c r="AC118" s="152">
        <f>MAX(0,MIN(AA118-AB118,AQ118-(E118+I118+M118+Q118+U118+Y118)))</f>
        <v/>
      </c>
      <c r="AD118" s="152">
        <f>AA118-AB118-AC118</f>
        <v/>
      </c>
      <c r="AE118" s="152">
        <f>IF(AH117&lt;=0.005,0,AH117*(1+AE$6))</f>
        <v/>
      </c>
      <c r="AF118" s="152">
        <f>MIN(AE118,AE$7)</f>
        <v/>
      </c>
      <c r="AG118" s="152">
        <f>MAX(0,MIN(AE118-AF118,AQ118-(E118+I118+M118+Q118+U118+Y118+AC118)))</f>
        <v/>
      </c>
      <c r="AH118" s="152">
        <f>AE118-AF118-AG118</f>
        <v/>
      </c>
      <c r="AI118" s="152">
        <f>IF(AL117&lt;=0.005,0,AL117*(1+AI$6))</f>
        <v/>
      </c>
      <c r="AJ118" s="152">
        <f>MIN(AI118,AI$7)</f>
        <v/>
      </c>
      <c r="AK118" s="152">
        <f>MAX(0,MIN(AI118-AJ118,AQ118-(E118+I118+M118+Q118+U118+Y118+AC118+AG118)))</f>
        <v/>
      </c>
      <c r="AL118" s="152">
        <f>AI118-AJ118-AK118</f>
        <v/>
      </c>
      <c r="AM118" s="152">
        <f>IF(AP117&lt;=0.005,0,AP117*(1+AM$6))</f>
        <v/>
      </c>
      <c r="AN118" s="152">
        <f>MIN(AM118,AM$7)</f>
        <v/>
      </c>
      <c r="AO118" s="152">
        <f>MAX(0,MIN(AM118-AN118,AQ118-(E118+I118+M118+Q118+U118+Y118+AC118+AG118+AK118)))</f>
        <v/>
      </c>
      <c r="AP118" s="152">
        <f>AM118-AN118-AO118</f>
        <v/>
      </c>
      <c r="AQ118" s="152">
        <f>'Debt Payoff'!$C$8-SUM(D118,H118,L118,P118,T118,X118,AB118,AF118,AJ118,AN118)</f>
        <v/>
      </c>
      <c r="AR118" s="152">
        <f>SUM(D118,H118,L118,P118,T118,X118,AB118,AF118,AJ118,AN118)+SUM(E118,I118,M118,Q118,U118,Y118,AC118,AG118,AK118,AO118)</f>
        <v/>
      </c>
      <c r="AS118" s="152">
        <f>SUM(F118,J118,N118,R118,V118,Z118,AD118,AH118,AL118,AP118)</f>
        <v/>
      </c>
      <c r="AT118" s="152">
        <f>IF(B118&gt;AS$6,NA(),B118)</f>
        <v/>
      </c>
      <c r="AU118" s="152">
        <f>IF(B118&gt;AS$6,NA(),AS118)</f>
        <v/>
      </c>
      <c r="AV118" s="152" t="n"/>
      <c r="AW118" s="152" t="n">
        <v>107</v>
      </c>
      <c r="AX118" s="152">
        <f>IF(BA117&lt;=0.005,0,BA117*(1+AX$6))</f>
        <v/>
      </c>
      <c r="AY118" s="152">
        <f>MIN(AX118,AX$7)</f>
        <v/>
      </c>
      <c r="AZ118" s="152">
        <f>MAX(0,MIN(AX118-AY118,CL118))</f>
        <v/>
      </c>
      <c r="BA118" s="152">
        <f>AX118-AY118-AZ118</f>
        <v/>
      </c>
      <c r="BB118" s="152">
        <f>IF(BE117&lt;=0.005,0,BE117*(1+BB$6))</f>
        <v/>
      </c>
      <c r="BC118" s="152">
        <f>MIN(BB118,BB$7)</f>
        <v/>
      </c>
      <c r="BD118" s="152">
        <f>MAX(0,MIN(BB118-BC118,CL118-(AZ118)))</f>
        <v/>
      </c>
      <c r="BE118" s="152">
        <f>BB118-BC118-BD118</f>
        <v/>
      </c>
      <c r="BF118" s="152">
        <f>IF(BI117&lt;=0.005,0,BI117*(1+BF$6))</f>
        <v/>
      </c>
      <c r="BG118" s="152">
        <f>MIN(BF118,BF$7)</f>
        <v/>
      </c>
      <c r="BH118" s="152">
        <f>MAX(0,MIN(BF118-BG118,CL118-(AZ118+BD118)))</f>
        <v/>
      </c>
      <c r="BI118" s="152">
        <f>BF118-BG118-BH118</f>
        <v/>
      </c>
      <c r="BJ118" s="152">
        <f>IF(BM117&lt;=0.005,0,BM117*(1+BJ$6))</f>
        <v/>
      </c>
      <c r="BK118" s="152">
        <f>MIN(BJ118,BJ$7)</f>
        <v/>
      </c>
      <c r="BL118" s="152">
        <f>MAX(0,MIN(BJ118-BK118,CL118-(AZ118+BD118+BH118)))</f>
        <v/>
      </c>
      <c r="BM118" s="152">
        <f>BJ118-BK118-BL118</f>
        <v/>
      </c>
      <c r="BN118" s="152">
        <f>IF(BQ117&lt;=0.005,0,BQ117*(1+BN$6))</f>
        <v/>
      </c>
      <c r="BO118" s="152">
        <f>MIN(BN118,BN$7)</f>
        <v/>
      </c>
      <c r="BP118" s="152">
        <f>MAX(0,MIN(BN118-BO118,CL118-(AZ118+BD118+BH118+BL118)))</f>
        <v/>
      </c>
      <c r="BQ118" s="152">
        <f>BN118-BO118-BP118</f>
        <v/>
      </c>
      <c r="BR118" s="152">
        <f>IF(BU117&lt;=0.005,0,BU117*(1+BR$6))</f>
        <v/>
      </c>
      <c r="BS118" s="152">
        <f>MIN(BR118,BR$7)</f>
        <v/>
      </c>
      <c r="BT118" s="152">
        <f>MAX(0,MIN(BR118-BS118,CL118-(AZ118+BD118+BH118+BL118+BP118)))</f>
        <v/>
      </c>
      <c r="BU118" s="152">
        <f>BR118-BS118-BT118</f>
        <v/>
      </c>
      <c r="BV118" s="152">
        <f>IF(BY117&lt;=0.005,0,BY117*(1+BV$6))</f>
        <v/>
      </c>
      <c r="BW118" s="152">
        <f>MIN(BV118,BV$7)</f>
        <v/>
      </c>
      <c r="BX118" s="152">
        <f>MAX(0,MIN(BV118-BW118,CL118-(AZ118+BD118+BH118+BL118+BP118+BT118)))</f>
        <v/>
      </c>
      <c r="BY118" s="152">
        <f>BV118-BW118-BX118</f>
        <v/>
      </c>
      <c r="BZ118" s="152">
        <f>IF(CC117&lt;=0.005,0,CC117*(1+BZ$6))</f>
        <v/>
      </c>
      <c r="CA118" s="152">
        <f>MIN(BZ118,BZ$7)</f>
        <v/>
      </c>
      <c r="CB118" s="152">
        <f>MAX(0,MIN(BZ118-CA118,CL118-(AZ118+BD118+BH118+BL118+BP118+BT118+BX118)))</f>
        <v/>
      </c>
      <c r="CC118" s="152">
        <f>BZ118-CA118-CB118</f>
        <v/>
      </c>
      <c r="CD118" s="152">
        <f>IF(CG117&lt;=0.005,0,CG117*(1+CD$6))</f>
        <v/>
      </c>
      <c r="CE118" s="152">
        <f>MIN(CD118,CD$7)</f>
        <v/>
      </c>
      <c r="CF118" s="152">
        <f>MAX(0,MIN(CD118-CE118,CL118-(AZ118+BD118+BH118+BL118+BP118+BT118+BX118+CB118)))</f>
        <v/>
      </c>
      <c r="CG118" s="152">
        <f>CD118-CE118-CF118</f>
        <v/>
      </c>
      <c r="CH118" s="152">
        <f>IF(CK117&lt;=0.005,0,CK117*(1+CH$6))</f>
        <v/>
      </c>
      <c r="CI118" s="152">
        <f>MIN(CH118,CH$7)</f>
        <v/>
      </c>
      <c r="CJ118" s="152">
        <f>MAX(0,MIN(CH118-CI118,CL118-(AZ118+BD118+BH118+BL118+BP118+BT118+BX118+CB118+CF118)))</f>
        <v/>
      </c>
      <c r="CK118" s="152">
        <f>CH118-CI118-CJ118</f>
        <v/>
      </c>
      <c r="CL118" s="152">
        <f>'Debt Payoff'!$C$8-SUM(AY118,BC118,BG118,BK118,BO118,BS118,BW118,CA118,CE118,CI118)</f>
        <v/>
      </c>
      <c r="CM118" s="152">
        <f>SUM(AY118,BC118,BG118,BK118,BO118,BS118,BW118,CA118,CE118,CI118)+SUM(AZ118,BD118,BH118,BL118,BP118,BT118,BX118,CB118,CF118,CJ118)</f>
        <v/>
      </c>
      <c r="CN118" s="152">
        <f>SUM(BA118,BE118,BI118,BM118,BQ118,BU118,BY118,CC118,CG118,CK118)</f>
        <v/>
      </c>
      <c r="CO118" s="152">
        <f>IF(AW118&gt;CN$6,NA(),AW118)</f>
        <v/>
      </c>
      <c r="CP118" s="152">
        <f>IF(AW118&gt;CN$6,NA(),CN118)</f>
        <v/>
      </c>
    </row>
    <row r="119">
      <c r="B119" s="152" t="n">
        <v>108</v>
      </c>
      <c r="C119" s="152">
        <f>IF(F118&lt;=0.005,0,F118*(1+C$6))</f>
        <v/>
      </c>
      <c r="D119" s="152">
        <f>MIN(C119,C$7)</f>
        <v/>
      </c>
      <c r="E119" s="152">
        <f>MAX(0,MIN(C119-D119,AQ119))</f>
        <v/>
      </c>
      <c r="F119" s="152">
        <f>C119-D119-E119</f>
        <v/>
      </c>
      <c r="G119" s="152">
        <f>IF(J118&lt;=0.005,0,J118*(1+G$6))</f>
        <v/>
      </c>
      <c r="H119" s="152">
        <f>MIN(G119,G$7)</f>
        <v/>
      </c>
      <c r="I119" s="152">
        <f>MAX(0,MIN(G119-H119,AQ119-(E119)))</f>
        <v/>
      </c>
      <c r="J119" s="152">
        <f>G119-H119-I119</f>
        <v/>
      </c>
      <c r="K119" s="152">
        <f>IF(N118&lt;=0.005,0,N118*(1+K$6))</f>
        <v/>
      </c>
      <c r="L119" s="152">
        <f>MIN(K119,K$7)</f>
        <v/>
      </c>
      <c r="M119" s="152">
        <f>MAX(0,MIN(K119-L119,AQ119-(E119+I119)))</f>
        <v/>
      </c>
      <c r="N119" s="152">
        <f>K119-L119-M119</f>
        <v/>
      </c>
      <c r="O119" s="152">
        <f>IF(R118&lt;=0.005,0,R118*(1+O$6))</f>
        <v/>
      </c>
      <c r="P119" s="152">
        <f>MIN(O119,O$7)</f>
        <v/>
      </c>
      <c r="Q119" s="152">
        <f>MAX(0,MIN(O119-P119,AQ119-(E119+I119+M119)))</f>
        <v/>
      </c>
      <c r="R119" s="152">
        <f>O119-P119-Q119</f>
        <v/>
      </c>
      <c r="S119" s="152">
        <f>IF(V118&lt;=0.005,0,V118*(1+S$6))</f>
        <v/>
      </c>
      <c r="T119" s="152">
        <f>MIN(S119,S$7)</f>
        <v/>
      </c>
      <c r="U119" s="152">
        <f>MAX(0,MIN(S119-T119,AQ119-(E119+I119+M119+Q119)))</f>
        <v/>
      </c>
      <c r="V119" s="152">
        <f>S119-T119-U119</f>
        <v/>
      </c>
      <c r="W119" s="152">
        <f>IF(Z118&lt;=0.005,0,Z118*(1+W$6))</f>
        <v/>
      </c>
      <c r="X119" s="152">
        <f>MIN(W119,W$7)</f>
        <v/>
      </c>
      <c r="Y119" s="152">
        <f>MAX(0,MIN(W119-X119,AQ119-(E119+I119+M119+Q119+U119)))</f>
        <v/>
      </c>
      <c r="Z119" s="152">
        <f>W119-X119-Y119</f>
        <v/>
      </c>
      <c r="AA119" s="152">
        <f>IF(AD118&lt;=0.005,0,AD118*(1+AA$6))</f>
        <v/>
      </c>
      <c r="AB119" s="152">
        <f>MIN(AA119,AA$7)</f>
        <v/>
      </c>
      <c r="AC119" s="152">
        <f>MAX(0,MIN(AA119-AB119,AQ119-(E119+I119+M119+Q119+U119+Y119)))</f>
        <v/>
      </c>
      <c r="AD119" s="152">
        <f>AA119-AB119-AC119</f>
        <v/>
      </c>
      <c r="AE119" s="152">
        <f>IF(AH118&lt;=0.005,0,AH118*(1+AE$6))</f>
        <v/>
      </c>
      <c r="AF119" s="152">
        <f>MIN(AE119,AE$7)</f>
        <v/>
      </c>
      <c r="AG119" s="152">
        <f>MAX(0,MIN(AE119-AF119,AQ119-(E119+I119+M119+Q119+U119+Y119+AC119)))</f>
        <v/>
      </c>
      <c r="AH119" s="152">
        <f>AE119-AF119-AG119</f>
        <v/>
      </c>
      <c r="AI119" s="152">
        <f>IF(AL118&lt;=0.005,0,AL118*(1+AI$6))</f>
        <v/>
      </c>
      <c r="AJ119" s="152">
        <f>MIN(AI119,AI$7)</f>
        <v/>
      </c>
      <c r="AK119" s="152">
        <f>MAX(0,MIN(AI119-AJ119,AQ119-(E119+I119+M119+Q119+U119+Y119+AC119+AG119)))</f>
        <v/>
      </c>
      <c r="AL119" s="152">
        <f>AI119-AJ119-AK119</f>
        <v/>
      </c>
      <c r="AM119" s="152">
        <f>IF(AP118&lt;=0.005,0,AP118*(1+AM$6))</f>
        <v/>
      </c>
      <c r="AN119" s="152">
        <f>MIN(AM119,AM$7)</f>
        <v/>
      </c>
      <c r="AO119" s="152">
        <f>MAX(0,MIN(AM119-AN119,AQ119-(E119+I119+M119+Q119+U119+Y119+AC119+AG119+AK119)))</f>
        <v/>
      </c>
      <c r="AP119" s="152">
        <f>AM119-AN119-AO119</f>
        <v/>
      </c>
      <c r="AQ119" s="152">
        <f>'Debt Payoff'!$C$8-SUM(D119,H119,L119,P119,T119,X119,AB119,AF119,AJ119,AN119)</f>
        <v/>
      </c>
      <c r="AR119" s="152">
        <f>SUM(D119,H119,L119,P119,T119,X119,AB119,AF119,AJ119,AN119)+SUM(E119,I119,M119,Q119,U119,Y119,AC119,AG119,AK119,AO119)</f>
        <v/>
      </c>
      <c r="AS119" s="152">
        <f>SUM(F119,J119,N119,R119,V119,Z119,AD119,AH119,AL119,AP119)</f>
        <v/>
      </c>
      <c r="AT119" s="152">
        <f>IF(B119&gt;AS$6,NA(),B119)</f>
        <v/>
      </c>
      <c r="AU119" s="152">
        <f>IF(B119&gt;AS$6,NA(),AS119)</f>
        <v/>
      </c>
      <c r="AV119" s="152" t="n"/>
      <c r="AW119" s="152" t="n">
        <v>108</v>
      </c>
      <c r="AX119" s="152">
        <f>IF(BA118&lt;=0.005,0,BA118*(1+AX$6))</f>
        <v/>
      </c>
      <c r="AY119" s="152">
        <f>MIN(AX119,AX$7)</f>
        <v/>
      </c>
      <c r="AZ119" s="152">
        <f>MAX(0,MIN(AX119-AY119,CL119))</f>
        <v/>
      </c>
      <c r="BA119" s="152">
        <f>AX119-AY119-AZ119</f>
        <v/>
      </c>
      <c r="BB119" s="152">
        <f>IF(BE118&lt;=0.005,0,BE118*(1+BB$6))</f>
        <v/>
      </c>
      <c r="BC119" s="152">
        <f>MIN(BB119,BB$7)</f>
        <v/>
      </c>
      <c r="BD119" s="152">
        <f>MAX(0,MIN(BB119-BC119,CL119-(AZ119)))</f>
        <v/>
      </c>
      <c r="BE119" s="152">
        <f>BB119-BC119-BD119</f>
        <v/>
      </c>
      <c r="BF119" s="152">
        <f>IF(BI118&lt;=0.005,0,BI118*(1+BF$6))</f>
        <v/>
      </c>
      <c r="BG119" s="152">
        <f>MIN(BF119,BF$7)</f>
        <v/>
      </c>
      <c r="BH119" s="152">
        <f>MAX(0,MIN(BF119-BG119,CL119-(AZ119+BD119)))</f>
        <v/>
      </c>
      <c r="BI119" s="152">
        <f>BF119-BG119-BH119</f>
        <v/>
      </c>
      <c r="BJ119" s="152">
        <f>IF(BM118&lt;=0.005,0,BM118*(1+BJ$6))</f>
        <v/>
      </c>
      <c r="BK119" s="152">
        <f>MIN(BJ119,BJ$7)</f>
        <v/>
      </c>
      <c r="BL119" s="152">
        <f>MAX(0,MIN(BJ119-BK119,CL119-(AZ119+BD119+BH119)))</f>
        <v/>
      </c>
      <c r="BM119" s="152">
        <f>BJ119-BK119-BL119</f>
        <v/>
      </c>
      <c r="BN119" s="152">
        <f>IF(BQ118&lt;=0.005,0,BQ118*(1+BN$6))</f>
        <v/>
      </c>
      <c r="BO119" s="152">
        <f>MIN(BN119,BN$7)</f>
        <v/>
      </c>
      <c r="BP119" s="152">
        <f>MAX(0,MIN(BN119-BO119,CL119-(AZ119+BD119+BH119+BL119)))</f>
        <v/>
      </c>
      <c r="BQ119" s="152">
        <f>BN119-BO119-BP119</f>
        <v/>
      </c>
      <c r="BR119" s="152">
        <f>IF(BU118&lt;=0.005,0,BU118*(1+BR$6))</f>
        <v/>
      </c>
      <c r="BS119" s="152">
        <f>MIN(BR119,BR$7)</f>
        <v/>
      </c>
      <c r="BT119" s="152">
        <f>MAX(0,MIN(BR119-BS119,CL119-(AZ119+BD119+BH119+BL119+BP119)))</f>
        <v/>
      </c>
      <c r="BU119" s="152">
        <f>BR119-BS119-BT119</f>
        <v/>
      </c>
      <c r="BV119" s="152">
        <f>IF(BY118&lt;=0.005,0,BY118*(1+BV$6))</f>
        <v/>
      </c>
      <c r="BW119" s="152">
        <f>MIN(BV119,BV$7)</f>
        <v/>
      </c>
      <c r="BX119" s="152">
        <f>MAX(0,MIN(BV119-BW119,CL119-(AZ119+BD119+BH119+BL119+BP119+BT119)))</f>
        <v/>
      </c>
      <c r="BY119" s="152">
        <f>BV119-BW119-BX119</f>
        <v/>
      </c>
      <c r="BZ119" s="152">
        <f>IF(CC118&lt;=0.005,0,CC118*(1+BZ$6))</f>
        <v/>
      </c>
      <c r="CA119" s="152">
        <f>MIN(BZ119,BZ$7)</f>
        <v/>
      </c>
      <c r="CB119" s="152">
        <f>MAX(0,MIN(BZ119-CA119,CL119-(AZ119+BD119+BH119+BL119+BP119+BT119+BX119)))</f>
        <v/>
      </c>
      <c r="CC119" s="152">
        <f>BZ119-CA119-CB119</f>
        <v/>
      </c>
      <c r="CD119" s="152">
        <f>IF(CG118&lt;=0.005,0,CG118*(1+CD$6))</f>
        <v/>
      </c>
      <c r="CE119" s="152">
        <f>MIN(CD119,CD$7)</f>
        <v/>
      </c>
      <c r="CF119" s="152">
        <f>MAX(0,MIN(CD119-CE119,CL119-(AZ119+BD119+BH119+BL119+BP119+BT119+BX119+CB119)))</f>
        <v/>
      </c>
      <c r="CG119" s="152">
        <f>CD119-CE119-CF119</f>
        <v/>
      </c>
      <c r="CH119" s="152">
        <f>IF(CK118&lt;=0.005,0,CK118*(1+CH$6))</f>
        <v/>
      </c>
      <c r="CI119" s="152">
        <f>MIN(CH119,CH$7)</f>
        <v/>
      </c>
      <c r="CJ119" s="152">
        <f>MAX(0,MIN(CH119-CI119,CL119-(AZ119+BD119+BH119+BL119+BP119+BT119+BX119+CB119+CF119)))</f>
        <v/>
      </c>
      <c r="CK119" s="152">
        <f>CH119-CI119-CJ119</f>
        <v/>
      </c>
      <c r="CL119" s="152">
        <f>'Debt Payoff'!$C$8-SUM(AY119,BC119,BG119,BK119,BO119,BS119,BW119,CA119,CE119,CI119)</f>
        <v/>
      </c>
      <c r="CM119" s="152">
        <f>SUM(AY119,BC119,BG119,BK119,BO119,BS119,BW119,CA119,CE119,CI119)+SUM(AZ119,BD119,BH119,BL119,BP119,BT119,BX119,CB119,CF119,CJ119)</f>
        <v/>
      </c>
      <c r="CN119" s="152">
        <f>SUM(BA119,BE119,BI119,BM119,BQ119,BU119,BY119,CC119,CG119,CK119)</f>
        <v/>
      </c>
      <c r="CO119" s="152">
        <f>IF(AW119&gt;CN$6,NA(),AW119)</f>
        <v/>
      </c>
      <c r="CP119" s="152">
        <f>IF(AW119&gt;CN$6,NA(),CN119)</f>
        <v/>
      </c>
    </row>
    <row r="120">
      <c r="B120" s="152" t="n">
        <v>109</v>
      </c>
      <c r="C120" s="152">
        <f>IF(F119&lt;=0.005,0,F119*(1+C$6))</f>
        <v/>
      </c>
      <c r="D120" s="152">
        <f>MIN(C120,C$7)</f>
        <v/>
      </c>
      <c r="E120" s="152">
        <f>MAX(0,MIN(C120-D120,AQ120))</f>
        <v/>
      </c>
      <c r="F120" s="152">
        <f>C120-D120-E120</f>
        <v/>
      </c>
      <c r="G120" s="152">
        <f>IF(J119&lt;=0.005,0,J119*(1+G$6))</f>
        <v/>
      </c>
      <c r="H120" s="152">
        <f>MIN(G120,G$7)</f>
        <v/>
      </c>
      <c r="I120" s="152">
        <f>MAX(0,MIN(G120-H120,AQ120-(E120)))</f>
        <v/>
      </c>
      <c r="J120" s="152">
        <f>G120-H120-I120</f>
        <v/>
      </c>
      <c r="K120" s="152">
        <f>IF(N119&lt;=0.005,0,N119*(1+K$6))</f>
        <v/>
      </c>
      <c r="L120" s="152">
        <f>MIN(K120,K$7)</f>
        <v/>
      </c>
      <c r="M120" s="152">
        <f>MAX(0,MIN(K120-L120,AQ120-(E120+I120)))</f>
        <v/>
      </c>
      <c r="N120" s="152">
        <f>K120-L120-M120</f>
        <v/>
      </c>
      <c r="O120" s="152">
        <f>IF(R119&lt;=0.005,0,R119*(1+O$6))</f>
        <v/>
      </c>
      <c r="P120" s="152">
        <f>MIN(O120,O$7)</f>
        <v/>
      </c>
      <c r="Q120" s="152">
        <f>MAX(0,MIN(O120-P120,AQ120-(E120+I120+M120)))</f>
        <v/>
      </c>
      <c r="R120" s="152">
        <f>O120-P120-Q120</f>
        <v/>
      </c>
      <c r="S120" s="152">
        <f>IF(V119&lt;=0.005,0,V119*(1+S$6))</f>
        <v/>
      </c>
      <c r="T120" s="152">
        <f>MIN(S120,S$7)</f>
        <v/>
      </c>
      <c r="U120" s="152">
        <f>MAX(0,MIN(S120-T120,AQ120-(E120+I120+M120+Q120)))</f>
        <v/>
      </c>
      <c r="V120" s="152">
        <f>S120-T120-U120</f>
        <v/>
      </c>
      <c r="W120" s="152">
        <f>IF(Z119&lt;=0.005,0,Z119*(1+W$6))</f>
        <v/>
      </c>
      <c r="X120" s="152">
        <f>MIN(W120,W$7)</f>
        <v/>
      </c>
      <c r="Y120" s="152">
        <f>MAX(0,MIN(W120-X120,AQ120-(E120+I120+M120+Q120+U120)))</f>
        <v/>
      </c>
      <c r="Z120" s="152">
        <f>W120-X120-Y120</f>
        <v/>
      </c>
      <c r="AA120" s="152">
        <f>IF(AD119&lt;=0.005,0,AD119*(1+AA$6))</f>
        <v/>
      </c>
      <c r="AB120" s="152">
        <f>MIN(AA120,AA$7)</f>
        <v/>
      </c>
      <c r="AC120" s="152">
        <f>MAX(0,MIN(AA120-AB120,AQ120-(E120+I120+M120+Q120+U120+Y120)))</f>
        <v/>
      </c>
      <c r="AD120" s="152">
        <f>AA120-AB120-AC120</f>
        <v/>
      </c>
      <c r="AE120" s="152">
        <f>IF(AH119&lt;=0.005,0,AH119*(1+AE$6))</f>
        <v/>
      </c>
      <c r="AF120" s="152">
        <f>MIN(AE120,AE$7)</f>
        <v/>
      </c>
      <c r="AG120" s="152">
        <f>MAX(0,MIN(AE120-AF120,AQ120-(E120+I120+M120+Q120+U120+Y120+AC120)))</f>
        <v/>
      </c>
      <c r="AH120" s="152">
        <f>AE120-AF120-AG120</f>
        <v/>
      </c>
      <c r="AI120" s="152">
        <f>IF(AL119&lt;=0.005,0,AL119*(1+AI$6))</f>
        <v/>
      </c>
      <c r="AJ120" s="152">
        <f>MIN(AI120,AI$7)</f>
        <v/>
      </c>
      <c r="AK120" s="152">
        <f>MAX(0,MIN(AI120-AJ120,AQ120-(E120+I120+M120+Q120+U120+Y120+AC120+AG120)))</f>
        <v/>
      </c>
      <c r="AL120" s="152">
        <f>AI120-AJ120-AK120</f>
        <v/>
      </c>
      <c r="AM120" s="152">
        <f>IF(AP119&lt;=0.005,0,AP119*(1+AM$6))</f>
        <v/>
      </c>
      <c r="AN120" s="152">
        <f>MIN(AM120,AM$7)</f>
        <v/>
      </c>
      <c r="AO120" s="152">
        <f>MAX(0,MIN(AM120-AN120,AQ120-(E120+I120+M120+Q120+U120+Y120+AC120+AG120+AK120)))</f>
        <v/>
      </c>
      <c r="AP120" s="152">
        <f>AM120-AN120-AO120</f>
        <v/>
      </c>
      <c r="AQ120" s="152">
        <f>'Debt Payoff'!$C$8-SUM(D120,H120,L120,P120,T120,X120,AB120,AF120,AJ120,AN120)</f>
        <v/>
      </c>
      <c r="AR120" s="152">
        <f>SUM(D120,H120,L120,P120,T120,X120,AB120,AF120,AJ120,AN120)+SUM(E120,I120,M120,Q120,U120,Y120,AC120,AG120,AK120,AO120)</f>
        <v/>
      </c>
      <c r="AS120" s="152">
        <f>SUM(F120,J120,N120,R120,V120,Z120,AD120,AH120,AL120,AP120)</f>
        <v/>
      </c>
      <c r="AT120" s="152">
        <f>IF(B120&gt;AS$6,NA(),B120)</f>
        <v/>
      </c>
      <c r="AU120" s="152">
        <f>IF(B120&gt;AS$6,NA(),AS120)</f>
        <v/>
      </c>
      <c r="AV120" s="152" t="n"/>
      <c r="AW120" s="152" t="n">
        <v>109</v>
      </c>
      <c r="AX120" s="152">
        <f>IF(BA119&lt;=0.005,0,BA119*(1+AX$6))</f>
        <v/>
      </c>
      <c r="AY120" s="152">
        <f>MIN(AX120,AX$7)</f>
        <v/>
      </c>
      <c r="AZ120" s="152">
        <f>MAX(0,MIN(AX120-AY120,CL120))</f>
        <v/>
      </c>
      <c r="BA120" s="152">
        <f>AX120-AY120-AZ120</f>
        <v/>
      </c>
      <c r="BB120" s="152">
        <f>IF(BE119&lt;=0.005,0,BE119*(1+BB$6))</f>
        <v/>
      </c>
      <c r="BC120" s="152">
        <f>MIN(BB120,BB$7)</f>
        <v/>
      </c>
      <c r="BD120" s="152">
        <f>MAX(0,MIN(BB120-BC120,CL120-(AZ120)))</f>
        <v/>
      </c>
      <c r="BE120" s="152">
        <f>BB120-BC120-BD120</f>
        <v/>
      </c>
      <c r="BF120" s="152">
        <f>IF(BI119&lt;=0.005,0,BI119*(1+BF$6))</f>
        <v/>
      </c>
      <c r="BG120" s="152">
        <f>MIN(BF120,BF$7)</f>
        <v/>
      </c>
      <c r="BH120" s="152">
        <f>MAX(0,MIN(BF120-BG120,CL120-(AZ120+BD120)))</f>
        <v/>
      </c>
      <c r="BI120" s="152">
        <f>BF120-BG120-BH120</f>
        <v/>
      </c>
      <c r="BJ120" s="152">
        <f>IF(BM119&lt;=0.005,0,BM119*(1+BJ$6))</f>
        <v/>
      </c>
      <c r="BK120" s="152">
        <f>MIN(BJ120,BJ$7)</f>
        <v/>
      </c>
      <c r="BL120" s="152">
        <f>MAX(0,MIN(BJ120-BK120,CL120-(AZ120+BD120+BH120)))</f>
        <v/>
      </c>
      <c r="BM120" s="152">
        <f>BJ120-BK120-BL120</f>
        <v/>
      </c>
      <c r="BN120" s="152">
        <f>IF(BQ119&lt;=0.005,0,BQ119*(1+BN$6))</f>
        <v/>
      </c>
      <c r="BO120" s="152">
        <f>MIN(BN120,BN$7)</f>
        <v/>
      </c>
      <c r="BP120" s="152">
        <f>MAX(0,MIN(BN120-BO120,CL120-(AZ120+BD120+BH120+BL120)))</f>
        <v/>
      </c>
      <c r="BQ120" s="152">
        <f>BN120-BO120-BP120</f>
        <v/>
      </c>
      <c r="BR120" s="152">
        <f>IF(BU119&lt;=0.005,0,BU119*(1+BR$6))</f>
        <v/>
      </c>
      <c r="BS120" s="152">
        <f>MIN(BR120,BR$7)</f>
        <v/>
      </c>
      <c r="BT120" s="152">
        <f>MAX(0,MIN(BR120-BS120,CL120-(AZ120+BD120+BH120+BL120+BP120)))</f>
        <v/>
      </c>
      <c r="BU120" s="152">
        <f>BR120-BS120-BT120</f>
        <v/>
      </c>
      <c r="BV120" s="152">
        <f>IF(BY119&lt;=0.005,0,BY119*(1+BV$6))</f>
        <v/>
      </c>
      <c r="BW120" s="152">
        <f>MIN(BV120,BV$7)</f>
        <v/>
      </c>
      <c r="BX120" s="152">
        <f>MAX(0,MIN(BV120-BW120,CL120-(AZ120+BD120+BH120+BL120+BP120+BT120)))</f>
        <v/>
      </c>
      <c r="BY120" s="152">
        <f>BV120-BW120-BX120</f>
        <v/>
      </c>
      <c r="BZ120" s="152">
        <f>IF(CC119&lt;=0.005,0,CC119*(1+BZ$6))</f>
        <v/>
      </c>
      <c r="CA120" s="152">
        <f>MIN(BZ120,BZ$7)</f>
        <v/>
      </c>
      <c r="CB120" s="152">
        <f>MAX(0,MIN(BZ120-CA120,CL120-(AZ120+BD120+BH120+BL120+BP120+BT120+BX120)))</f>
        <v/>
      </c>
      <c r="CC120" s="152">
        <f>BZ120-CA120-CB120</f>
        <v/>
      </c>
      <c r="CD120" s="152">
        <f>IF(CG119&lt;=0.005,0,CG119*(1+CD$6))</f>
        <v/>
      </c>
      <c r="CE120" s="152">
        <f>MIN(CD120,CD$7)</f>
        <v/>
      </c>
      <c r="CF120" s="152">
        <f>MAX(0,MIN(CD120-CE120,CL120-(AZ120+BD120+BH120+BL120+BP120+BT120+BX120+CB120)))</f>
        <v/>
      </c>
      <c r="CG120" s="152">
        <f>CD120-CE120-CF120</f>
        <v/>
      </c>
      <c r="CH120" s="152">
        <f>IF(CK119&lt;=0.005,0,CK119*(1+CH$6))</f>
        <v/>
      </c>
      <c r="CI120" s="152">
        <f>MIN(CH120,CH$7)</f>
        <v/>
      </c>
      <c r="CJ120" s="152">
        <f>MAX(0,MIN(CH120-CI120,CL120-(AZ120+BD120+BH120+BL120+BP120+BT120+BX120+CB120+CF120)))</f>
        <v/>
      </c>
      <c r="CK120" s="152">
        <f>CH120-CI120-CJ120</f>
        <v/>
      </c>
      <c r="CL120" s="152">
        <f>'Debt Payoff'!$C$8-SUM(AY120,BC120,BG120,BK120,BO120,BS120,BW120,CA120,CE120,CI120)</f>
        <v/>
      </c>
      <c r="CM120" s="152">
        <f>SUM(AY120,BC120,BG120,BK120,BO120,BS120,BW120,CA120,CE120,CI120)+SUM(AZ120,BD120,BH120,BL120,BP120,BT120,BX120,CB120,CF120,CJ120)</f>
        <v/>
      </c>
      <c r="CN120" s="152">
        <f>SUM(BA120,BE120,BI120,BM120,BQ120,BU120,BY120,CC120,CG120,CK120)</f>
        <v/>
      </c>
      <c r="CO120" s="152">
        <f>IF(AW120&gt;CN$6,NA(),AW120)</f>
        <v/>
      </c>
      <c r="CP120" s="152">
        <f>IF(AW120&gt;CN$6,NA(),CN120)</f>
        <v/>
      </c>
    </row>
    <row r="121">
      <c r="B121" s="152" t="n">
        <v>110</v>
      </c>
      <c r="C121" s="152">
        <f>IF(F120&lt;=0.005,0,F120*(1+C$6))</f>
        <v/>
      </c>
      <c r="D121" s="152">
        <f>MIN(C121,C$7)</f>
        <v/>
      </c>
      <c r="E121" s="152">
        <f>MAX(0,MIN(C121-D121,AQ121))</f>
        <v/>
      </c>
      <c r="F121" s="152">
        <f>C121-D121-E121</f>
        <v/>
      </c>
      <c r="G121" s="152">
        <f>IF(J120&lt;=0.005,0,J120*(1+G$6))</f>
        <v/>
      </c>
      <c r="H121" s="152">
        <f>MIN(G121,G$7)</f>
        <v/>
      </c>
      <c r="I121" s="152">
        <f>MAX(0,MIN(G121-H121,AQ121-(E121)))</f>
        <v/>
      </c>
      <c r="J121" s="152">
        <f>G121-H121-I121</f>
        <v/>
      </c>
      <c r="K121" s="152">
        <f>IF(N120&lt;=0.005,0,N120*(1+K$6))</f>
        <v/>
      </c>
      <c r="L121" s="152">
        <f>MIN(K121,K$7)</f>
        <v/>
      </c>
      <c r="M121" s="152">
        <f>MAX(0,MIN(K121-L121,AQ121-(E121+I121)))</f>
        <v/>
      </c>
      <c r="N121" s="152">
        <f>K121-L121-M121</f>
        <v/>
      </c>
      <c r="O121" s="152">
        <f>IF(R120&lt;=0.005,0,R120*(1+O$6))</f>
        <v/>
      </c>
      <c r="P121" s="152">
        <f>MIN(O121,O$7)</f>
        <v/>
      </c>
      <c r="Q121" s="152">
        <f>MAX(0,MIN(O121-P121,AQ121-(E121+I121+M121)))</f>
        <v/>
      </c>
      <c r="R121" s="152">
        <f>O121-P121-Q121</f>
        <v/>
      </c>
      <c r="S121" s="152">
        <f>IF(V120&lt;=0.005,0,V120*(1+S$6))</f>
        <v/>
      </c>
      <c r="T121" s="152">
        <f>MIN(S121,S$7)</f>
        <v/>
      </c>
      <c r="U121" s="152">
        <f>MAX(0,MIN(S121-T121,AQ121-(E121+I121+M121+Q121)))</f>
        <v/>
      </c>
      <c r="V121" s="152">
        <f>S121-T121-U121</f>
        <v/>
      </c>
      <c r="W121" s="152">
        <f>IF(Z120&lt;=0.005,0,Z120*(1+W$6))</f>
        <v/>
      </c>
      <c r="X121" s="152">
        <f>MIN(W121,W$7)</f>
        <v/>
      </c>
      <c r="Y121" s="152">
        <f>MAX(0,MIN(W121-X121,AQ121-(E121+I121+M121+Q121+U121)))</f>
        <v/>
      </c>
      <c r="Z121" s="152">
        <f>W121-X121-Y121</f>
        <v/>
      </c>
      <c r="AA121" s="152">
        <f>IF(AD120&lt;=0.005,0,AD120*(1+AA$6))</f>
        <v/>
      </c>
      <c r="AB121" s="152">
        <f>MIN(AA121,AA$7)</f>
        <v/>
      </c>
      <c r="AC121" s="152">
        <f>MAX(0,MIN(AA121-AB121,AQ121-(E121+I121+M121+Q121+U121+Y121)))</f>
        <v/>
      </c>
      <c r="AD121" s="152">
        <f>AA121-AB121-AC121</f>
        <v/>
      </c>
      <c r="AE121" s="152">
        <f>IF(AH120&lt;=0.005,0,AH120*(1+AE$6))</f>
        <v/>
      </c>
      <c r="AF121" s="152">
        <f>MIN(AE121,AE$7)</f>
        <v/>
      </c>
      <c r="AG121" s="152">
        <f>MAX(0,MIN(AE121-AF121,AQ121-(E121+I121+M121+Q121+U121+Y121+AC121)))</f>
        <v/>
      </c>
      <c r="AH121" s="152">
        <f>AE121-AF121-AG121</f>
        <v/>
      </c>
      <c r="AI121" s="152">
        <f>IF(AL120&lt;=0.005,0,AL120*(1+AI$6))</f>
        <v/>
      </c>
      <c r="AJ121" s="152">
        <f>MIN(AI121,AI$7)</f>
        <v/>
      </c>
      <c r="AK121" s="152">
        <f>MAX(0,MIN(AI121-AJ121,AQ121-(E121+I121+M121+Q121+U121+Y121+AC121+AG121)))</f>
        <v/>
      </c>
      <c r="AL121" s="152">
        <f>AI121-AJ121-AK121</f>
        <v/>
      </c>
      <c r="AM121" s="152">
        <f>IF(AP120&lt;=0.005,0,AP120*(1+AM$6))</f>
        <v/>
      </c>
      <c r="AN121" s="152">
        <f>MIN(AM121,AM$7)</f>
        <v/>
      </c>
      <c r="AO121" s="152">
        <f>MAX(0,MIN(AM121-AN121,AQ121-(E121+I121+M121+Q121+U121+Y121+AC121+AG121+AK121)))</f>
        <v/>
      </c>
      <c r="AP121" s="152">
        <f>AM121-AN121-AO121</f>
        <v/>
      </c>
      <c r="AQ121" s="152">
        <f>'Debt Payoff'!$C$8-SUM(D121,H121,L121,P121,T121,X121,AB121,AF121,AJ121,AN121)</f>
        <v/>
      </c>
      <c r="AR121" s="152">
        <f>SUM(D121,H121,L121,P121,T121,X121,AB121,AF121,AJ121,AN121)+SUM(E121,I121,M121,Q121,U121,Y121,AC121,AG121,AK121,AO121)</f>
        <v/>
      </c>
      <c r="AS121" s="152">
        <f>SUM(F121,J121,N121,R121,V121,Z121,AD121,AH121,AL121,AP121)</f>
        <v/>
      </c>
      <c r="AT121" s="152">
        <f>IF(B121&gt;AS$6,NA(),B121)</f>
        <v/>
      </c>
      <c r="AU121" s="152">
        <f>IF(B121&gt;AS$6,NA(),AS121)</f>
        <v/>
      </c>
      <c r="AV121" s="152" t="n"/>
      <c r="AW121" s="152" t="n">
        <v>110</v>
      </c>
      <c r="AX121" s="152">
        <f>IF(BA120&lt;=0.005,0,BA120*(1+AX$6))</f>
        <v/>
      </c>
      <c r="AY121" s="152">
        <f>MIN(AX121,AX$7)</f>
        <v/>
      </c>
      <c r="AZ121" s="152">
        <f>MAX(0,MIN(AX121-AY121,CL121))</f>
        <v/>
      </c>
      <c r="BA121" s="152">
        <f>AX121-AY121-AZ121</f>
        <v/>
      </c>
      <c r="BB121" s="152">
        <f>IF(BE120&lt;=0.005,0,BE120*(1+BB$6))</f>
        <v/>
      </c>
      <c r="BC121" s="152">
        <f>MIN(BB121,BB$7)</f>
        <v/>
      </c>
      <c r="BD121" s="152">
        <f>MAX(0,MIN(BB121-BC121,CL121-(AZ121)))</f>
        <v/>
      </c>
      <c r="BE121" s="152">
        <f>BB121-BC121-BD121</f>
        <v/>
      </c>
      <c r="BF121" s="152">
        <f>IF(BI120&lt;=0.005,0,BI120*(1+BF$6))</f>
        <v/>
      </c>
      <c r="BG121" s="152">
        <f>MIN(BF121,BF$7)</f>
        <v/>
      </c>
      <c r="BH121" s="152">
        <f>MAX(0,MIN(BF121-BG121,CL121-(AZ121+BD121)))</f>
        <v/>
      </c>
      <c r="BI121" s="152">
        <f>BF121-BG121-BH121</f>
        <v/>
      </c>
      <c r="BJ121" s="152">
        <f>IF(BM120&lt;=0.005,0,BM120*(1+BJ$6))</f>
        <v/>
      </c>
      <c r="BK121" s="152">
        <f>MIN(BJ121,BJ$7)</f>
        <v/>
      </c>
      <c r="BL121" s="152">
        <f>MAX(0,MIN(BJ121-BK121,CL121-(AZ121+BD121+BH121)))</f>
        <v/>
      </c>
      <c r="BM121" s="152">
        <f>BJ121-BK121-BL121</f>
        <v/>
      </c>
      <c r="BN121" s="152">
        <f>IF(BQ120&lt;=0.005,0,BQ120*(1+BN$6))</f>
        <v/>
      </c>
      <c r="BO121" s="152">
        <f>MIN(BN121,BN$7)</f>
        <v/>
      </c>
      <c r="BP121" s="152">
        <f>MAX(0,MIN(BN121-BO121,CL121-(AZ121+BD121+BH121+BL121)))</f>
        <v/>
      </c>
      <c r="BQ121" s="152">
        <f>BN121-BO121-BP121</f>
        <v/>
      </c>
      <c r="BR121" s="152">
        <f>IF(BU120&lt;=0.005,0,BU120*(1+BR$6))</f>
        <v/>
      </c>
      <c r="BS121" s="152">
        <f>MIN(BR121,BR$7)</f>
        <v/>
      </c>
      <c r="BT121" s="152">
        <f>MAX(0,MIN(BR121-BS121,CL121-(AZ121+BD121+BH121+BL121+BP121)))</f>
        <v/>
      </c>
      <c r="BU121" s="152">
        <f>BR121-BS121-BT121</f>
        <v/>
      </c>
      <c r="BV121" s="152">
        <f>IF(BY120&lt;=0.005,0,BY120*(1+BV$6))</f>
        <v/>
      </c>
      <c r="BW121" s="152">
        <f>MIN(BV121,BV$7)</f>
        <v/>
      </c>
      <c r="BX121" s="152">
        <f>MAX(0,MIN(BV121-BW121,CL121-(AZ121+BD121+BH121+BL121+BP121+BT121)))</f>
        <v/>
      </c>
      <c r="BY121" s="152">
        <f>BV121-BW121-BX121</f>
        <v/>
      </c>
      <c r="BZ121" s="152">
        <f>IF(CC120&lt;=0.005,0,CC120*(1+BZ$6))</f>
        <v/>
      </c>
      <c r="CA121" s="152">
        <f>MIN(BZ121,BZ$7)</f>
        <v/>
      </c>
      <c r="CB121" s="152">
        <f>MAX(0,MIN(BZ121-CA121,CL121-(AZ121+BD121+BH121+BL121+BP121+BT121+BX121)))</f>
        <v/>
      </c>
      <c r="CC121" s="152">
        <f>BZ121-CA121-CB121</f>
        <v/>
      </c>
      <c r="CD121" s="152">
        <f>IF(CG120&lt;=0.005,0,CG120*(1+CD$6))</f>
        <v/>
      </c>
      <c r="CE121" s="152">
        <f>MIN(CD121,CD$7)</f>
        <v/>
      </c>
      <c r="CF121" s="152">
        <f>MAX(0,MIN(CD121-CE121,CL121-(AZ121+BD121+BH121+BL121+BP121+BT121+BX121+CB121)))</f>
        <v/>
      </c>
      <c r="CG121" s="152">
        <f>CD121-CE121-CF121</f>
        <v/>
      </c>
      <c r="CH121" s="152">
        <f>IF(CK120&lt;=0.005,0,CK120*(1+CH$6))</f>
        <v/>
      </c>
      <c r="CI121" s="152">
        <f>MIN(CH121,CH$7)</f>
        <v/>
      </c>
      <c r="CJ121" s="152">
        <f>MAX(0,MIN(CH121-CI121,CL121-(AZ121+BD121+BH121+BL121+BP121+BT121+BX121+CB121+CF121)))</f>
        <v/>
      </c>
      <c r="CK121" s="152">
        <f>CH121-CI121-CJ121</f>
        <v/>
      </c>
      <c r="CL121" s="152">
        <f>'Debt Payoff'!$C$8-SUM(AY121,BC121,BG121,BK121,BO121,BS121,BW121,CA121,CE121,CI121)</f>
        <v/>
      </c>
      <c r="CM121" s="152">
        <f>SUM(AY121,BC121,BG121,BK121,BO121,BS121,BW121,CA121,CE121,CI121)+SUM(AZ121,BD121,BH121,BL121,BP121,BT121,BX121,CB121,CF121,CJ121)</f>
        <v/>
      </c>
      <c r="CN121" s="152">
        <f>SUM(BA121,BE121,BI121,BM121,BQ121,BU121,BY121,CC121,CG121,CK121)</f>
        <v/>
      </c>
      <c r="CO121" s="152">
        <f>IF(AW121&gt;CN$6,NA(),AW121)</f>
        <v/>
      </c>
      <c r="CP121" s="152">
        <f>IF(AW121&gt;CN$6,NA(),CN121)</f>
        <v/>
      </c>
    </row>
    <row r="122">
      <c r="B122" s="152" t="n">
        <v>111</v>
      </c>
      <c r="C122" s="152">
        <f>IF(F121&lt;=0.005,0,F121*(1+C$6))</f>
        <v/>
      </c>
      <c r="D122" s="152">
        <f>MIN(C122,C$7)</f>
        <v/>
      </c>
      <c r="E122" s="152">
        <f>MAX(0,MIN(C122-D122,AQ122))</f>
        <v/>
      </c>
      <c r="F122" s="152">
        <f>C122-D122-E122</f>
        <v/>
      </c>
      <c r="G122" s="152">
        <f>IF(J121&lt;=0.005,0,J121*(1+G$6))</f>
        <v/>
      </c>
      <c r="H122" s="152">
        <f>MIN(G122,G$7)</f>
        <v/>
      </c>
      <c r="I122" s="152">
        <f>MAX(0,MIN(G122-H122,AQ122-(E122)))</f>
        <v/>
      </c>
      <c r="J122" s="152">
        <f>G122-H122-I122</f>
        <v/>
      </c>
      <c r="K122" s="152">
        <f>IF(N121&lt;=0.005,0,N121*(1+K$6))</f>
        <v/>
      </c>
      <c r="L122" s="152">
        <f>MIN(K122,K$7)</f>
        <v/>
      </c>
      <c r="M122" s="152">
        <f>MAX(0,MIN(K122-L122,AQ122-(E122+I122)))</f>
        <v/>
      </c>
      <c r="N122" s="152">
        <f>K122-L122-M122</f>
        <v/>
      </c>
      <c r="O122" s="152">
        <f>IF(R121&lt;=0.005,0,R121*(1+O$6))</f>
        <v/>
      </c>
      <c r="P122" s="152">
        <f>MIN(O122,O$7)</f>
        <v/>
      </c>
      <c r="Q122" s="152">
        <f>MAX(0,MIN(O122-P122,AQ122-(E122+I122+M122)))</f>
        <v/>
      </c>
      <c r="R122" s="152">
        <f>O122-P122-Q122</f>
        <v/>
      </c>
      <c r="S122" s="152">
        <f>IF(V121&lt;=0.005,0,V121*(1+S$6))</f>
        <v/>
      </c>
      <c r="T122" s="152">
        <f>MIN(S122,S$7)</f>
        <v/>
      </c>
      <c r="U122" s="152">
        <f>MAX(0,MIN(S122-T122,AQ122-(E122+I122+M122+Q122)))</f>
        <v/>
      </c>
      <c r="V122" s="152">
        <f>S122-T122-U122</f>
        <v/>
      </c>
      <c r="W122" s="152">
        <f>IF(Z121&lt;=0.005,0,Z121*(1+W$6))</f>
        <v/>
      </c>
      <c r="X122" s="152">
        <f>MIN(W122,W$7)</f>
        <v/>
      </c>
      <c r="Y122" s="152">
        <f>MAX(0,MIN(W122-X122,AQ122-(E122+I122+M122+Q122+U122)))</f>
        <v/>
      </c>
      <c r="Z122" s="152">
        <f>W122-X122-Y122</f>
        <v/>
      </c>
      <c r="AA122" s="152">
        <f>IF(AD121&lt;=0.005,0,AD121*(1+AA$6))</f>
        <v/>
      </c>
      <c r="AB122" s="152">
        <f>MIN(AA122,AA$7)</f>
        <v/>
      </c>
      <c r="AC122" s="152">
        <f>MAX(0,MIN(AA122-AB122,AQ122-(E122+I122+M122+Q122+U122+Y122)))</f>
        <v/>
      </c>
      <c r="AD122" s="152">
        <f>AA122-AB122-AC122</f>
        <v/>
      </c>
      <c r="AE122" s="152">
        <f>IF(AH121&lt;=0.005,0,AH121*(1+AE$6))</f>
        <v/>
      </c>
      <c r="AF122" s="152">
        <f>MIN(AE122,AE$7)</f>
        <v/>
      </c>
      <c r="AG122" s="152">
        <f>MAX(0,MIN(AE122-AF122,AQ122-(E122+I122+M122+Q122+U122+Y122+AC122)))</f>
        <v/>
      </c>
      <c r="AH122" s="152">
        <f>AE122-AF122-AG122</f>
        <v/>
      </c>
      <c r="AI122" s="152">
        <f>IF(AL121&lt;=0.005,0,AL121*(1+AI$6))</f>
        <v/>
      </c>
      <c r="AJ122" s="152">
        <f>MIN(AI122,AI$7)</f>
        <v/>
      </c>
      <c r="AK122" s="152">
        <f>MAX(0,MIN(AI122-AJ122,AQ122-(E122+I122+M122+Q122+U122+Y122+AC122+AG122)))</f>
        <v/>
      </c>
      <c r="AL122" s="152">
        <f>AI122-AJ122-AK122</f>
        <v/>
      </c>
      <c r="AM122" s="152">
        <f>IF(AP121&lt;=0.005,0,AP121*(1+AM$6))</f>
        <v/>
      </c>
      <c r="AN122" s="152">
        <f>MIN(AM122,AM$7)</f>
        <v/>
      </c>
      <c r="AO122" s="152">
        <f>MAX(0,MIN(AM122-AN122,AQ122-(E122+I122+M122+Q122+U122+Y122+AC122+AG122+AK122)))</f>
        <v/>
      </c>
      <c r="AP122" s="152">
        <f>AM122-AN122-AO122</f>
        <v/>
      </c>
      <c r="AQ122" s="152">
        <f>'Debt Payoff'!$C$8-SUM(D122,H122,L122,P122,T122,X122,AB122,AF122,AJ122,AN122)</f>
        <v/>
      </c>
      <c r="AR122" s="152">
        <f>SUM(D122,H122,L122,P122,T122,X122,AB122,AF122,AJ122,AN122)+SUM(E122,I122,M122,Q122,U122,Y122,AC122,AG122,AK122,AO122)</f>
        <v/>
      </c>
      <c r="AS122" s="152">
        <f>SUM(F122,J122,N122,R122,V122,Z122,AD122,AH122,AL122,AP122)</f>
        <v/>
      </c>
      <c r="AT122" s="152">
        <f>IF(B122&gt;AS$6,NA(),B122)</f>
        <v/>
      </c>
      <c r="AU122" s="152">
        <f>IF(B122&gt;AS$6,NA(),AS122)</f>
        <v/>
      </c>
      <c r="AV122" s="152" t="n"/>
      <c r="AW122" s="152" t="n">
        <v>111</v>
      </c>
      <c r="AX122" s="152">
        <f>IF(BA121&lt;=0.005,0,BA121*(1+AX$6))</f>
        <v/>
      </c>
      <c r="AY122" s="152">
        <f>MIN(AX122,AX$7)</f>
        <v/>
      </c>
      <c r="AZ122" s="152">
        <f>MAX(0,MIN(AX122-AY122,CL122))</f>
        <v/>
      </c>
      <c r="BA122" s="152">
        <f>AX122-AY122-AZ122</f>
        <v/>
      </c>
      <c r="BB122" s="152">
        <f>IF(BE121&lt;=0.005,0,BE121*(1+BB$6))</f>
        <v/>
      </c>
      <c r="BC122" s="152">
        <f>MIN(BB122,BB$7)</f>
        <v/>
      </c>
      <c r="BD122" s="152">
        <f>MAX(0,MIN(BB122-BC122,CL122-(AZ122)))</f>
        <v/>
      </c>
      <c r="BE122" s="152">
        <f>BB122-BC122-BD122</f>
        <v/>
      </c>
      <c r="BF122" s="152">
        <f>IF(BI121&lt;=0.005,0,BI121*(1+BF$6))</f>
        <v/>
      </c>
      <c r="BG122" s="152">
        <f>MIN(BF122,BF$7)</f>
        <v/>
      </c>
      <c r="BH122" s="152">
        <f>MAX(0,MIN(BF122-BG122,CL122-(AZ122+BD122)))</f>
        <v/>
      </c>
      <c r="BI122" s="152">
        <f>BF122-BG122-BH122</f>
        <v/>
      </c>
      <c r="BJ122" s="152">
        <f>IF(BM121&lt;=0.005,0,BM121*(1+BJ$6))</f>
        <v/>
      </c>
      <c r="BK122" s="152">
        <f>MIN(BJ122,BJ$7)</f>
        <v/>
      </c>
      <c r="BL122" s="152">
        <f>MAX(0,MIN(BJ122-BK122,CL122-(AZ122+BD122+BH122)))</f>
        <v/>
      </c>
      <c r="BM122" s="152">
        <f>BJ122-BK122-BL122</f>
        <v/>
      </c>
      <c r="BN122" s="152">
        <f>IF(BQ121&lt;=0.005,0,BQ121*(1+BN$6))</f>
        <v/>
      </c>
      <c r="BO122" s="152">
        <f>MIN(BN122,BN$7)</f>
        <v/>
      </c>
      <c r="BP122" s="152">
        <f>MAX(0,MIN(BN122-BO122,CL122-(AZ122+BD122+BH122+BL122)))</f>
        <v/>
      </c>
      <c r="BQ122" s="152">
        <f>BN122-BO122-BP122</f>
        <v/>
      </c>
      <c r="BR122" s="152">
        <f>IF(BU121&lt;=0.005,0,BU121*(1+BR$6))</f>
        <v/>
      </c>
      <c r="BS122" s="152">
        <f>MIN(BR122,BR$7)</f>
        <v/>
      </c>
      <c r="BT122" s="152">
        <f>MAX(0,MIN(BR122-BS122,CL122-(AZ122+BD122+BH122+BL122+BP122)))</f>
        <v/>
      </c>
      <c r="BU122" s="152">
        <f>BR122-BS122-BT122</f>
        <v/>
      </c>
      <c r="BV122" s="152">
        <f>IF(BY121&lt;=0.005,0,BY121*(1+BV$6))</f>
        <v/>
      </c>
      <c r="BW122" s="152">
        <f>MIN(BV122,BV$7)</f>
        <v/>
      </c>
      <c r="BX122" s="152">
        <f>MAX(0,MIN(BV122-BW122,CL122-(AZ122+BD122+BH122+BL122+BP122+BT122)))</f>
        <v/>
      </c>
      <c r="BY122" s="152">
        <f>BV122-BW122-BX122</f>
        <v/>
      </c>
      <c r="BZ122" s="152">
        <f>IF(CC121&lt;=0.005,0,CC121*(1+BZ$6))</f>
        <v/>
      </c>
      <c r="CA122" s="152">
        <f>MIN(BZ122,BZ$7)</f>
        <v/>
      </c>
      <c r="CB122" s="152">
        <f>MAX(0,MIN(BZ122-CA122,CL122-(AZ122+BD122+BH122+BL122+BP122+BT122+BX122)))</f>
        <v/>
      </c>
      <c r="CC122" s="152">
        <f>BZ122-CA122-CB122</f>
        <v/>
      </c>
      <c r="CD122" s="152">
        <f>IF(CG121&lt;=0.005,0,CG121*(1+CD$6))</f>
        <v/>
      </c>
      <c r="CE122" s="152">
        <f>MIN(CD122,CD$7)</f>
        <v/>
      </c>
      <c r="CF122" s="152">
        <f>MAX(0,MIN(CD122-CE122,CL122-(AZ122+BD122+BH122+BL122+BP122+BT122+BX122+CB122)))</f>
        <v/>
      </c>
      <c r="CG122" s="152">
        <f>CD122-CE122-CF122</f>
        <v/>
      </c>
      <c r="CH122" s="152">
        <f>IF(CK121&lt;=0.005,0,CK121*(1+CH$6))</f>
        <v/>
      </c>
      <c r="CI122" s="152">
        <f>MIN(CH122,CH$7)</f>
        <v/>
      </c>
      <c r="CJ122" s="152">
        <f>MAX(0,MIN(CH122-CI122,CL122-(AZ122+BD122+BH122+BL122+BP122+BT122+BX122+CB122+CF122)))</f>
        <v/>
      </c>
      <c r="CK122" s="152">
        <f>CH122-CI122-CJ122</f>
        <v/>
      </c>
      <c r="CL122" s="152">
        <f>'Debt Payoff'!$C$8-SUM(AY122,BC122,BG122,BK122,BO122,BS122,BW122,CA122,CE122,CI122)</f>
        <v/>
      </c>
      <c r="CM122" s="152">
        <f>SUM(AY122,BC122,BG122,BK122,BO122,BS122,BW122,CA122,CE122,CI122)+SUM(AZ122,BD122,BH122,BL122,BP122,BT122,BX122,CB122,CF122,CJ122)</f>
        <v/>
      </c>
      <c r="CN122" s="152">
        <f>SUM(BA122,BE122,BI122,BM122,BQ122,BU122,BY122,CC122,CG122,CK122)</f>
        <v/>
      </c>
      <c r="CO122" s="152">
        <f>IF(AW122&gt;CN$6,NA(),AW122)</f>
        <v/>
      </c>
      <c r="CP122" s="152">
        <f>IF(AW122&gt;CN$6,NA(),CN122)</f>
        <v/>
      </c>
    </row>
    <row r="123">
      <c r="B123" s="152" t="n">
        <v>112</v>
      </c>
      <c r="C123" s="152">
        <f>IF(F122&lt;=0.005,0,F122*(1+C$6))</f>
        <v/>
      </c>
      <c r="D123" s="152">
        <f>MIN(C123,C$7)</f>
        <v/>
      </c>
      <c r="E123" s="152">
        <f>MAX(0,MIN(C123-D123,AQ123))</f>
        <v/>
      </c>
      <c r="F123" s="152">
        <f>C123-D123-E123</f>
        <v/>
      </c>
      <c r="G123" s="152">
        <f>IF(J122&lt;=0.005,0,J122*(1+G$6))</f>
        <v/>
      </c>
      <c r="H123" s="152">
        <f>MIN(G123,G$7)</f>
        <v/>
      </c>
      <c r="I123" s="152">
        <f>MAX(0,MIN(G123-H123,AQ123-(E123)))</f>
        <v/>
      </c>
      <c r="J123" s="152">
        <f>G123-H123-I123</f>
        <v/>
      </c>
      <c r="K123" s="152">
        <f>IF(N122&lt;=0.005,0,N122*(1+K$6))</f>
        <v/>
      </c>
      <c r="L123" s="152">
        <f>MIN(K123,K$7)</f>
        <v/>
      </c>
      <c r="M123" s="152">
        <f>MAX(0,MIN(K123-L123,AQ123-(E123+I123)))</f>
        <v/>
      </c>
      <c r="N123" s="152">
        <f>K123-L123-M123</f>
        <v/>
      </c>
      <c r="O123" s="152">
        <f>IF(R122&lt;=0.005,0,R122*(1+O$6))</f>
        <v/>
      </c>
      <c r="P123" s="152">
        <f>MIN(O123,O$7)</f>
        <v/>
      </c>
      <c r="Q123" s="152">
        <f>MAX(0,MIN(O123-P123,AQ123-(E123+I123+M123)))</f>
        <v/>
      </c>
      <c r="R123" s="152">
        <f>O123-P123-Q123</f>
        <v/>
      </c>
      <c r="S123" s="152">
        <f>IF(V122&lt;=0.005,0,V122*(1+S$6))</f>
        <v/>
      </c>
      <c r="T123" s="152">
        <f>MIN(S123,S$7)</f>
        <v/>
      </c>
      <c r="U123" s="152">
        <f>MAX(0,MIN(S123-T123,AQ123-(E123+I123+M123+Q123)))</f>
        <v/>
      </c>
      <c r="V123" s="152">
        <f>S123-T123-U123</f>
        <v/>
      </c>
      <c r="W123" s="152">
        <f>IF(Z122&lt;=0.005,0,Z122*(1+W$6))</f>
        <v/>
      </c>
      <c r="X123" s="152">
        <f>MIN(W123,W$7)</f>
        <v/>
      </c>
      <c r="Y123" s="152">
        <f>MAX(0,MIN(W123-X123,AQ123-(E123+I123+M123+Q123+U123)))</f>
        <v/>
      </c>
      <c r="Z123" s="152">
        <f>W123-X123-Y123</f>
        <v/>
      </c>
      <c r="AA123" s="152">
        <f>IF(AD122&lt;=0.005,0,AD122*(1+AA$6))</f>
        <v/>
      </c>
      <c r="AB123" s="152">
        <f>MIN(AA123,AA$7)</f>
        <v/>
      </c>
      <c r="AC123" s="152">
        <f>MAX(0,MIN(AA123-AB123,AQ123-(E123+I123+M123+Q123+U123+Y123)))</f>
        <v/>
      </c>
      <c r="AD123" s="152">
        <f>AA123-AB123-AC123</f>
        <v/>
      </c>
      <c r="AE123" s="152">
        <f>IF(AH122&lt;=0.005,0,AH122*(1+AE$6))</f>
        <v/>
      </c>
      <c r="AF123" s="152">
        <f>MIN(AE123,AE$7)</f>
        <v/>
      </c>
      <c r="AG123" s="152">
        <f>MAX(0,MIN(AE123-AF123,AQ123-(E123+I123+M123+Q123+U123+Y123+AC123)))</f>
        <v/>
      </c>
      <c r="AH123" s="152">
        <f>AE123-AF123-AG123</f>
        <v/>
      </c>
      <c r="AI123" s="152">
        <f>IF(AL122&lt;=0.005,0,AL122*(1+AI$6))</f>
        <v/>
      </c>
      <c r="AJ123" s="152">
        <f>MIN(AI123,AI$7)</f>
        <v/>
      </c>
      <c r="AK123" s="152">
        <f>MAX(0,MIN(AI123-AJ123,AQ123-(E123+I123+M123+Q123+U123+Y123+AC123+AG123)))</f>
        <v/>
      </c>
      <c r="AL123" s="152">
        <f>AI123-AJ123-AK123</f>
        <v/>
      </c>
      <c r="AM123" s="152">
        <f>IF(AP122&lt;=0.005,0,AP122*(1+AM$6))</f>
        <v/>
      </c>
      <c r="AN123" s="152">
        <f>MIN(AM123,AM$7)</f>
        <v/>
      </c>
      <c r="AO123" s="152">
        <f>MAX(0,MIN(AM123-AN123,AQ123-(E123+I123+M123+Q123+U123+Y123+AC123+AG123+AK123)))</f>
        <v/>
      </c>
      <c r="AP123" s="152">
        <f>AM123-AN123-AO123</f>
        <v/>
      </c>
      <c r="AQ123" s="152">
        <f>'Debt Payoff'!$C$8-SUM(D123,H123,L123,P123,T123,X123,AB123,AF123,AJ123,AN123)</f>
        <v/>
      </c>
      <c r="AR123" s="152">
        <f>SUM(D123,H123,L123,P123,T123,X123,AB123,AF123,AJ123,AN123)+SUM(E123,I123,M123,Q123,U123,Y123,AC123,AG123,AK123,AO123)</f>
        <v/>
      </c>
      <c r="AS123" s="152">
        <f>SUM(F123,J123,N123,R123,V123,Z123,AD123,AH123,AL123,AP123)</f>
        <v/>
      </c>
      <c r="AT123" s="152">
        <f>IF(B123&gt;AS$6,NA(),B123)</f>
        <v/>
      </c>
      <c r="AU123" s="152">
        <f>IF(B123&gt;AS$6,NA(),AS123)</f>
        <v/>
      </c>
      <c r="AV123" s="152" t="n"/>
      <c r="AW123" s="152" t="n">
        <v>112</v>
      </c>
      <c r="AX123" s="152">
        <f>IF(BA122&lt;=0.005,0,BA122*(1+AX$6))</f>
        <v/>
      </c>
      <c r="AY123" s="152">
        <f>MIN(AX123,AX$7)</f>
        <v/>
      </c>
      <c r="AZ123" s="152">
        <f>MAX(0,MIN(AX123-AY123,CL123))</f>
        <v/>
      </c>
      <c r="BA123" s="152">
        <f>AX123-AY123-AZ123</f>
        <v/>
      </c>
      <c r="BB123" s="152">
        <f>IF(BE122&lt;=0.005,0,BE122*(1+BB$6))</f>
        <v/>
      </c>
      <c r="BC123" s="152">
        <f>MIN(BB123,BB$7)</f>
        <v/>
      </c>
      <c r="BD123" s="152">
        <f>MAX(0,MIN(BB123-BC123,CL123-(AZ123)))</f>
        <v/>
      </c>
      <c r="BE123" s="152">
        <f>BB123-BC123-BD123</f>
        <v/>
      </c>
      <c r="BF123" s="152">
        <f>IF(BI122&lt;=0.005,0,BI122*(1+BF$6))</f>
        <v/>
      </c>
      <c r="BG123" s="152">
        <f>MIN(BF123,BF$7)</f>
        <v/>
      </c>
      <c r="BH123" s="152">
        <f>MAX(0,MIN(BF123-BG123,CL123-(AZ123+BD123)))</f>
        <v/>
      </c>
      <c r="BI123" s="152">
        <f>BF123-BG123-BH123</f>
        <v/>
      </c>
      <c r="BJ123" s="152">
        <f>IF(BM122&lt;=0.005,0,BM122*(1+BJ$6))</f>
        <v/>
      </c>
      <c r="BK123" s="152">
        <f>MIN(BJ123,BJ$7)</f>
        <v/>
      </c>
      <c r="BL123" s="152">
        <f>MAX(0,MIN(BJ123-BK123,CL123-(AZ123+BD123+BH123)))</f>
        <v/>
      </c>
      <c r="BM123" s="152">
        <f>BJ123-BK123-BL123</f>
        <v/>
      </c>
      <c r="BN123" s="152">
        <f>IF(BQ122&lt;=0.005,0,BQ122*(1+BN$6))</f>
        <v/>
      </c>
      <c r="BO123" s="152">
        <f>MIN(BN123,BN$7)</f>
        <v/>
      </c>
      <c r="BP123" s="152">
        <f>MAX(0,MIN(BN123-BO123,CL123-(AZ123+BD123+BH123+BL123)))</f>
        <v/>
      </c>
      <c r="BQ123" s="152">
        <f>BN123-BO123-BP123</f>
        <v/>
      </c>
      <c r="BR123" s="152">
        <f>IF(BU122&lt;=0.005,0,BU122*(1+BR$6))</f>
        <v/>
      </c>
      <c r="BS123" s="152">
        <f>MIN(BR123,BR$7)</f>
        <v/>
      </c>
      <c r="BT123" s="152">
        <f>MAX(0,MIN(BR123-BS123,CL123-(AZ123+BD123+BH123+BL123+BP123)))</f>
        <v/>
      </c>
      <c r="BU123" s="152">
        <f>BR123-BS123-BT123</f>
        <v/>
      </c>
      <c r="BV123" s="152">
        <f>IF(BY122&lt;=0.005,0,BY122*(1+BV$6))</f>
        <v/>
      </c>
      <c r="BW123" s="152">
        <f>MIN(BV123,BV$7)</f>
        <v/>
      </c>
      <c r="BX123" s="152">
        <f>MAX(0,MIN(BV123-BW123,CL123-(AZ123+BD123+BH123+BL123+BP123+BT123)))</f>
        <v/>
      </c>
      <c r="BY123" s="152">
        <f>BV123-BW123-BX123</f>
        <v/>
      </c>
      <c r="BZ123" s="152">
        <f>IF(CC122&lt;=0.005,0,CC122*(1+BZ$6))</f>
        <v/>
      </c>
      <c r="CA123" s="152">
        <f>MIN(BZ123,BZ$7)</f>
        <v/>
      </c>
      <c r="CB123" s="152">
        <f>MAX(0,MIN(BZ123-CA123,CL123-(AZ123+BD123+BH123+BL123+BP123+BT123+BX123)))</f>
        <v/>
      </c>
      <c r="CC123" s="152">
        <f>BZ123-CA123-CB123</f>
        <v/>
      </c>
      <c r="CD123" s="152">
        <f>IF(CG122&lt;=0.005,0,CG122*(1+CD$6))</f>
        <v/>
      </c>
      <c r="CE123" s="152">
        <f>MIN(CD123,CD$7)</f>
        <v/>
      </c>
      <c r="CF123" s="152">
        <f>MAX(0,MIN(CD123-CE123,CL123-(AZ123+BD123+BH123+BL123+BP123+BT123+BX123+CB123)))</f>
        <v/>
      </c>
      <c r="CG123" s="152">
        <f>CD123-CE123-CF123</f>
        <v/>
      </c>
      <c r="CH123" s="152">
        <f>IF(CK122&lt;=0.005,0,CK122*(1+CH$6))</f>
        <v/>
      </c>
      <c r="CI123" s="152">
        <f>MIN(CH123,CH$7)</f>
        <v/>
      </c>
      <c r="CJ123" s="152">
        <f>MAX(0,MIN(CH123-CI123,CL123-(AZ123+BD123+BH123+BL123+BP123+BT123+BX123+CB123+CF123)))</f>
        <v/>
      </c>
      <c r="CK123" s="152">
        <f>CH123-CI123-CJ123</f>
        <v/>
      </c>
      <c r="CL123" s="152">
        <f>'Debt Payoff'!$C$8-SUM(AY123,BC123,BG123,BK123,BO123,BS123,BW123,CA123,CE123,CI123)</f>
        <v/>
      </c>
      <c r="CM123" s="152">
        <f>SUM(AY123,BC123,BG123,BK123,BO123,BS123,BW123,CA123,CE123,CI123)+SUM(AZ123,BD123,BH123,BL123,BP123,BT123,BX123,CB123,CF123,CJ123)</f>
        <v/>
      </c>
      <c r="CN123" s="152">
        <f>SUM(BA123,BE123,BI123,BM123,BQ123,BU123,BY123,CC123,CG123,CK123)</f>
        <v/>
      </c>
      <c r="CO123" s="152">
        <f>IF(AW123&gt;CN$6,NA(),AW123)</f>
        <v/>
      </c>
      <c r="CP123" s="152">
        <f>IF(AW123&gt;CN$6,NA(),CN123)</f>
        <v/>
      </c>
    </row>
    <row r="124">
      <c r="B124" s="152" t="n">
        <v>113</v>
      </c>
      <c r="C124" s="152">
        <f>IF(F123&lt;=0.005,0,F123*(1+C$6))</f>
        <v/>
      </c>
      <c r="D124" s="152">
        <f>MIN(C124,C$7)</f>
        <v/>
      </c>
      <c r="E124" s="152">
        <f>MAX(0,MIN(C124-D124,AQ124))</f>
        <v/>
      </c>
      <c r="F124" s="152">
        <f>C124-D124-E124</f>
        <v/>
      </c>
      <c r="G124" s="152">
        <f>IF(J123&lt;=0.005,0,J123*(1+G$6))</f>
        <v/>
      </c>
      <c r="H124" s="152">
        <f>MIN(G124,G$7)</f>
        <v/>
      </c>
      <c r="I124" s="152">
        <f>MAX(0,MIN(G124-H124,AQ124-(E124)))</f>
        <v/>
      </c>
      <c r="J124" s="152">
        <f>G124-H124-I124</f>
        <v/>
      </c>
      <c r="K124" s="152">
        <f>IF(N123&lt;=0.005,0,N123*(1+K$6))</f>
        <v/>
      </c>
      <c r="L124" s="152">
        <f>MIN(K124,K$7)</f>
        <v/>
      </c>
      <c r="M124" s="152">
        <f>MAX(0,MIN(K124-L124,AQ124-(E124+I124)))</f>
        <v/>
      </c>
      <c r="N124" s="152">
        <f>K124-L124-M124</f>
        <v/>
      </c>
      <c r="O124" s="152">
        <f>IF(R123&lt;=0.005,0,R123*(1+O$6))</f>
        <v/>
      </c>
      <c r="P124" s="152">
        <f>MIN(O124,O$7)</f>
        <v/>
      </c>
      <c r="Q124" s="152">
        <f>MAX(0,MIN(O124-P124,AQ124-(E124+I124+M124)))</f>
        <v/>
      </c>
      <c r="R124" s="152">
        <f>O124-P124-Q124</f>
        <v/>
      </c>
      <c r="S124" s="152">
        <f>IF(V123&lt;=0.005,0,V123*(1+S$6))</f>
        <v/>
      </c>
      <c r="T124" s="152">
        <f>MIN(S124,S$7)</f>
        <v/>
      </c>
      <c r="U124" s="152">
        <f>MAX(0,MIN(S124-T124,AQ124-(E124+I124+M124+Q124)))</f>
        <v/>
      </c>
      <c r="V124" s="152">
        <f>S124-T124-U124</f>
        <v/>
      </c>
      <c r="W124" s="152">
        <f>IF(Z123&lt;=0.005,0,Z123*(1+W$6))</f>
        <v/>
      </c>
      <c r="X124" s="152">
        <f>MIN(W124,W$7)</f>
        <v/>
      </c>
      <c r="Y124" s="152">
        <f>MAX(0,MIN(W124-X124,AQ124-(E124+I124+M124+Q124+U124)))</f>
        <v/>
      </c>
      <c r="Z124" s="152">
        <f>W124-X124-Y124</f>
        <v/>
      </c>
      <c r="AA124" s="152">
        <f>IF(AD123&lt;=0.005,0,AD123*(1+AA$6))</f>
        <v/>
      </c>
      <c r="AB124" s="152">
        <f>MIN(AA124,AA$7)</f>
        <v/>
      </c>
      <c r="AC124" s="152">
        <f>MAX(0,MIN(AA124-AB124,AQ124-(E124+I124+M124+Q124+U124+Y124)))</f>
        <v/>
      </c>
      <c r="AD124" s="152">
        <f>AA124-AB124-AC124</f>
        <v/>
      </c>
      <c r="AE124" s="152">
        <f>IF(AH123&lt;=0.005,0,AH123*(1+AE$6))</f>
        <v/>
      </c>
      <c r="AF124" s="152">
        <f>MIN(AE124,AE$7)</f>
        <v/>
      </c>
      <c r="AG124" s="152">
        <f>MAX(0,MIN(AE124-AF124,AQ124-(E124+I124+M124+Q124+U124+Y124+AC124)))</f>
        <v/>
      </c>
      <c r="AH124" s="152">
        <f>AE124-AF124-AG124</f>
        <v/>
      </c>
      <c r="AI124" s="152">
        <f>IF(AL123&lt;=0.005,0,AL123*(1+AI$6))</f>
        <v/>
      </c>
      <c r="AJ124" s="152">
        <f>MIN(AI124,AI$7)</f>
        <v/>
      </c>
      <c r="AK124" s="152">
        <f>MAX(0,MIN(AI124-AJ124,AQ124-(E124+I124+M124+Q124+U124+Y124+AC124+AG124)))</f>
        <v/>
      </c>
      <c r="AL124" s="152">
        <f>AI124-AJ124-AK124</f>
        <v/>
      </c>
      <c r="AM124" s="152">
        <f>IF(AP123&lt;=0.005,0,AP123*(1+AM$6))</f>
        <v/>
      </c>
      <c r="AN124" s="152">
        <f>MIN(AM124,AM$7)</f>
        <v/>
      </c>
      <c r="AO124" s="152">
        <f>MAX(0,MIN(AM124-AN124,AQ124-(E124+I124+M124+Q124+U124+Y124+AC124+AG124+AK124)))</f>
        <v/>
      </c>
      <c r="AP124" s="152">
        <f>AM124-AN124-AO124</f>
        <v/>
      </c>
      <c r="AQ124" s="152">
        <f>'Debt Payoff'!$C$8-SUM(D124,H124,L124,P124,T124,X124,AB124,AF124,AJ124,AN124)</f>
        <v/>
      </c>
      <c r="AR124" s="152">
        <f>SUM(D124,H124,L124,P124,T124,X124,AB124,AF124,AJ124,AN124)+SUM(E124,I124,M124,Q124,U124,Y124,AC124,AG124,AK124,AO124)</f>
        <v/>
      </c>
      <c r="AS124" s="152">
        <f>SUM(F124,J124,N124,R124,V124,Z124,AD124,AH124,AL124,AP124)</f>
        <v/>
      </c>
      <c r="AT124" s="152">
        <f>IF(B124&gt;AS$6,NA(),B124)</f>
        <v/>
      </c>
      <c r="AU124" s="152">
        <f>IF(B124&gt;AS$6,NA(),AS124)</f>
        <v/>
      </c>
      <c r="AV124" s="152" t="n"/>
      <c r="AW124" s="152" t="n">
        <v>113</v>
      </c>
      <c r="AX124" s="152">
        <f>IF(BA123&lt;=0.005,0,BA123*(1+AX$6))</f>
        <v/>
      </c>
      <c r="AY124" s="152">
        <f>MIN(AX124,AX$7)</f>
        <v/>
      </c>
      <c r="AZ124" s="152">
        <f>MAX(0,MIN(AX124-AY124,CL124))</f>
        <v/>
      </c>
      <c r="BA124" s="152">
        <f>AX124-AY124-AZ124</f>
        <v/>
      </c>
      <c r="BB124" s="152">
        <f>IF(BE123&lt;=0.005,0,BE123*(1+BB$6))</f>
        <v/>
      </c>
      <c r="BC124" s="152">
        <f>MIN(BB124,BB$7)</f>
        <v/>
      </c>
      <c r="BD124" s="152">
        <f>MAX(0,MIN(BB124-BC124,CL124-(AZ124)))</f>
        <v/>
      </c>
      <c r="BE124" s="152">
        <f>BB124-BC124-BD124</f>
        <v/>
      </c>
      <c r="BF124" s="152">
        <f>IF(BI123&lt;=0.005,0,BI123*(1+BF$6))</f>
        <v/>
      </c>
      <c r="BG124" s="152">
        <f>MIN(BF124,BF$7)</f>
        <v/>
      </c>
      <c r="BH124" s="152">
        <f>MAX(0,MIN(BF124-BG124,CL124-(AZ124+BD124)))</f>
        <v/>
      </c>
      <c r="BI124" s="152">
        <f>BF124-BG124-BH124</f>
        <v/>
      </c>
      <c r="BJ124" s="152">
        <f>IF(BM123&lt;=0.005,0,BM123*(1+BJ$6))</f>
        <v/>
      </c>
      <c r="BK124" s="152">
        <f>MIN(BJ124,BJ$7)</f>
        <v/>
      </c>
      <c r="BL124" s="152">
        <f>MAX(0,MIN(BJ124-BK124,CL124-(AZ124+BD124+BH124)))</f>
        <v/>
      </c>
      <c r="BM124" s="152">
        <f>BJ124-BK124-BL124</f>
        <v/>
      </c>
      <c r="BN124" s="152">
        <f>IF(BQ123&lt;=0.005,0,BQ123*(1+BN$6))</f>
        <v/>
      </c>
      <c r="BO124" s="152">
        <f>MIN(BN124,BN$7)</f>
        <v/>
      </c>
      <c r="BP124" s="152">
        <f>MAX(0,MIN(BN124-BO124,CL124-(AZ124+BD124+BH124+BL124)))</f>
        <v/>
      </c>
      <c r="BQ124" s="152">
        <f>BN124-BO124-BP124</f>
        <v/>
      </c>
      <c r="BR124" s="152">
        <f>IF(BU123&lt;=0.005,0,BU123*(1+BR$6))</f>
        <v/>
      </c>
      <c r="BS124" s="152">
        <f>MIN(BR124,BR$7)</f>
        <v/>
      </c>
      <c r="BT124" s="152">
        <f>MAX(0,MIN(BR124-BS124,CL124-(AZ124+BD124+BH124+BL124+BP124)))</f>
        <v/>
      </c>
      <c r="BU124" s="152">
        <f>BR124-BS124-BT124</f>
        <v/>
      </c>
      <c r="BV124" s="152">
        <f>IF(BY123&lt;=0.005,0,BY123*(1+BV$6))</f>
        <v/>
      </c>
      <c r="BW124" s="152">
        <f>MIN(BV124,BV$7)</f>
        <v/>
      </c>
      <c r="BX124" s="152">
        <f>MAX(0,MIN(BV124-BW124,CL124-(AZ124+BD124+BH124+BL124+BP124+BT124)))</f>
        <v/>
      </c>
      <c r="BY124" s="152">
        <f>BV124-BW124-BX124</f>
        <v/>
      </c>
      <c r="BZ124" s="152">
        <f>IF(CC123&lt;=0.005,0,CC123*(1+BZ$6))</f>
        <v/>
      </c>
      <c r="CA124" s="152">
        <f>MIN(BZ124,BZ$7)</f>
        <v/>
      </c>
      <c r="CB124" s="152">
        <f>MAX(0,MIN(BZ124-CA124,CL124-(AZ124+BD124+BH124+BL124+BP124+BT124+BX124)))</f>
        <v/>
      </c>
      <c r="CC124" s="152">
        <f>BZ124-CA124-CB124</f>
        <v/>
      </c>
      <c r="CD124" s="152">
        <f>IF(CG123&lt;=0.005,0,CG123*(1+CD$6))</f>
        <v/>
      </c>
      <c r="CE124" s="152">
        <f>MIN(CD124,CD$7)</f>
        <v/>
      </c>
      <c r="CF124" s="152">
        <f>MAX(0,MIN(CD124-CE124,CL124-(AZ124+BD124+BH124+BL124+BP124+BT124+BX124+CB124)))</f>
        <v/>
      </c>
      <c r="CG124" s="152">
        <f>CD124-CE124-CF124</f>
        <v/>
      </c>
      <c r="CH124" s="152">
        <f>IF(CK123&lt;=0.005,0,CK123*(1+CH$6))</f>
        <v/>
      </c>
      <c r="CI124" s="152">
        <f>MIN(CH124,CH$7)</f>
        <v/>
      </c>
      <c r="CJ124" s="152">
        <f>MAX(0,MIN(CH124-CI124,CL124-(AZ124+BD124+BH124+BL124+BP124+BT124+BX124+CB124+CF124)))</f>
        <v/>
      </c>
      <c r="CK124" s="152">
        <f>CH124-CI124-CJ124</f>
        <v/>
      </c>
      <c r="CL124" s="152">
        <f>'Debt Payoff'!$C$8-SUM(AY124,BC124,BG124,BK124,BO124,BS124,BW124,CA124,CE124,CI124)</f>
        <v/>
      </c>
      <c r="CM124" s="152">
        <f>SUM(AY124,BC124,BG124,BK124,BO124,BS124,BW124,CA124,CE124,CI124)+SUM(AZ124,BD124,BH124,BL124,BP124,BT124,BX124,CB124,CF124,CJ124)</f>
        <v/>
      </c>
      <c r="CN124" s="152">
        <f>SUM(BA124,BE124,BI124,BM124,BQ124,BU124,BY124,CC124,CG124,CK124)</f>
        <v/>
      </c>
      <c r="CO124" s="152">
        <f>IF(AW124&gt;CN$6,NA(),AW124)</f>
        <v/>
      </c>
      <c r="CP124" s="152">
        <f>IF(AW124&gt;CN$6,NA(),CN124)</f>
        <v/>
      </c>
    </row>
    <row r="125">
      <c r="B125" s="152" t="n">
        <v>114</v>
      </c>
      <c r="C125" s="152">
        <f>IF(F124&lt;=0.005,0,F124*(1+C$6))</f>
        <v/>
      </c>
      <c r="D125" s="152">
        <f>MIN(C125,C$7)</f>
        <v/>
      </c>
      <c r="E125" s="152">
        <f>MAX(0,MIN(C125-D125,AQ125))</f>
        <v/>
      </c>
      <c r="F125" s="152">
        <f>C125-D125-E125</f>
        <v/>
      </c>
      <c r="G125" s="152">
        <f>IF(J124&lt;=0.005,0,J124*(1+G$6))</f>
        <v/>
      </c>
      <c r="H125" s="152">
        <f>MIN(G125,G$7)</f>
        <v/>
      </c>
      <c r="I125" s="152">
        <f>MAX(0,MIN(G125-H125,AQ125-(E125)))</f>
        <v/>
      </c>
      <c r="J125" s="152">
        <f>G125-H125-I125</f>
        <v/>
      </c>
      <c r="K125" s="152">
        <f>IF(N124&lt;=0.005,0,N124*(1+K$6))</f>
        <v/>
      </c>
      <c r="L125" s="152">
        <f>MIN(K125,K$7)</f>
        <v/>
      </c>
      <c r="M125" s="152">
        <f>MAX(0,MIN(K125-L125,AQ125-(E125+I125)))</f>
        <v/>
      </c>
      <c r="N125" s="152">
        <f>K125-L125-M125</f>
        <v/>
      </c>
      <c r="O125" s="152">
        <f>IF(R124&lt;=0.005,0,R124*(1+O$6))</f>
        <v/>
      </c>
      <c r="P125" s="152">
        <f>MIN(O125,O$7)</f>
        <v/>
      </c>
      <c r="Q125" s="152">
        <f>MAX(0,MIN(O125-P125,AQ125-(E125+I125+M125)))</f>
        <v/>
      </c>
      <c r="R125" s="152">
        <f>O125-P125-Q125</f>
        <v/>
      </c>
      <c r="S125" s="152">
        <f>IF(V124&lt;=0.005,0,V124*(1+S$6))</f>
        <v/>
      </c>
      <c r="T125" s="152">
        <f>MIN(S125,S$7)</f>
        <v/>
      </c>
      <c r="U125" s="152">
        <f>MAX(0,MIN(S125-T125,AQ125-(E125+I125+M125+Q125)))</f>
        <v/>
      </c>
      <c r="V125" s="152">
        <f>S125-T125-U125</f>
        <v/>
      </c>
      <c r="W125" s="152">
        <f>IF(Z124&lt;=0.005,0,Z124*(1+W$6))</f>
        <v/>
      </c>
      <c r="X125" s="152">
        <f>MIN(W125,W$7)</f>
        <v/>
      </c>
      <c r="Y125" s="152">
        <f>MAX(0,MIN(W125-X125,AQ125-(E125+I125+M125+Q125+U125)))</f>
        <v/>
      </c>
      <c r="Z125" s="152">
        <f>W125-X125-Y125</f>
        <v/>
      </c>
      <c r="AA125" s="152">
        <f>IF(AD124&lt;=0.005,0,AD124*(1+AA$6))</f>
        <v/>
      </c>
      <c r="AB125" s="152">
        <f>MIN(AA125,AA$7)</f>
        <v/>
      </c>
      <c r="AC125" s="152">
        <f>MAX(0,MIN(AA125-AB125,AQ125-(E125+I125+M125+Q125+U125+Y125)))</f>
        <v/>
      </c>
      <c r="AD125" s="152">
        <f>AA125-AB125-AC125</f>
        <v/>
      </c>
      <c r="AE125" s="152">
        <f>IF(AH124&lt;=0.005,0,AH124*(1+AE$6))</f>
        <v/>
      </c>
      <c r="AF125" s="152">
        <f>MIN(AE125,AE$7)</f>
        <v/>
      </c>
      <c r="AG125" s="152">
        <f>MAX(0,MIN(AE125-AF125,AQ125-(E125+I125+M125+Q125+U125+Y125+AC125)))</f>
        <v/>
      </c>
      <c r="AH125" s="152">
        <f>AE125-AF125-AG125</f>
        <v/>
      </c>
      <c r="AI125" s="152">
        <f>IF(AL124&lt;=0.005,0,AL124*(1+AI$6))</f>
        <v/>
      </c>
      <c r="AJ125" s="152">
        <f>MIN(AI125,AI$7)</f>
        <v/>
      </c>
      <c r="AK125" s="152">
        <f>MAX(0,MIN(AI125-AJ125,AQ125-(E125+I125+M125+Q125+U125+Y125+AC125+AG125)))</f>
        <v/>
      </c>
      <c r="AL125" s="152">
        <f>AI125-AJ125-AK125</f>
        <v/>
      </c>
      <c r="AM125" s="152">
        <f>IF(AP124&lt;=0.005,0,AP124*(1+AM$6))</f>
        <v/>
      </c>
      <c r="AN125" s="152">
        <f>MIN(AM125,AM$7)</f>
        <v/>
      </c>
      <c r="AO125" s="152">
        <f>MAX(0,MIN(AM125-AN125,AQ125-(E125+I125+M125+Q125+U125+Y125+AC125+AG125+AK125)))</f>
        <v/>
      </c>
      <c r="AP125" s="152">
        <f>AM125-AN125-AO125</f>
        <v/>
      </c>
      <c r="AQ125" s="152">
        <f>'Debt Payoff'!$C$8-SUM(D125,H125,L125,P125,T125,X125,AB125,AF125,AJ125,AN125)</f>
        <v/>
      </c>
      <c r="AR125" s="152">
        <f>SUM(D125,H125,L125,P125,T125,X125,AB125,AF125,AJ125,AN125)+SUM(E125,I125,M125,Q125,U125,Y125,AC125,AG125,AK125,AO125)</f>
        <v/>
      </c>
      <c r="AS125" s="152">
        <f>SUM(F125,J125,N125,R125,V125,Z125,AD125,AH125,AL125,AP125)</f>
        <v/>
      </c>
      <c r="AT125" s="152">
        <f>IF(B125&gt;AS$6,NA(),B125)</f>
        <v/>
      </c>
      <c r="AU125" s="152">
        <f>IF(B125&gt;AS$6,NA(),AS125)</f>
        <v/>
      </c>
      <c r="AV125" s="152" t="n"/>
      <c r="AW125" s="152" t="n">
        <v>114</v>
      </c>
      <c r="AX125" s="152">
        <f>IF(BA124&lt;=0.005,0,BA124*(1+AX$6))</f>
        <v/>
      </c>
      <c r="AY125" s="152">
        <f>MIN(AX125,AX$7)</f>
        <v/>
      </c>
      <c r="AZ125" s="152">
        <f>MAX(0,MIN(AX125-AY125,CL125))</f>
        <v/>
      </c>
      <c r="BA125" s="152">
        <f>AX125-AY125-AZ125</f>
        <v/>
      </c>
      <c r="BB125" s="152">
        <f>IF(BE124&lt;=0.005,0,BE124*(1+BB$6))</f>
        <v/>
      </c>
      <c r="BC125" s="152">
        <f>MIN(BB125,BB$7)</f>
        <v/>
      </c>
      <c r="BD125" s="152">
        <f>MAX(0,MIN(BB125-BC125,CL125-(AZ125)))</f>
        <v/>
      </c>
      <c r="BE125" s="152">
        <f>BB125-BC125-BD125</f>
        <v/>
      </c>
      <c r="BF125" s="152">
        <f>IF(BI124&lt;=0.005,0,BI124*(1+BF$6))</f>
        <v/>
      </c>
      <c r="BG125" s="152">
        <f>MIN(BF125,BF$7)</f>
        <v/>
      </c>
      <c r="BH125" s="152">
        <f>MAX(0,MIN(BF125-BG125,CL125-(AZ125+BD125)))</f>
        <v/>
      </c>
      <c r="BI125" s="152">
        <f>BF125-BG125-BH125</f>
        <v/>
      </c>
      <c r="BJ125" s="152">
        <f>IF(BM124&lt;=0.005,0,BM124*(1+BJ$6))</f>
        <v/>
      </c>
      <c r="BK125" s="152">
        <f>MIN(BJ125,BJ$7)</f>
        <v/>
      </c>
      <c r="BL125" s="152">
        <f>MAX(0,MIN(BJ125-BK125,CL125-(AZ125+BD125+BH125)))</f>
        <v/>
      </c>
      <c r="BM125" s="152">
        <f>BJ125-BK125-BL125</f>
        <v/>
      </c>
      <c r="BN125" s="152">
        <f>IF(BQ124&lt;=0.005,0,BQ124*(1+BN$6))</f>
        <v/>
      </c>
      <c r="BO125" s="152">
        <f>MIN(BN125,BN$7)</f>
        <v/>
      </c>
      <c r="BP125" s="152">
        <f>MAX(0,MIN(BN125-BO125,CL125-(AZ125+BD125+BH125+BL125)))</f>
        <v/>
      </c>
      <c r="BQ125" s="152">
        <f>BN125-BO125-BP125</f>
        <v/>
      </c>
      <c r="BR125" s="152">
        <f>IF(BU124&lt;=0.005,0,BU124*(1+BR$6))</f>
        <v/>
      </c>
      <c r="BS125" s="152">
        <f>MIN(BR125,BR$7)</f>
        <v/>
      </c>
      <c r="BT125" s="152">
        <f>MAX(0,MIN(BR125-BS125,CL125-(AZ125+BD125+BH125+BL125+BP125)))</f>
        <v/>
      </c>
      <c r="BU125" s="152">
        <f>BR125-BS125-BT125</f>
        <v/>
      </c>
      <c r="BV125" s="152">
        <f>IF(BY124&lt;=0.005,0,BY124*(1+BV$6))</f>
        <v/>
      </c>
      <c r="BW125" s="152">
        <f>MIN(BV125,BV$7)</f>
        <v/>
      </c>
      <c r="BX125" s="152">
        <f>MAX(0,MIN(BV125-BW125,CL125-(AZ125+BD125+BH125+BL125+BP125+BT125)))</f>
        <v/>
      </c>
      <c r="BY125" s="152">
        <f>BV125-BW125-BX125</f>
        <v/>
      </c>
      <c r="BZ125" s="152">
        <f>IF(CC124&lt;=0.005,0,CC124*(1+BZ$6))</f>
        <v/>
      </c>
      <c r="CA125" s="152">
        <f>MIN(BZ125,BZ$7)</f>
        <v/>
      </c>
      <c r="CB125" s="152">
        <f>MAX(0,MIN(BZ125-CA125,CL125-(AZ125+BD125+BH125+BL125+BP125+BT125+BX125)))</f>
        <v/>
      </c>
      <c r="CC125" s="152">
        <f>BZ125-CA125-CB125</f>
        <v/>
      </c>
      <c r="CD125" s="152">
        <f>IF(CG124&lt;=0.005,0,CG124*(1+CD$6))</f>
        <v/>
      </c>
      <c r="CE125" s="152">
        <f>MIN(CD125,CD$7)</f>
        <v/>
      </c>
      <c r="CF125" s="152">
        <f>MAX(0,MIN(CD125-CE125,CL125-(AZ125+BD125+BH125+BL125+BP125+BT125+BX125+CB125)))</f>
        <v/>
      </c>
      <c r="CG125" s="152">
        <f>CD125-CE125-CF125</f>
        <v/>
      </c>
      <c r="CH125" s="152">
        <f>IF(CK124&lt;=0.005,0,CK124*(1+CH$6))</f>
        <v/>
      </c>
      <c r="CI125" s="152">
        <f>MIN(CH125,CH$7)</f>
        <v/>
      </c>
      <c r="CJ125" s="152">
        <f>MAX(0,MIN(CH125-CI125,CL125-(AZ125+BD125+BH125+BL125+BP125+BT125+BX125+CB125+CF125)))</f>
        <v/>
      </c>
      <c r="CK125" s="152">
        <f>CH125-CI125-CJ125</f>
        <v/>
      </c>
      <c r="CL125" s="152">
        <f>'Debt Payoff'!$C$8-SUM(AY125,BC125,BG125,BK125,BO125,BS125,BW125,CA125,CE125,CI125)</f>
        <v/>
      </c>
      <c r="CM125" s="152">
        <f>SUM(AY125,BC125,BG125,BK125,BO125,BS125,BW125,CA125,CE125,CI125)+SUM(AZ125,BD125,BH125,BL125,BP125,BT125,BX125,CB125,CF125,CJ125)</f>
        <v/>
      </c>
      <c r="CN125" s="152">
        <f>SUM(BA125,BE125,BI125,BM125,BQ125,BU125,BY125,CC125,CG125,CK125)</f>
        <v/>
      </c>
      <c r="CO125" s="152">
        <f>IF(AW125&gt;CN$6,NA(),AW125)</f>
        <v/>
      </c>
      <c r="CP125" s="152">
        <f>IF(AW125&gt;CN$6,NA(),CN125)</f>
        <v/>
      </c>
    </row>
    <row r="126">
      <c r="B126" s="152" t="n">
        <v>115</v>
      </c>
      <c r="C126" s="152">
        <f>IF(F125&lt;=0.005,0,F125*(1+C$6))</f>
        <v/>
      </c>
      <c r="D126" s="152">
        <f>MIN(C126,C$7)</f>
        <v/>
      </c>
      <c r="E126" s="152">
        <f>MAX(0,MIN(C126-D126,AQ126))</f>
        <v/>
      </c>
      <c r="F126" s="152">
        <f>C126-D126-E126</f>
        <v/>
      </c>
      <c r="G126" s="152">
        <f>IF(J125&lt;=0.005,0,J125*(1+G$6))</f>
        <v/>
      </c>
      <c r="H126" s="152">
        <f>MIN(G126,G$7)</f>
        <v/>
      </c>
      <c r="I126" s="152">
        <f>MAX(0,MIN(G126-H126,AQ126-(E126)))</f>
        <v/>
      </c>
      <c r="J126" s="152">
        <f>G126-H126-I126</f>
        <v/>
      </c>
      <c r="K126" s="152">
        <f>IF(N125&lt;=0.005,0,N125*(1+K$6))</f>
        <v/>
      </c>
      <c r="L126" s="152">
        <f>MIN(K126,K$7)</f>
        <v/>
      </c>
      <c r="M126" s="152">
        <f>MAX(0,MIN(K126-L126,AQ126-(E126+I126)))</f>
        <v/>
      </c>
      <c r="N126" s="152">
        <f>K126-L126-M126</f>
        <v/>
      </c>
      <c r="O126" s="152">
        <f>IF(R125&lt;=0.005,0,R125*(1+O$6))</f>
        <v/>
      </c>
      <c r="P126" s="152">
        <f>MIN(O126,O$7)</f>
        <v/>
      </c>
      <c r="Q126" s="152">
        <f>MAX(0,MIN(O126-P126,AQ126-(E126+I126+M126)))</f>
        <v/>
      </c>
      <c r="R126" s="152">
        <f>O126-P126-Q126</f>
        <v/>
      </c>
      <c r="S126" s="152">
        <f>IF(V125&lt;=0.005,0,V125*(1+S$6))</f>
        <v/>
      </c>
      <c r="T126" s="152">
        <f>MIN(S126,S$7)</f>
        <v/>
      </c>
      <c r="U126" s="152">
        <f>MAX(0,MIN(S126-T126,AQ126-(E126+I126+M126+Q126)))</f>
        <v/>
      </c>
      <c r="V126" s="152">
        <f>S126-T126-U126</f>
        <v/>
      </c>
      <c r="W126" s="152">
        <f>IF(Z125&lt;=0.005,0,Z125*(1+W$6))</f>
        <v/>
      </c>
      <c r="X126" s="152">
        <f>MIN(W126,W$7)</f>
        <v/>
      </c>
      <c r="Y126" s="152">
        <f>MAX(0,MIN(W126-X126,AQ126-(E126+I126+M126+Q126+U126)))</f>
        <v/>
      </c>
      <c r="Z126" s="152">
        <f>W126-X126-Y126</f>
        <v/>
      </c>
      <c r="AA126" s="152">
        <f>IF(AD125&lt;=0.005,0,AD125*(1+AA$6))</f>
        <v/>
      </c>
      <c r="AB126" s="152">
        <f>MIN(AA126,AA$7)</f>
        <v/>
      </c>
      <c r="AC126" s="152">
        <f>MAX(0,MIN(AA126-AB126,AQ126-(E126+I126+M126+Q126+U126+Y126)))</f>
        <v/>
      </c>
      <c r="AD126" s="152">
        <f>AA126-AB126-AC126</f>
        <v/>
      </c>
      <c r="AE126" s="152">
        <f>IF(AH125&lt;=0.005,0,AH125*(1+AE$6))</f>
        <v/>
      </c>
      <c r="AF126" s="152">
        <f>MIN(AE126,AE$7)</f>
        <v/>
      </c>
      <c r="AG126" s="152">
        <f>MAX(0,MIN(AE126-AF126,AQ126-(E126+I126+M126+Q126+U126+Y126+AC126)))</f>
        <v/>
      </c>
      <c r="AH126" s="152">
        <f>AE126-AF126-AG126</f>
        <v/>
      </c>
      <c r="AI126" s="152">
        <f>IF(AL125&lt;=0.005,0,AL125*(1+AI$6))</f>
        <v/>
      </c>
      <c r="AJ126" s="152">
        <f>MIN(AI126,AI$7)</f>
        <v/>
      </c>
      <c r="AK126" s="152">
        <f>MAX(0,MIN(AI126-AJ126,AQ126-(E126+I126+M126+Q126+U126+Y126+AC126+AG126)))</f>
        <v/>
      </c>
      <c r="AL126" s="152">
        <f>AI126-AJ126-AK126</f>
        <v/>
      </c>
      <c r="AM126" s="152">
        <f>IF(AP125&lt;=0.005,0,AP125*(1+AM$6))</f>
        <v/>
      </c>
      <c r="AN126" s="152">
        <f>MIN(AM126,AM$7)</f>
        <v/>
      </c>
      <c r="AO126" s="152">
        <f>MAX(0,MIN(AM126-AN126,AQ126-(E126+I126+M126+Q126+U126+Y126+AC126+AG126+AK126)))</f>
        <v/>
      </c>
      <c r="AP126" s="152">
        <f>AM126-AN126-AO126</f>
        <v/>
      </c>
      <c r="AQ126" s="152">
        <f>'Debt Payoff'!$C$8-SUM(D126,H126,L126,P126,T126,X126,AB126,AF126,AJ126,AN126)</f>
        <v/>
      </c>
      <c r="AR126" s="152">
        <f>SUM(D126,H126,L126,P126,T126,X126,AB126,AF126,AJ126,AN126)+SUM(E126,I126,M126,Q126,U126,Y126,AC126,AG126,AK126,AO126)</f>
        <v/>
      </c>
      <c r="AS126" s="152">
        <f>SUM(F126,J126,N126,R126,V126,Z126,AD126,AH126,AL126,AP126)</f>
        <v/>
      </c>
      <c r="AT126" s="152">
        <f>IF(B126&gt;AS$6,NA(),B126)</f>
        <v/>
      </c>
      <c r="AU126" s="152">
        <f>IF(B126&gt;AS$6,NA(),AS126)</f>
        <v/>
      </c>
      <c r="AV126" s="152" t="n"/>
      <c r="AW126" s="152" t="n">
        <v>115</v>
      </c>
      <c r="AX126" s="152">
        <f>IF(BA125&lt;=0.005,0,BA125*(1+AX$6))</f>
        <v/>
      </c>
      <c r="AY126" s="152">
        <f>MIN(AX126,AX$7)</f>
        <v/>
      </c>
      <c r="AZ126" s="152">
        <f>MAX(0,MIN(AX126-AY126,CL126))</f>
        <v/>
      </c>
      <c r="BA126" s="152">
        <f>AX126-AY126-AZ126</f>
        <v/>
      </c>
      <c r="BB126" s="152">
        <f>IF(BE125&lt;=0.005,0,BE125*(1+BB$6))</f>
        <v/>
      </c>
      <c r="BC126" s="152">
        <f>MIN(BB126,BB$7)</f>
        <v/>
      </c>
      <c r="BD126" s="152">
        <f>MAX(0,MIN(BB126-BC126,CL126-(AZ126)))</f>
        <v/>
      </c>
      <c r="BE126" s="152">
        <f>BB126-BC126-BD126</f>
        <v/>
      </c>
      <c r="BF126" s="152">
        <f>IF(BI125&lt;=0.005,0,BI125*(1+BF$6))</f>
        <v/>
      </c>
      <c r="BG126" s="152">
        <f>MIN(BF126,BF$7)</f>
        <v/>
      </c>
      <c r="BH126" s="152">
        <f>MAX(0,MIN(BF126-BG126,CL126-(AZ126+BD126)))</f>
        <v/>
      </c>
      <c r="BI126" s="152">
        <f>BF126-BG126-BH126</f>
        <v/>
      </c>
      <c r="BJ126" s="152">
        <f>IF(BM125&lt;=0.005,0,BM125*(1+BJ$6))</f>
        <v/>
      </c>
      <c r="BK126" s="152">
        <f>MIN(BJ126,BJ$7)</f>
        <v/>
      </c>
      <c r="BL126" s="152">
        <f>MAX(0,MIN(BJ126-BK126,CL126-(AZ126+BD126+BH126)))</f>
        <v/>
      </c>
      <c r="BM126" s="152">
        <f>BJ126-BK126-BL126</f>
        <v/>
      </c>
      <c r="BN126" s="152">
        <f>IF(BQ125&lt;=0.005,0,BQ125*(1+BN$6))</f>
        <v/>
      </c>
      <c r="BO126" s="152">
        <f>MIN(BN126,BN$7)</f>
        <v/>
      </c>
      <c r="BP126" s="152">
        <f>MAX(0,MIN(BN126-BO126,CL126-(AZ126+BD126+BH126+BL126)))</f>
        <v/>
      </c>
      <c r="BQ126" s="152">
        <f>BN126-BO126-BP126</f>
        <v/>
      </c>
      <c r="BR126" s="152">
        <f>IF(BU125&lt;=0.005,0,BU125*(1+BR$6))</f>
        <v/>
      </c>
      <c r="BS126" s="152">
        <f>MIN(BR126,BR$7)</f>
        <v/>
      </c>
      <c r="BT126" s="152">
        <f>MAX(0,MIN(BR126-BS126,CL126-(AZ126+BD126+BH126+BL126+BP126)))</f>
        <v/>
      </c>
      <c r="BU126" s="152">
        <f>BR126-BS126-BT126</f>
        <v/>
      </c>
      <c r="BV126" s="152">
        <f>IF(BY125&lt;=0.005,0,BY125*(1+BV$6))</f>
        <v/>
      </c>
      <c r="BW126" s="152">
        <f>MIN(BV126,BV$7)</f>
        <v/>
      </c>
      <c r="BX126" s="152">
        <f>MAX(0,MIN(BV126-BW126,CL126-(AZ126+BD126+BH126+BL126+BP126+BT126)))</f>
        <v/>
      </c>
      <c r="BY126" s="152">
        <f>BV126-BW126-BX126</f>
        <v/>
      </c>
      <c r="BZ126" s="152">
        <f>IF(CC125&lt;=0.005,0,CC125*(1+BZ$6))</f>
        <v/>
      </c>
      <c r="CA126" s="152">
        <f>MIN(BZ126,BZ$7)</f>
        <v/>
      </c>
      <c r="CB126" s="152">
        <f>MAX(0,MIN(BZ126-CA126,CL126-(AZ126+BD126+BH126+BL126+BP126+BT126+BX126)))</f>
        <v/>
      </c>
      <c r="CC126" s="152">
        <f>BZ126-CA126-CB126</f>
        <v/>
      </c>
      <c r="CD126" s="152">
        <f>IF(CG125&lt;=0.005,0,CG125*(1+CD$6))</f>
        <v/>
      </c>
      <c r="CE126" s="152">
        <f>MIN(CD126,CD$7)</f>
        <v/>
      </c>
      <c r="CF126" s="152">
        <f>MAX(0,MIN(CD126-CE126,CL126-(AZ126+BD126+BH126+BL126+BP126+BT126+BX126+CB126)))</f>
        <v/>
      </c>
      <c r="CG126" s="152">
        <f>CD126-CE126-CF126</f>
        <v/>
      </c>
      <c r="CH126" s="152">
        <f>IF(CK125&lt;=0.005,0,CK125*(1+CH$6))</f>
        <v/>
      </c>
      <c r="CI126" s="152">
        <f>MIN(CH126,CH$7)</f>
        <v/>
      </c>
      <c r="CJ126" s="152">
        <f>MAX(0,MIN(CH126-CI126,CL126-(AZ126+BD126+BH126+BL126+BP126+BT126+BX126+CB126+CF126)))</f>
        <v/>
      </c>
      <c r="CK126" s="152">
        <f>CH126-CI126-CJ126</f>
        <v/>
      </c>
      <c r="CL126" s="152">
        <f>'Debt Payoff'!$C$8-SUM(AY126,BC126,BG126,BK126,BO126,BS126,BW126,CA126,CE126,CI126)</f>
        <v/>
      </c>
      <c r="CM126" s="152">
        <f>SUM(AY126,BC126,BG126,BK126,BO126,BS126,BW126,CA126,CE126,CI126)+SUM(AZ126,BD126,BH126,BL126,BP126,BT126,BX126,CB126,CF126,CJ126)</f>
        <v/>
      </c>
      <c r="CN126" s="152">
        <f>SUM(BA126,BE126,BI126,BM126,BQ126,BU126,BY126,CC126,CG126,CK126)</f>
        <v/>
      </c>
      <c r="CO126" s="152">
        <f>IF(AW126&gt;CN$6,NA(),AW126)</f>
        <v/>
      </c>
      <c r="CP126" s="152">
        <f>IF(AW126&gt;CN$6,NA(),CN126)</f>
        <v/>
      </c>
    </row>
    <row r="127">
      <c r="B127" s="152" t="n">
        <v>116</v>
      </c>
      <c r="C127" s="152">
        <f>IF(F126&lt;=0.005,0,F126*(1+C$6))</f>
        <v/>
      </c>
      <c r="D127" s="152">
        <f>MIN(C127,C$7)</f>
        <v/>
      </c>
      <c r="E127" s="152">
        <f>MAX(0,MIN(C127-D127,AQ127))</f>
        <v/>
      </c>
      <c r="F127" s="152">
        <f>C127-D127-E127</f>
        <v/>
      </c>
      <c r="G127" s="152">
        <f>IF(J126&lt;=0.005,0,J126*(1+G$6))</f>
        <v/>
      </c>
      <c r="H127" s="152">
        <f>MIN(G127,G$7)</f>
        <v/>
      </c>
      <c r="I127" s="152">
        <f>MAX(0,MIN(G127-H127,AQ127-(E127)))</f>
        <v/>
      </c>
      <c r="J127" s="152">
        <f>G127-H127-I127</f>
        <v/>
      </c>
      <c r="K127" s="152">
        <f>IF(N126&lt;=0.005,0,N126*(1+K$6))</f>
        <v/>
      </c>
      <c r="L127" s="152">
        <f>MIN(K127,K$7)</f>
        <v/>
      </c>
      <c r="M127" s="152">
        <f>MAX(0,MIN(K127-L127,AQ127-(E127+I127)))</f>
        <v/>
      </c>
      <c r="N127" s="152">
        <f>K127-L127-M127</f>
        <v/>
      </c>
      <c r="O127" s="152">
        <f>IF(R126&lt;=0.005,0,R126*(1+O$6))</f>
        <v/>
      </c>
      <c r="P127" s="152">
        <f>MIN(O127,O$7)</f>
        <v/>
      </c>
      <c r="Q127" s="152">
        <f>MAX(0,MIN(O127-P127,AQ127-(E127+I127+M127)))</f>
        <v/>
      </c>
      <c r="R127" s="152">
        <f>O127-P127-Q127</f>
        <v/>
      </c>
      <c r="S127" s="152">
        <f>IF(V126&lt;=0.005,0,V126*(1+S$6))</f>
        <v/>
      </c>
      <c r="T127" s="152">
        <f>MIN(S127,S$7)</f>
        <v/>
      </c>
      <c r="U127" s="152">
        <f>MAX(0,MIN(S127-T127,AQ127-(E127+I127+M127+Q127)))</f>
        <v/>
      </c>
      <c r="V127" s="152">
        <f>S127-T127-U127</f>
        <v/>
      </c>
      <c r="W127" s="152">
        <f>IF(Z126&lt;=0.005,0,Z126*(1+W$6))</f>
        <v/>
      </c>
      <c r="X127" s="152">
        <f>MIN(W127,W$7)</f>
        <v/>
      </c>
      <c r="Y127" s="152">
        <f>MAX(0,MIN(W127-X127,AQ127-(E127+I127+M127+Q127+U127)))</f>
        <v/>
      </c>
      <c r="Z127" s="152">
        <f>W127-X127-Y127</f>
        <v/>
      </c>
      <c r="AA127" s="152">
        <f>IF(AD126&lt;=0.005,0,AD126*(1+AA$6))</f>
        <v/>
      </c>
      <c r="AB127" s="152">
        <f>MIN(AA127,AA$7)</f>
        <v/>
      </c>
      <c r="AC127" s="152">
        <f>MAX(0,MIN(AA127-AB127,AQ127-(E127+I127+M127+Q127+U127+Y127)))</f>
        <v/>
      </c>
      <c r="AD127" s="152">
        <f>AA127-AB127-AC127</f>
        <v/>
      </c>
      <c r="AE127" s="152">
        <f>IF(AH126&lt;=0.005,0,AH126*(1+AE$6))</f>
        <v/>
      </c>
      <c r="AF127" s="152">
        <f>MIN(AE127,AE$7)</f>
        <v/>
      </c>
      <c r="AG127" s="152">
        <f>MAX(0,MIN(AE127-AF127,AQ127-(E127+I127+M127+Q127+U127+Y127+AC127)))</f>
        <v/>
      </c>
      <c r="AH127" s="152">
        <f>AE127-AF127-AG127</f>
        <v/>
      </c>
      <c r="AI127" s="152">
        <f>IF(AL126&lt;=0.005,0,AL126*(1+AI$6))</f>
        <v/>
      </c>
      <c r="AJ127" s="152">
        <f>MIN(AI127,AI$7)</f>
        <v/>
      </c>
      <c r="AK127" s="152">
        <f>MAX(0,MIN(AI127-AJ127,AQ127-(E127+I127+M127+Q127+U127+Y127+AC127+AG127)))</f>
        <v/>
      </c>
      <c r="AL127" s="152">
        <f>AI127-AJ127-AK127</f>
        <v/>
      </c>
      <c r="AM127" s="152">
        <f>IF(AP126&lt;=0.005,0,AP126*(1+AM$6))</f>
        <v/>
      </c>
      <c r="AN127" s="152">
        <f>MIN(AM127,AM$7)</f>
        <v/>
      </c>
      <c r="AO127" s="152">
        <f>MAX(0,MIN(AM127-AN127,AQ127-(E127+I127+M127+Q127+U127+Y127+AC127+AG127+AK127)))</f>
        <v/>
      </c>
      <c r="AP127" s="152">
        <f>AM127-AN127-AO127</f>
        <v/>
      </c>
      <c r="AQ127" s="152">
        <f>'Debt Payoff'!$C$8-SUM(D127,H127,L127,P127,T127,X127,AB127,AF127,AJ127,AN127)</f>
        <v/>
      </c>
      <c r="AR127" s="152">
        <f>SUM(D127,H127,L127,P127,T127,X127,AB127,AF127,AJ127,AN127)+SUM(E127,I127,M127,Q127,U127,Y127,AC127,AG127,AK127,AO127)</f>
        <v/>
      </c>
      <c r="AS127" s="152">
        <f>SUM(F127,J127,N127,R127,V127,Z127,AD127,AH127,AL127,AP127)</f>
        <v/>
      </c>
      <c r="AT127" s="152">
        <f>IF(B127&gt;AS$6,NA(),B127)</f>
        <v/>
      </c>
      <c r="AU127" s="152">
        <f>IF(B127&gt;AS$6,NA(),AS127)</f>
        <v/>
      </c>
      <c r="AV127" s="152" t="n"/>
      <c r="AW127" s="152" t="n">
        <v>116</v>
      </c>
      <c r="AX127" s="152">
        <f>IF(BA126&lt;=0.005,0,BA126*(1+AX$6))</f>
        <v/>
      </c>
      <c r="AY127" s="152">
        <f>MIN(AX127,AX$7)</f>
        <v/>
      </c>
      <c r="AZ127" s="152">
        <f>MAX(0,MIN(AX127-AY127,CL127))</f>
        <v/>
      </c>
      <c r="BA127" s="152">
        <f>AX127-AY127-AZ127</f>
        <v/>
      </c>
      <c r="BB127" s="152">
        <f>IF(BE126&lt;=0.005,0,BE126*(1+BB$6))</f>
        <v/>
      </c>
      <c r="BC127" s="152">
        <f>MIN(BB127,BB$7)</f>
        <v/>
      </c>
      <c r="BD127" s="152">
        <f>MAX(0,MIN(BB127-BC127,CL127-(AZ127)))</f>
        <v/>
      </c>
      <c r="BE127" s="152">
        <f>BB127-BC127-BD127</f>
        <v/>
      </c>
      <c r="BF127" s="152">
        <f>IF(BI126&lt;=0.005,0,BI126*(1+BF$6))</f>
        <v/>
      </c>
      <c r="BG127" s="152">
        <f>MIN(BF127,BF$7)</f>
        <v/>
      </c>
      <c r="BH127" s="152">
        <f>MAX(0,MIN(BF127-BG127,CL127-(AZ127+BD127)))</f>
        <v/>
      </c>
      <c r="BI127" s="152">
        <f>BF127-BG127-BH127</f>
        <v/>
      </c>
      <c r="BJ127" s="152">
        <f>IF(BM126&lt;=0.005,0,BM126*(1+BJ$6))</f>
        <v/>
      </c>
      <c r="BK127" s="152">
        <f>MIN(BJ127,BJ$7)</f>
        <v/>
      </c>
      <c r="BL127" s="152">
        <f>MAX(0,MIN(BJ127-BK127,CL127-(AZ127+BD127+BH127)))</f>
        <v/>
      </c>
      <c r="BM127" s="152">
        <f>BJ127-BK127-BL127</f>
        <v/>
      </c>
      <c r="BN127" s="152">
        <f>IF(BQ126&lt;=0.005,0,BQ126*(1+BN$6))</f>
        <v/>
      </c>
      <c r="BO127" s="152">
        <f>MIN(BN127,BN$7)</f>
        <v/>
      </c>
      <c r="BP127" s="152">
        <f>MAX(0,MIN(BN127-BO127,CL127-(AZ127+BD127+BH127+BL127)))</f>
        <v/>
      </c>
      <c r="BQ127" s="152">
        <f>BN127-BO127-BP127</f>
        <v/>
      </c>
      <c r="BR127" s="152">
        <f>IF(BU126&lt;=0.005,0,BU126*(1+BR$6))</f>
        <v/>
      </c>
      <c r="BS127" s="152">
        <f>MIN(BR127,BR$7)</f>
        <v/>
      </c>
      <c r="BT127" s="152">
        <f>MAX(0,MIN(BR127-BS127,CL127-(AZ127+BD127+BH127+BL127+BP127)))</f>
        <v/>
      </c>
      <c r="BU127" s="152">
        <f>BR127-BS127-BT127</f>
        <v/>
      </c>
      <c r="BV127" s="152">
        <f>IF(BY126&lt;=0.005,0,BY126*(1+BV$6))</f>
        <v/>
      </c>
      <c r="BW127" s="152">
        <f>MIN(BV127,BV$7)</f>
        <v/>
      </c>
      <c r="BX127" s="152">
        <f>MAX(0,MIN(BV127-BW127,CL127-(AZ127+BD127+BH127+BL127+BP127+BT127)))</f>
        <v/>
      </c>
      <c r="BY127" s="152">
        <f>BV127-BW127-BX127</f>
        <v/>
      </c>
      <c r="BZ127" s="152">
        <f>IF(CC126&lt;=0.005,0,CC126*(1+BZ$6))</f>
        <v/>
      </c>
      <c r="CA127" s="152">
        <f>MIN(BZ127,BZ$7)</f>
        <v/>
      </c>
      <c r="CB127" s="152">
        <f>MAX(0,MIN(BZ127-CA127,CL127-(AZ127+BD127+BH127+BL127+BP127+BT127+BX127)))</f>
        <v/>
      </c>
      <c r="CC127" s="152">
        <f>BZ127-CA127-CB127</f>
        <v/>
      </c>
      <c r="CD127" s="152">
        <f>IF(CG126&lt;=0.005,0,CG126*(1+CD$6))</f>
        <v/>
      </c>
      <c r="CE127" s="152">
        <f>MIN(CD127,CD$7)</f>
        <v/>
      </c>
      <c r="CF127" s="152">
        <f>MAX(0,MIN(CD127-CE127,CL127-(AZ127+BD127+BH127+BL127+BP127+BT127+BX127+CB127)))</f>
        <v/>
      </c>
      <c r="CG127" s="152">
        <f>CD127-CE127-CF127</f>
        <v/>
      </c>
      <c r="CH127" s="152">
        <f>IF(CK126&lt;=0.005,0,CK126*(1+CH$6))</f>
        <v/>
      </c>
      <c r="CI127" s="152">
        <f>MIN(CH127,CH$7)</f>
        <v/>
      </c>
      <c r="CJ127" s="152">
        <f>MAX(0,MIN(CH127-CI127,CL127-(AZ127+BD127+BH127+BL127+BP127+BT127+BX127+CB127+CF127)))</f>
        <v/>
      </c>
      <c r="CK127" s="152">
        <f>CH127-CI127-CJ127</f>
        <v/>
      </c>
      <c r="CL127" s="152">
        <f>'Debt Payoff'!$C$8-SUM(AY127,BC127,BG127,BK127,BO127,BS127,BW127,CA127,CE127,CI127)</f>
        <v/>
      </c>
      <c r="CM127" s="152">
        <f>SUM(AY127,BC127,BG127,BK127,BO127,BS127,BW127,CA127,CE127,CI127)+SUM(AZ127,BD127,BH127,BL127,BP127,BT127,BX127,CB127,CF127,CJ127)</f>
        <v/>
      </c>
      <c r="CN127" s="152">
        <f>SUM(BA127,BE127,BI127,BM127,BQ127,BU127,BY127,CC127,CG127,CK127)</f>
        <v/>
      </c>
      <c r="CO127" s="152">
        <f>IF(AW127&gt;CN$6,NA(),AW127)</f>
        <v/>
      </c>
      <c r="CP127" s="152">
        <f>IF(AW127&gt;CN$6,NA(),CN127)</f>
        <v/>
      </c>
    </row>
    <row r="128">
      <c r="B128" s="152" t="n">
        <v>117</v>
      </c>
      <c r="C128" s="152">
        <f>IF(F127&lt;=0.005,0,F127*(1+C$6))</f>
        <v/>
      </c>
      <c r="D128" s="152">
        <f>MIN(C128,C$7)</f>
        <v/>
      </c>
      <c r="E128" s="152">
        <f>MAX(0,MIN(C128-D128,AQ128))</f>
        <v/>
      </c>
      <c r="F128" s="152">
        <f>C128-D128-E128</f>
        <v/>
      </c>
      <c r="G128" s="152">
        <f>IF(J127&lt;=0.005,0,J127*(1+G$6))</f>
        <v/>
      </c>
      <c r="H128" s="152">
        <f>MIN(G128,G$7)</f>
        <v/>
      </c>
      <c r="I128" s="152">
        <f>MAX(0,MIN(G128-H128,AQ128-(E128)))</f>
        <v/>
      </c>
      <c r="J128" s="152">
        <f>G128-H128-I128</f>
        <v/>
      </c>
      <c r="K128" s="152">
        <f>IF(N127&lt;=0.005,0,N127*(1+K$6))</f>
        <v/>
      </c>
      <c r="L128" s="152">
        <f>MIN(K128,K$7)</f>
        <v/>
      </c>
      <c r="M128" s="152">
        <f>MAX(0,MIN(K128-L128,AQ128-(E128+I128)))</f>
        <v/>
      </c>
      <c r="N128" s="152">
        <f>K128-L128-M128</f>
        <v/>
      </c>
      <c r="O128" s="152">
        <f>IF(R127&lt;=0.005,0,R127*(1+O$6))</f>
        <v/>
      </c>
      <c r="P128" s="152">
        <f>MIN(O128,O$7)</f>
        <v/>
      </c>
      <c r="Q128" s="152">
        <f>MAX(0,MIN(O128-P128,AQ128-(E128+I128+M128)))</f>
        <v/>
      </c>
      <c r="R128" s="152">
        <f>O128-P128-Q128</f>
        <v/>
      </c>
      <c r="S128" s="152">
        <f>IF(V127&lt;=0.005,0,V127*(1+S$6))</f>
        <v/>
      </c>
      <c r="T128" s="152">
        <f>MIN(S128,S$7)</f>
        <v/>
      </c>
      <c r="U128" s="152">
        <f>MAX(0,MIN(S128-T128,AQ128-(E128+I128+M128+Q128)))</f>
        <v/>
      </c>
      <c r="V128" s="152">
        <f>S128-T128-U128</f>
        <v/>
      </c>
      <c r="W128" s="152">
        <f>IF(Z127&lt;=0.005,0,Z127*(1+W$6))</f>
        <v/>
      </c>
      <c r="X128" s="152">
        <f>MIN(W128,W$7)</f>
        <v/>
      </c>
      <c r="Y128" s="152">
        <f>MAX(0,MIN(W128-X128,AQ128-(E128+I128+M128+Q128+U128)))</f>
        <v/>
      </c>
      <c r="Z128" s="152">
        <f>W128-X128-Y128</f>
        <v/>
      </c>
      <c r="AA128" s="152">
        <f>IF(AD127&lt;=0.005,0,AD127*(1+AA$6))</f>
        <v/>
      </c>
      <c r="AB128" s="152">
        <f>MIN(AA128,AA$7)</f>
        <v/>
      </c>
      <c r="AC128" s="152">
        <f>MAX(0,MIN(AA128-AB128,AQ128-(E128+I128+M128+Q128+U128+Y128)))</f>
        <v/>
      </c>
      <c r="AD128" s="152">
        <f>AA128-AB128-AC128</f>
        <v/>
      </c>
      <c r="AE128" s="152">
        <f>IF(AH127&lt;=0.005,0,AH127*(1+AE$6))</f>
        <v/>
      </c>
      <c r="AF128" s="152">
        <f>MIN(AE128,AE$7)</f>
        <v/>
      </c>
      <c r="AG128" s="152">
        <f>MAX(0,MIN(AE128-AF128,AQ128-(E128+I128+M128+Q128+U128+Y128+AC128)))</f>
        <v/>
      </c>
      <c r="AH128" s="152">
        <f>AE128-AF128-AG128</f>
        <v/>
      </c>
      <c r="AI128" s="152">
        <f>IF(AL127&lt;=0.005,0,AL127*(1+AI$6))</f>
        <v/>
      </c>
      <c r="AJ128" s="152">
        <f>MIN(AI128,AI$7)</f>
        <v/>
      </c>
      <c r="AK128" s="152">
        <f>MAX(0,MIN(AI128-AJ128,AQ128-(E128+I128+M128+Q128+U128+Y128+AC128+AG128)))</f>
        <v/>
      </c>
      <c r="AL128" s="152">
        <f>AI128-AJ128-AK128</f>
        <v/>
      </c>
      <c r="AM128" s="152">
        <f>IF(AP127&lt;=0.005,0,AP127*(1+AM$6))</f>
        <v/>
      </c>
      <c r="AN128" s="152">
        <f>MIN(AM128,AM$7)</f>
        <v/>
      </c>
      <c r="AO128" s="152">
        <f>MAX(0,MIN(AM128-AN128,AQ128-(E128+I128+M128+Q128+U128+Y128+AC128+AG128+AK128)))</f>
        <v/>
      </c>
      <c r="AP128" s="152">
        <f>AM128-AN128-AO128</f>
        <v/>
      </c>
      <c r="AQ128" s="152">
        <f>'Debt Payoff'!$C$8-SUM(D128,H128,L128,P128,T128,X128,AB128,AF128,AJ128,AN128)</f>
        <v/>
      </c>
      <c r="AR128" s="152">
        <f>SUM(D128,H128,L128,P128,T128,X128,AB128,AF128,AJ128,AN128)+SUM(E128,I128,M128,Q128,U128,Y128,AC128,AG128,AK128,AO128)</f>
        <v/>
      </c>
      <c r="AS128" s="152">
        <f>SUM(F128,J128,N128,R128,V128,Z128,AD128,AH128,AL128,AP128)</f>
        <v/>
      </c>
      <c r="AT128" s="152">
        <f>IF(B128&gt;AS$6,NA(),B128)</f>
        <v/>
      </c>
      <c r="AU128" s="152">
        <f>IF(B128&gt;AS$6,NA(),AS128)</f>
        <v/>
      </c>
      <c r="AV128" s="152" t="n"/>
      <c r="AW128" s="152" t="n">
        <v>117</v>
      </c>
      <c r="AX128" s="152">
        <f>IF(BA127&lt;=0.005,0,BA127*(1+AX$6))</f>
        <v/>
      </c>
      <c r="AY128" s="152">
        <f>MIN(AX128,AX$7)</f>
        <v/>
      </c>
      <c r="AZ128" s="152">
        <f>MAX(0,MIN(AX128-AY128,CL128))</f>
        <v/>
      </c>
      <c r="BA128" s="152">
        <f>AX128-AY128-AZ128</f>
        <v/>
      </c>
      <c r="BB128" s="152">
        <f>IF(BE127&lt;=0.005,0,BE127*(1+BB$6))</f>
        <v/>
      </c>
      <c r="BC128" s="152">
        <f>MIN(BB128,BB$7)</f>
        <v/>
      </c>
      <c r="BD128" s="152">
        <f>MAX(0,MIN(BB128-BC128,CL128-(AZ128)))</f>
        <v/>
      </c>
      <c r="BE128" s="152">
        <f>BB128-BC128-BD128</f>
        <v/>
      </c>
      <c r="BF128" s="152">
        <f>IF(BI127&lt;=0.005,0,BI127*(1+BF$6))</f>
        <v/>
      </c>
      <c r="BG128" s="152">
        <f>MIN(BF128,BF$7)</f>
        <v/>
      </c>
      <c r="BH128" s="152">
        <f>MAX(0,MIN(BF128-BG128,CL128-(AZ128+BD128)))</f>
        <v/>
      </c>
      <c r="BI128" s="152">
        <f>BF128-BG128-BH128</f>
        <v/>
      </c>
      <c r="BJ128" s="152">
        <f>IF(BM127&lt;=0.005,0,BM127*(1+BJ$6))</f>
        <v/>
      </c>
      <c r="BK128" s="152">
        <f>MIN(BJ128,BJ$7)</f>
        <v/>
      </c>
      <c r="BL128" s="152">
        <f>MAX(0,MIN(BJ128-BK128,CL128-(AZ128+BD128+BH128)))</f>
        <v/>
      </c>
      <c r="BM128" s="152">
        <f>BJ128-BK128-BL128</f>
        <v/>
      </c>
      <c r="BN128" s="152">
        <f>IF(BQ127&lt;=0.005,0,BQ127*(1+BN$6))</f>
        <v/>
      </c>
      <c r="BO128" s="152">
        <f>MIN(BN128,BN$7)</f>
        <v/>
      </c>
      <c r="BP128" s="152">
        <f>MAX(0,MIN(BN128-BO128,CL128-(AZ128+BD128+BH128+BL128)))</f>
        <v/>
      </c>
      <c r="BQ128" s="152">
        <f>BN128-BO128-BP128</f>
        <v/>
      </c>
      <c r="BR128" s="152">
        <f>IF(BU127&lt;=0.005,0,BU127*(1+BR$6))</f>
        <v/>
      </c>
      <c r="BS128" s="152">
        <f>MIN(BR128,BR$7)</f>
        <v/>
      </c>
      <c r="BT128" s="152">
        <f>MAX(0,MIN(BR128-BS128,CL128-(AZ128+BD128+BH128+BL128+BP128)))</f>
        <v/>
      </c>
      <c r="BU128" s="152">
        <f>BR128-BS128-BT128</f>
        <v/>
      </c>
      <c r="BV128" s="152">
        <f>IF(BY127&lt;=0.005,0,BY127*(1+BV$6))</f>
        <v/>
      </c>
      <c r="BW128" s="152">
        <f>MIN(BV128,BV$7)</f>
        <v/>
      </c>
      <c r="BX128" s="152">
        <f>MAX(0,MIN(BV128-BW128,CL128-(AZ128+BD128+BH128+BL128+BP128+BT128)))</f>
        <v/>
      </c>
      <c r="BY128" s="152">
        <f>BV128-BW128-BX128</f>
        <v/>
      </c>
      <c r="BZ128" s="152">
        <f>IF(CC127&lt;=0.005,0,CC127*(1+BZ$6))</f>
        <v/>
      </c>
      <c r="CA128" s="152">
        <f>MIN(BZ128,BZ$7)</f>
        <v/>
      </c>
      <c r="CB128" s="152">
        <f>MAX(0,MIN(BZ128-CA128,CL128-(AZ128+BD128+BH128+BL128+BP128+BT128+BX128)))</f>
        <v/>
      </c>
      <c r="CC128" s="152">
        <f>BZ128-CA128-CB128</f>
        <v/>
      </c>
      <c r="CD128" s="152">
        <f>IF(CG127&lt;=0.005,0,CG127*(1+CD$6))</f>
        <v/>
      </c>
      <c r="CE128" s="152">
        <f>MIN(CD128,CD$7)</f>
        <v/>
      </c>
      <c r="CF128" s="152">
        <f>MAX(0,MIN(CD128-CE128,CL128-(AZ128+BD128+BH128+BL128+BP128+BT128+BX128+CB128)))</f>
        <v/>
      </c>
      <c r="CG128" s="152">
        <f>CD128-CE128-CF128</f>
        <v/>
      </c>
      <c r="CH128" s="152">
        <f>IF(CK127&lt;=0.005,0,CK127*(1+CH$6))</f>
        <v/>
      </c>
      <c r="CI128" s="152">
        <f>MIN(CH128,CH$7)</f>
        <v/>
      </c>
      <c r="CJ128" s="152">
        <f>MAX(0,MIN(CH128-CI128,CL128-(AZ128+BD128+BH128+BL128+BP128+BT128+BX128+CB128+CF128)))</f>
        <v/>
      </c>
      <c r="CK128" s="152">
        <f>CH128-CI128-CJ128</f>
        <v/>
      </c>
      <c r="CL128" s="152">
        <f>'Debt Payoff'!$C$8-SUM(AY128,BC128,BG128,BK128,BO128,BS128,BW128,CA128,CE128,CI128)</f>
        <v/>
      </c>
      <c r="CM128" s="152">
        <f>SUM(AY128,BC128,BG128,BK128,BO128,BS128,BW128,CA128,CE128,CI128)+SUM(AZ128,BD128,BH128,BL128,BP128,BT128,BX128,CB128,CF128,CJ128)</f>
        <v/>
      </c>
      <c r="CN128" s="152">
        <f>SUM(BA128,BE128,BI128,BM128,BQ128,BU128,BY128,CC128,CG128,CK128)</f>
        <v/>
      </c>
      <c r="CO128" s="152">
        <f>IF(AW128&gt;CN$6,NA(),AW128)</f>
        <v/>
      </c>
      <c r="CP128" s="152">
        <f>IF(AW128&gt;CN$6,NA(),CN128)</f>
        <v/>
      </c>
    </row>
    <row r="129">
      <c r="B129" s="152" t="n">
        <v>118</v>
      </c>
      <c r="C129" s="152">
        <f>IF(F128&lt;=0.005,0,F128*(1+C$6))</f>
        <v/>
      </c>
      <c r="D129" s="152">
        <f>MIN(C129,C$7)</f>
        <v/>
      </c>
      <c r="E129" s="152">
        <f>MAX(0,MIN(C129-D129,AQ129))</f>
        <v/>
      </c>
      <c r="F129" s="152">
        <f>C129-D129-E129</f>
        <v/>
      </c>
      <c r="G129" s="152">
        <f>IF(J128&lt;=0.005,0,J128*(1+G$6))</f>
        <v/>
      </c>
      <c r="H129" s="152">
        <f>MIN(G129,G$7)</f>
        <v/>
      </c>
      <c r="I129" s="152">
        <f>MAX(0,MIN(G129-H129,AQ129-(E129)))</f>
        <v/>
      </c>
      <c r="J129" s="152">
        <f>G129-H129-I129</f>
        <v/>
      </c>
      <c r="K129" s="152">
        <f>IF(N128&lt;=0.005,0,N128*(1+K$6))</f>
        <v/>
      </c>
      <c r="L129" s="152">
        <f>MIN(K129,K$7)</f>
        <v/>
      </c>
      <c r="M129" s="152">
        <f>MAX(0,MIN(K129-L129,AQ129-(E129+I129)))</f>
        <v/>
      </c>
      <c r="N129" s="152">
        <f>K129-L129-M129</f>
        <v/>
      </c>
      <c r="O129" s="152">
        <f>IF(R128&lt;=0.005,0,R128*(1+O$6))</f>
        <v/>
      </c>
      <c r="P129" s="152">
        <f>MIN(O129,O$7)</f>
        <v/>
      </c>
      <c r="Q129" s="152">
        <f>MAX(0,MIN(O129-P129,AQ129-(E129+I129+M129)))</f>
        <v/>
      </c>
      <c r="R129" s="152">
        <f>O129-P129-Q129</f>
        <v/>
      </c>
      <c r="S129" s="152">
        <f>IF(V128&lt;=0.005,0,V128*(1+S$6))</f>
        <v/>
      </c>
      <c r="T129" s="152">
        <f>MIN(S129,S$7)</f>
        <v/>
      </c>
      <c r="U129" s="152">
        <f>MAX(0,MIN(S129-T129,AQ129-(E129+I129+M129+Q129)))</f>
        <v/>
      </c>
      <c r="V129" s="152">
        <f>S129-T129-U129</f>
        <v/>
      </c>
      <c r="W129" s="152">
        <f>IF(Z128&lt;=0.005,0,Z128*(1+W$6))</f>
        <v/>
      </c>
      <c r="X129" s="152">
        <f>MIN(W129,W$7)</f>
        <v/>
      </c>
      <c r="Y129" s="152">
        <f>MAX(0,MIN(W129-X129,AQ129-(E129+I129+M129+Q129+U129)))</f>
        <v/>
      </c>
      <c r="Z129" s="152">
        <f>W129-X129-Y129</f>
        <v/>
      </c>
      <c r="AA129" s="152">
        <f>IF(AD128&lt;=0.005,0,AD128*(1+AA$6))</f>
        <v/>
      </c>
      <c r="AB129" s="152">
        <f>MIN(AA129,AA$7)</f>
        <v/>
      </c>
      <c r="AC129" s="152">
        <f>MAX(0,MIN(AA129-AB129,AQ129-(E129+I129+M129+Q129+U129+Y129)))</f>
        <v/>
      </c>
      <c r="AD129" s="152">
        <f>AA129-AB129-AC129</f>
        <v/>
      </c>
      <c r="AE129" s="152">
        <f>IF(AH128&lt;=0.005,0,AH128*(1+AE$6))</f>
        <v/>
      </c>
      <c r="AF129" s="152">
        <f>MIN(AE129,AE$7)</f>
        <v/>
      </c>
      <c r="AG129" s="152">
        <f>MAX(0,MIN(AE129-AF129,AQ129-(E129+I129+M129+Q129+U129+Y129+AC129)))</f>
        <v/>
      </c>
      <c r="AH129" s="152">
        <f>AE129-AF129-AG129</f>
        <v/>
      </c>
      <c r="AI129" s="152">
        <f>IF(AL128&lt;=0.005,0,AL128*(1+AI$6))</f>
        <v/>
      </c>
      <c r="AJ129" s="152">
        <f>MIN(AI129,AI$7)</f>
        <v/>
      </c>
      <c r="AK129" s="152">
        <f>MAX(0,MIN(AI129-AJ129,AQ129-(E129+I129+M129+Q129+U129+Y129+AC129+AG129)))</f>
        <v/>
      </c>
      <c r="AL129" s="152">
        <f>AI129-AJ129-AK129</f>
        <v/>
      </c>
      <c r="AM129" s="152">
        <f>IF(AP128&lt;=0.005,0,AP128*(1+AM$6))</f>
        <v/>
      </c>
      <c r="AN129" s="152">
        <f>MIN(AM129,AM$7)</f>
        <v/>
      </c>
      <c r="AO129" s="152">
        <f>MAX(0,MIN(AM129-AN129,AQ129-(E129+I129+M129+Q129+U129+Y129+AC129+AG129+AK129)))</f>
        <v/>
      </c>
      <c r="AP129" s="152">
        <f>AM129-AN129-AO129</f>
        <v/>
      </c>
      <c r="AQ129" s="152">
        <f>'Debt Payoff'!$C$8-SUM(D129,H129,L129,P129,T129,X129,AB129,AF129,AJ129,AN129)</f>
        <v/>
      </c>
      <c r="AR129" s="152">
        <f>SUM(D129,H129,L129,P129,T129,X129,AB129,AF129,AJ129,AN129)+SUM(E129,I129,M129,Q129,U129,Y129,AC129,AG129,AK129,AO129)</f>
        <v/>
      </c>
      <c r="AS129" s="152">
        <f>SUM(F129,J129,N129,R129,V129,Z129,AD129,AH129,AL129,AP129)</f>
        <v/>
      </c>
      <c r="AT129" s="152">
        <f>IF(B129&gt;AS$6,NA(),B129)</f>
        <v/>
      </c>
      <c r="AU129" s="152">
        <f>IF(B129&gt;AS$6,NA(),AS129)</f>
        <v/>
      </c>
      <c r="AV129" s="152" t="n"/>
      <c r="AW129" s="152" t="n">
        <v>118</v>
      </c>
      <c r="AX129" s="152">
        <f>IF(BA128&lt;=0.005,0,BA128*(1+AX$6))</f>
        <v/>
      </c>
      <c r="AY129" s="152">
        <f>MIN(AX129,AX$7)</f>
        <v/>
      </c>
      <c r="AZ129" s="152">
        <f>MAX(0,MIN(AX129-AY129,CL129))</f>
        <v/>
      </c>
      <c r="BA129" s="152">
        <f>AX129-AY129-AZ129</f>
        <v/>
      </c>
      <c r="BB129" s="152">
        <f>IF(BE128&lt;=0.005,0,BE128*(1+BB$6))</f>
        <v/>
      </c>
      <c r="BC129" s="152">
        <f>MIN(BB129,BB$7)</f>
        <v/>
      </c>
      <c r="BD129" s="152">
        <f>MAX(0,MIN(BB129-BC129,CL129-(AZ129)))</f>
        <v/>
      </c>
      <c r="BE129" s="152">
        <f>BB129-BC129-BD129</f>
        <v/>
      </c>
      <c r="BF129" s="152">
        <f>IF(BI128&lt;=0.005,0,BI128*(1+BF$6))</f>
        <v/>
      </c>
      <c r="BG129" s="152">
        <f>MIN(BF129,BF$7)</f>
        <v/>
      </c>
      <c r="BH129" s="152">
        <f>MAX(0,MIN(BF129-BG129,CL129-(AZ129+BD129)))</f>
        <v/>
      </c>
      <c r="BI129" s="152">
        <f>BF129-BG129-BH129</f>
        <v/>
      </c>
      <c r="BJ129" s="152">
        <f>IF(BM128&lt;=0.005,0,BM128*(1+BJ$6))</f>
        <v/>
      </c>
      <c r="BK129" s="152">
        <f>MIN(BJ129,BJ$7)</f>
        <v/>
      </c>
      <c r="BL129" s="152">
        <f>MAX(0,MIN(BJ129-BK129,CL129-(AZ129+BD129+BH129)))</f>
        <v/>
      </c>
      <c r="BM129" s="152">
        <f>BJ129-BK129-BL129</f>
        <v/>
      </c>
      <c r="BN129" s="152">
        <f>IF(BQ128&lt;=0.005,0,BQ128*(1+BN$6))</f>
        <v/>
      </c>
      <c r="BO129" s="152">
        <f>MIN(BN129,BN$7)</f>
        <v/>
      </c>
      <c r="BP129" s="152">
        <f>MAX(0,MIN(BN129-BO129,CL129-(AZ129+BD129+BH129+BL129)))</f>
        <v/>
      </c>
      <c r="BQ129" s="152">
        <f>BN129-BO129-BP129</f>
        <v/>
      </c>
      <c r="BR129" s="152">
        <f>IF(BU128&lt;=0.005,0,BU128*(1+BR$6))</f>
        <v/>
      </c>
      <c r="BS129" s="152">
        <f>MIN(BR129,BR$7)</f>
        <v/>
      </c>
      <c r="BT129" s="152">
        <f>MAX(0,MIN(BR129-BS129,CL129-(AZ129+BD129+BH129+BL129+BP129)))</f>
        <v/>
      </c>
      <c r="BU129" s="152">
        <f>BR129-BS129-BT129</f>
        <v/>
      </c>
      <c r="BV129" s="152">
        <f>IF(BY128&lt;=0.005,0,BY128*(1+BV$6))</f>
        <v/>
      </c>
      <c r="BW129" s="152">
        <f>MIN(BV129,BV$7)</f>
        <v/>
      </c>
      <c r="BX129" s="152">
        <f>MAX(0,MIN(BV129-BW129,CL129-(AZ129+BD129+BH129+BL129+BP129+BT129)))</f>
        <v/>
      </c>
      <c r="BY129" s="152">
        <f>BV129-BW129-BX129</f>
        <v/>
      </c>
      <c r="BZ129" s="152">
        <f>IF(CC128&lt;=0.005,0,CC128*(1+BZ$6))</f>
        <v/>
      </c>
      <c r="CA129" s="152">
        <f>MIN(BZ129,BZ$7)</f>
        <v/>
      </c>
      <c r="CB129" s="152">
        <f>MAX(0,MIN(BZ129-CA129,CL129-(AZ129+BD129+BH129+BL129+BP129+BT129+BX129)))</f>
        <v/>
      </c>
      <c r="CC129" s="152">
        <f>BZ129-CA129-CB129</f>
        <v/>
      </c>
      <c r="CD129" s="152">
        <f>IF(CG128&lt;=0.005,0,CG128*(1+CD$6))</f>
        <v/>
      </c>
      <c r="CE129" s="152">
        <f>MIN(CD129,CD$7)</f>
        <v/>
      </c>
      <c r="CF129" s="152">
        <f>MAX(0,MIN(CD129-CE129,CL129-(AZ129+BD129+BH129+BL129+BP129+BT129+BX129+CB129)))</f>
        <v/>
      </c>
      <c r="CG129" s="152">
        <f>CD129-CE129-CF129</f>
        <v/>
      </c>
      <c r="CH129" s="152">
        <f>IF(CK128&lt;=0.005,0,CK128*(1+CH$6))</f>
        <v/>
      </c>
      <c r="CI129" s="152">
        <f>MIN(CH129,CH$7)</f>
        <v/>
      </c>
      <c r="CJ129" s="152">
        <f>MAX(0,MIN(CH129-CI129,CL129-(AZ129+BD129+BH129+BL129+BP129+BT129+BX129+CB129+CF129)))</f>
        <v/>
      </c>
      <c r="CK129" s="152">
        <f>CH129-CI129-CJ129</f>
        <v/>
      </c>
      <c r="CL129" s="152">
        <f>'Debt Payoff'!$C$8-SUM(AY129,BC129,BG129,BK129,BO129,BS129,BW129,CA129,CE129,CI129)</f>
        <v/>
      </c>
      <c r="CM129" s="152">
        <f>SUM(AY129,BC129,BG129,BK129,BO129,BS129,BW129,CA129,CE129,CI129)+SUM(AZ129,BD129,BH129,BL129,BP129,BT129,BX129,CB129,CF129,CJ129)</f>
        <v/>
      </c>
      <c r="CN129" s="152">
        <f>SUM(BA129,BE129,BI129,BM129,BQ129,BU129,BY129,CC129,CG129,CK129)</f>
        <v/>
      </c>
      <c r="CO129" s="152">
        <f>IF(AW129&gt;CN$6,NA(),AW129)</f>
        <v/>
      </c>
      <c r="CP129" s="152">
        <f>IF(AW129&gt;CN$6,NA(),CN129)</f>
        <v/>
      </c>
    </row>
    <row r="130">
      <c r="B130" s="152" t="n">
        <v>119</v>
      </c>
      <c r="C130" s="152">
        <f>IF(F129&lt;=0.005,0,F129*(1+C$6))</f>
        <v/>
      </c>
      <c r="D130" s="152">
        <f>MIN(C130,C$7)</f>
        <v/>
      </c>
      <c r="E130" s="152">
        <f>MAX(0,MIN(C130-D130,AQ130))</f>
        <v/>
      </c>
      <c r="F130" s="152">
        <f>C130-D130-E130</f>
        <v/>
      </c>
      <c r="G130" s="152">
        <f>IF(J129&lt;=0.005,0,J129*(1+G$6))</f>
        <v/>
      </c>
      <c r="H130" s="152">
        <f>MIN(G130,G$7)</f>
        <v/>
      </c>
      <c r="I130" s="152">
        <f>MAX(0,MIN(G130-H130,AQ130-(E130)))</f>
        <v/>
      </c>
      <c r="J130" s="152">
        <f>G130-H130-I130</f>
        <v/>
      </c>
      <c r="K130" s="152">
        <f>IF(N129&lt;=0.005,0,N129*(1+K$6))</f>
        <v/>
      </c>
      <c r="L130" s="152">
        <f>MIN(K130,K$7)</f>
        <v/>
      </c>
      <c r="M130" s="152">
        <f>MAX(0,MIN(K130-L130,AQ130-(E130+I130)))</f>
        <v/>
      </c>
      <c r="N130" s="152">
        <f>K130-L130-M130</f>
        <v/>
      </c>
      <c r="O130" s="152">
        <f>IF(R129&lt;=0.005,0,R129*(1+O$6))</f>
        <v/>
      </c>
      <c r="P130" s="152">
        <f>MIN(O130,O$7)</f>
        <v/>
      </c>
      <c r="Q130" s="152">
        <f>MAX(0,MIN(O130-P130,AQ130-(E130+I130+M130)))</f>
        <v/>
      </c>
      <c r="R130" s="152">
        <f>O130-P130-Q130</f>
        <v/>
      </c>
      <c r="S130" s="152">
        <f>IF(V129&lt;=0.005,0,V129*(1+S$6))</f>
        <v/>
      </c>
      <c r="T130" s="152">
        <f>MIN(S130,S$7)</f>
        <v/>
      </c>
      <c r="U130" s="152">
        <f>MAX(0,MIN(S130-T130,AQ130-(E130+I130+M130+Q130)))</f>
        <v/>
      </c>
      <c r="V130" s="152">
        <f>S130-T130-U130</f>
        <v/>
      </c>
      <c r="W130" s="152">
        <f>IF(Z129&lt;=0.005,0,Z129*(1+W$6))</f>
        <v/>
      </c>
      <c r="X130" s="152">
        <f>MIN(W130,W$7)</f>
        <v/>
      </c>
      <c r="Y130" s="152">
        <f>MAX(0,MIN(W130-X130,AQ130-(E130+I130+M130+Q130+U130)))</f>
        <v/>
      </c>
      <c r="Z130" s="152">
        <f>W130-X130-Y130</f>
        <v/>
      </c>
      <c r="AA130" s="152">
        <f>IF(AD129&lt;=0.005,0,AD129*(1+AA$6))</f>
        <v/>
      </c>
      <c r="AB130" s="152">
        <f>MIN(AA130,AA$7)</f>
        <v/>
      </c>
      <c r="AC130" s="152">
        <f>MAX(0,MIN(AA130-AB130,AQ130-(E130+I130+M130+Q130+U130+Y130)))</f>
        <v/>
      </c>
      <c r="AD130" s="152">
        <f>AA130-AB130-AC130</f>
        <v/>
      </c>
      <c r="AE130" s="152">
        <f>IF(AH129&lt;=0.005,0,AH129*(1+AE$6))</f>
        <v/>
      </c>
      <c r="AF130" s="152">
        <f>MIN(AE130,AE$7)</f>
        <v/>
      </c>
      <c r="AG130" s="152">
        <f>MAX(0,MIN(AE130-AF130,AQ130-(E130+I130+M130+Q130+U130+Y130+AC130)))</f>
        <v/>
      </c>
      <c r="AH130" s="152">
        <f>AE130-AF130-AG130</f>
        <v/>
      </c>
      <c r="AI130" s="152">
        <f>IF(AL129&lt;=0.005,0,AL129*(1+AI$6))</f>
        <v/>
      </c>
      <c r="AJ130" s="152">
        <f>MIN(AI130,AI$7)</f>
        <v/>
      </c>
      <c r="AK130" s="152">
        <f>MAX(0,MIN(AI130-AJ130,AQ130-(E130+I130+M130+Q130+U130+Y130+AC130+AG130)))</f>
        <v/>
      </c>
      <c r="AL130" s="152">
        <f>AI130-AJ130-AK130</f>
        <v/>
      </c>
      <c r="AM130" s="152">
        <f>IF(AP129&lt;=0.005,0,AP129*(1+AM$6))</f>
        <v/>
      </c>
      <c r="AN130" s="152">
        <f>MIN(AM130,AM$7)</f>
        <v/>
      </c>
      <c r="AO130" s="152">
        <f>MAX(0,MIN(AM130-AN130,AQ130-(E130+I130+M130+Q130+U130+Y130+AC130+AG130+AK130)))</f>
        <v/>
      </c>
      <c r="AP130" s="152">
        <f>AM130-AN130-AO130</f>
        <v/>
      </c>
      <c r="AQ130" s="152">
        <f>'Debt Payoff'!$C$8-SUM(D130,H130,L130,P130,T130,X130,AB130,AF130,AJ130,AN130)</f>
        <v/>
      </c>
      <c r="AR130" s="152">
        <f>SUM(D130,H130,L130,P130,T130,X130,AB130,AF130,AJ130,AN130)+SUM(E130,I130,M130,Q130,U130,Y130,AC130,AG130,AK130,AO130)</f>
        <v/>
      </c>
      <c r="AS130" s="152">
        <f>SUM(F130,J130,N130,R130,V130,Z130,AD130,AH130,AL130,AP130)</f>
        <v/>
      </c>
      <c r="AT130" s="152">
        <f>IF(B130&gt;AS$6,NA(),B130)</f>
        <v/>
      </c>
      <c r="AU130" s="152">
        <f>IF(B130&gt;AS$6,NA(),AS130)</f>
        <v/>
      </c>
      <c r="AV130" s="152" t="n"/>
      <c r="AW130" s="152" t="n">
        <v>119</v>
      </c>
      <c r="AX130" s="152">
        <f>IF(BA129&lt;=0.005,0,BA129*(1+AX$6))</f>
        <v/>
      </c>
      <c r="AY130" s="152">
        <f>MIN(AX130,AX$7)</f>
        <v/>
      </c>
      <c r="AZ130" s="152">
        <f>MAX(0,MIN(AX130-AY130,CL130))</f>
        <v/>
      </c>
      <c r="BA130" s="152">
        <f>AX130-AY130-AZ130</f>
        <v/>
      </c>
      <c r="BB130" s="152">
        <f>IF(BE129&lt;=0.005,0,BE129*(1+BB$6))</f>
        <v/>
      </c>
      <c r="BC130" s="152">
        <f>MIN(BB130,BB$7)</f>
        <v/>
      </c>
      <c r="BD130" s="152">
        <f>MAX(0,MIN(BB130-BC130,CL130-(AZ130)))</f>
        <v/>
      </c>
      <c r="BE130" s="152">
        <f>BB130-BC130-BD130</f>
        <v/>
      </c>
      <c r="BF130" s="152">
        <f>IF(BI129&lt;=0.005,0,BI129*(1+BF$6))</f>
        <v/>
      </c>
      <c r="BG130" s="152">
        <f>MIN(BF130,BF$7)</f>
        <v/>
      </c>
      <c r="BH130" s="152">
        <f>MAX(0,MIN(BF130-BG130,CL130-(AZ130+BD130)))</f>
        <v/>
      </c>
      <c r="BI130" s="152">
        <f>BF130-BG130-BH130</f>
        <v/>
      </c>
      <c r="BJ130" s="152">
        <f>IF(BM129&lt;=0.005,0,BM129*(1+BJ$6))</f>
        <v/>
      </c>
      <c r="BK130" s="152">
        <f>MIN(BJ130,BJ$7)</f>
        <v/>
      </c>
      <c r="BL130" s="152">
        <f>MAX(0,MIN(BJ130-BK130,CL130-(AZ130+BD130+BH130)))</f>
        <v/>
      </c>
      <c r="BM130" s="152">
        <f>BJ130-BK130-BL130</f>
        <v/>
      </c>
      <c r="BN130" s="152">
        <f>IF(BQ129&lt;=0.005,0,BQ129*(1+BN$6))</f>
        <v/>
      </c>
      <c r="BO130" s="152">
        <f>MIN(BN130,BN$7)</f>
        <v/>
      </c>
      <c r="BP130" s="152">
        <f>MAX(0,MIN(BN130-BO130,CL130-(AZ130+BD130+BH130+BL130)))</f>
        <v/>
      </c>
      <c r="BQ130" s="152">
        <f>BN130-BO130-BP130</f>
        <v/>
      </c>
      <c r="BR130" s="152">
        <f>IF(BU129&lt;=0.005,0,BU129*(1+BR$6))</f>
        <v/>
      </c>
      <c r="BS130" s="152">
        <f>MIN(BR130,BR$7)</f>
        <v/>
      </c>
      <c r="BT130" s="152">
        <f>MAX(0,MIN(BR130-BS130,CL130-(AZ130+BD130+BH130+BL130+BP130)))</f>
        <v/>
      </c>
      <c r="BU130" s="152">
        <f>BR130-BS130-BT130</f>
        <v/>
      </c>
      <c r="BV130" s="152">
        <f>IF(BY129&lt;=0.005,0,BY129*(1+BV$6))</f>
        <v/>
      </c>
      <c r="BW130" s="152">
        <f>MIN(BV130,BV$7)</f>
        <v/>
      </c>
      <c r="BX130" s="152">
        <f>MAX(0,MIN(BV130-BW130,CL130-(AZ130+BD130+BH130+BL130+BP130+BT130)))</f>
        <v/>
      </c>
      <c r="BY130" s="152">
        <f>BV130-BW130-BX130</f>
        <v/>
      </c>
      <c r="BZ130" s="152">
        <f>IF(CC129&lt;=0.005,0,CC129*(1+BZ$6))</f>
        <v/>
      </c>
      <c r="CA130" s="152">
        <f>MIN(BZ130,BZ$7)</f>
        <v/>
      </c>
      <c r="CB130" s="152">
        <f>MAX(0,MIN(BZ130-CA130,CL130-(AZ130+BD130+BH130+BL130+BP130+BT130+BX130)))</f>
        <v/>
      </c>
      <c r="CC130" s="152">
        <f>BZ130-CA130-CB130</f>
        <v/>
      </c>
      <c r="CD130" s="152">
        <f>IF(CG129&lt;=0.005,0,CG129*(1+CD$6))</f>
        <v/>
      </c>
      <c r="CE130" s="152">
        <f>MIN(CD130,CD$7)</f>
        <v/>
      </c>
      <c r="CF130" s="152">
        <f>MAX(0,MIN(CD130-CE130,CL130-(AZ130+BD130+BH130+BL130+BP130+BT130+BX130+CB130)))</f>
        <v/>
      </c>
      <c r="CG130" s="152">
        <f>CD130-CE130-CF130</f>
        <v/>
      </c>
      <c r="CH130" s="152">
        <f>IF(CK129&lt;=0.005,0,CK129*(1+CH$6))</f>
        <v/>
      </c>
      <c r="CI130" s="152">
        <f>MIN(CH130,CH$7)</f>
        <v/>
      </c>
      <c r="CJ130" s="152">
        <f>MAX(0,MIN(CH130-CI130,CL130-(AZ130+BD130+BH130+BL130+BP130+BT130+BX130+CB130+CF130)))</f>
        <v/>
      </c>
      <c r="CK130" s="152">
        <f>CH130-CI130-CJ130</f>
        <v/>
      </c>
      <c r="CL130" s="152">
        <f>'Debt Payoff'!$C$8-SUM(AY130,BC130,BG130,BK130,BO130,BS130,BW130,CA130,CE130,CI130)</f>
        <v/>
      </c>
      <c r="CM130" s="152">
        <f>SUM(AY130,BC130,BG130,BK130,BO130,BS130,BW130,CA130,CE130,CI130)+SUM(AZ130,BD130,BH130,BL130,BP130,BT130,BX130,CB130,CF130,CJ130)</f>
        <v/>
      </c>
      <c r="CN130" s="152">
        <f>SUM(BA130,BE130,BI130,BM130,BQ130,BU130,BY130,CC130,CG130,CK130)</f>
        <v/>
      </c>
      <c r="CO130" s="152">
        <f>IF(AW130&gt;CN$6,NA(),AW130)</f>
        <v/>
      </c>
      <c r="CP130" s="152">
        <f>IF(AW130&gt;CN$6,NA(),CN130)</f>
        <v/>
      </c>
    </row>
    <row r="131">
      <c r="B131" s="152" t="n">
        <v>120</v>
      </c>
      <c r="C131" s="152">
        <f>IF(F130&lt;=0.005,0,F130*(1+C$6))</f>
        <v/>
      </c>
      <c r="D131" s="152">
        <f>MIN(C131,C$7)</f>
        <v/>
      </c>
      <c r="E131" s="152">
        <f>MAX(0,MIN(C131-D131,AQ131))</f>
        <v/>
      </c>
      <c r="F131" s="152">
        <f>C131-D131-E131</f>
        <v/>
      </c>
      <c r="G131" s="152">
        <f>IF(J130&lt;=0.005,0,J130*(1+G$6))</f>
        <v/>
      </c>
      <c r="H131" s="152">
        <f>MIN(G131,G$7)</f>
        <v/>
      </c>
      <c r="I131" s="152">
        <f>MAX(0,MIN(G131-H131,AQ131-(E131)))</f>
        <v/>
      </c>
      <c r="J131" s="152">
        <f>G131-H131-I131</f>
        <v/>
      </c>
      <c r="K131" s="152">
        <f>IF(N130&lt;=0.005,0,N130*(1+K$6))</f>
        <v/>
      </c>
      <c r="L131" s="152">
        <f>MIN(K131,K$7)</f>
        <v/>
      </c>
      <c r="M131" s="152">
        <f>MAX(0,MIN(K131-L131,AQ131-(E131+I131)))</f>
        <v/>
      </c>
      <c r="N131" s="152">
        <f>K131-L131-M131</f>
        <v/>
      </c>
      <c r="O131" s="152">
        <f>IF(R130&lt;=0.005,0,R130*(1+O$6))</f>
        <v/>
      </c>
      <c r="P131" s="152">
        <f>MIN(O131,O$7)</f>
        <v/>
      </c>
      <c r="Q131" s="152">
        <f>MAX(0,MIN(O131-P131,AQ131-(E131+I131+M131)))</f>
        <v/>
      </c>
      <c r="R131" s="152">
        <f>O131-P131-Q131</f>
        <v/>
      </c>
      <c r="S131" s="152">
        <f>IF(V130&lt;=0.005,0,V130*(1+S$6))</f>
        <v/>
      </c>
      <c r="T131" s="152">
        <f>MIN(S131,S$7)</f>
        <v/>
      </c>
      <c r="U131" s="152">
        <f>MAX(0,MIN(S131-T131,AQ131-(E131+I131+M131+Q131)))</f>
        <v/>
      </c>
      <c r="V131" s="152">
        <f>S131-T131-U131</f>
        <v/>
      </c>
      <c r="W131" s="152">
        <f>IF(Z130&lt;=0.005,0,Z130*(1+W$6))</f>
        <v/>
      </c>
      <c r="X131" s="152">
        <f>MIN(W131,W$7)</f>
        <v/>
      </c>
      <c r="Y131" s="152">
        <f>MAX(0,MIN(W131-X131,AQ131-(E131+I131+M131+Q131+U131)))</f>
        <v/>
      </c>
      <c r="Z131" s="152">
        <f>W131-X131-Y131</f>
        <v/>
      </c>
      <c r="AA131" s="152">
        <f>IF(AD130&lt;=0.005,0,AD130*(1+AA$6))</f>
        <v/>
      </c>
      <c r="AB131" s="152">
        <f>MIN(AA131,AA$7)</f>
        <v/>
      </c>
      <c r="AC131" s="152">
        <f>MAX(0,MIN(AA131-AB131,AQ131-(E131+I131+M131+Q131+U131+Y131)))</f>
        <v/>
      </c>
      <c r="AD131" s="152">
        <f>AA131-AB131-AC131</f>
        <v/>
      </c>
      <c r="AE131" s="152">
        <f>IF(AH130&lt;=0.005,0,AH130*(1+AE$6))</f>
        <v/>
      </c>
      <c r="AF131" s="152">
        <f>MIN(AE131,AE$7)</f>
        <v/>
      </c>
      <c r="AG131" s="152">
        <f>MAX(0,MIN(AE131-AF131,AQ131-(E131+I131+M131+Q131+U131+Y131+AC131)))</f>
        <v/>
      </c>
      <c r="AH131" s="152">
        <f>AE131-AF131-AG131</f>
        <v/>
      </c>
      <c r="AI131" s="152">
        <f>IF(AL130&lt;=0.005,0,AL130*(1+AI$6))</f>
        <v/>
      </c>
      <c r="AJ131" s="152">
        <f>MIN(AI131,AI$7)</f>
        <v/>
      </c>
      <c r="AK131" s="152">
        <f>MAX(0,MIN(AI131-AJ131,AQ131-(E131+I131+M131+Q131+U131+Y131+AC131+AG131)))</f>
        <v/>
      </c>
      <c r="AL131" s="152">
        <f>AI131-AJ131-AK131</f>
        <v/>
      </c>
      <c r="AM131" s="152">
        <f>IF(AP130&lt;=0.005,0,AP130*(1+AM$6))</f>
        <v/>
      </c>
      <c r="AN131" s="152">
        <f>MIN(AM131,AM$7)</f>
        <v/>
      </c>
      <c r="AO131" s="152">
        <f>MAX(0,MIN(AM131-AN131,AQ131-(E131+I131+M131+Q131+U131+Y131+AC131+AG131+AK131)))</f>
        <v/>
      </c>
      <c r="AP131" s="152">
        <f>AM131-AN131-AO131</f>
        <v/>
      </c>
      <c r="AQ131" s="152">
        <f>'Debt Payoff'!$C$8-SUM(D131,H131,L131,P131,T131,X131,AB131,AF131,AJ131,AN131)</f>
        <v/>
      </c>
      <c r="AR131" s="152">
        <f>SUM(D131,H131,L131,P131,T131,X131,AB131,AF131,AJ131,AN131)+SUM(E131,I131,M131,Q131,U131,Y131,AC131,AG131,AK131,AO131)</f>
        <v/>
      </c>
      <c r="AS131" s="152">
        <f>SUM(F131,J131,N131,R131,V131,Z131,AD131,AH131,AL131,AP131)</f>
        <v/>
      </c>
      <c r="AT131" s="152">
        <f>IF(B131&gt;AS$6,NA(),B131)</f>
        <v/>
      </c>
      <c r="AU131" s="152">
        <f>IF(B131&gt;AS$6,NA(),AS131)</f>
        <v/>
      </c>
      <c r="AV131" s="152" t="n"/>
      <c r="AW131" s="152" t="n">
        <v>120</v>
      </c>
      <c r="AX131" s="152">
        <f>IF(BA130&lt;=0.005,0,BA130*(1+AX$6))</f>
        <v/>
      </c>
      <c r="AY131" s="152">
        <f>MIN(AX131,AX$7)</f>
        <v/>
      </c>
      <c r="AZ131" s="152">
        <f>MAX(0,MIN(AX131-AY131,CL131))</f>
        <v/>
      </c>
      <c r="BA131" s="152">
        <f>AX131-AY131-AZ131</f>
        <v/>
      </c>
      <c r="BB131" s="152">
        <f>IF(BE130&lt;=0.005,0,BE130*(1+BB$6))</f>
        <v/>
      </c>
      <c r="BC131" s="152">
        <f>MIN(BB131,BB$7)</f>
        <v/>
      </c>
      <c r="BD131" s="152">
        <f>MAX(0,MIN(BB131-BC131,CL131-(AZ131)))</f>
        <v/>
      </c>
      <c r="BE131" s="152">
        <f>BB131-BC131-BD131</f>
        <v/>
      </c>
      <c r="BF131" s="152">
        <f>IF(BI130&lt;=0.005,0,BI130*(1+BF$6))</f>
        <v/>
      </c>
      <c r="BG131" s="152">
        <f>MIN(BF131,BF$7)</f>
        <v/>
      </c>
      <c r="BH131" s="152">
        <f>MAX(0,MIN(BF131-BG131,CL131-(AZ131+BD131)))</f>
        <v/>
      </c>
      <c r="BI131" s="152">
        <f>BF131-BG131-BH131</f>
        <v/>
      </c>
      <c r="BJ131" s="152">
        <f>IF(BM130&lt;=0.005,0,BM130*(1+BJ$6))</f>
        <v/>
      </c>
      <c r="BK131" s="152">
        <f>MIN(BJ131,BJ$7)</f>
        <v/>
      </c>
      <c r="BL131" s="152">
        <f>MAX(0,MIN(BJ131-BK131,CL131-(AZ131+BD131+BH131)))</f>
        <v/>
      </c>
      <c r="BM131" s="152">
        <f>BJ131-BK131-BL131</f>
        <v/>
      </c>
      <c r="BN131" s="152">
        <f>IF(BQ130&lt;=0.005,0,BQ130*(1+BN$6))</f>
        <v/>
      </c>
      <c r="BO131" s="152">
        <f>MIN(BN131,BN$7)</f>
        <v/>
      </c>
      <c r="BP131" s="152">
        <f>MAX(0,MIN(BN131-BO131,CL131-(AZ131+BD131+BH131+BL131)))</f>
        <v/>
      </c>
      <c r="BQ131" s="152">
        <f>BN131-BO131-BP131</f>
        <v/>
      </c>
      <c r="BR131" s="152">
        <f>IF(BU130&lt;=0.005,0,BU130*(1+BR$6))</f>
        <v/>
      </c>
      <c r="BS131" s="152">
        <f>MIN(BR131,BR$7)</f>
        <v/>
      </c>
      <c r="BT131" s="152">
        <f>MAX(0,MIN(BR131-BS131,CL131-(AZ131+BD131+BH131+BL131+BP131)))</f>
        <v/>
      </c>
      <c r="BU131" s="152">
        <f>BR131-BS131-BT131</f>
        <v/>
      </c>
      <c r="BV131" s="152">
        <f>IF(BY130&lt;=0.005,0,BY130*(1+BV$6))</f>
        <v/>
      </c>
      <c r="BW131" s="152">
        <f>MIN(BV131,BV$7)</f>
        <v/>
      </c>
      <c r="BX131" s="152">
        <f>MAX(0,MIN(BV131-BW131,CL131-(AZ131+BD131+BH131+BL131+BP131+BT131)))</f>
        <v/>
      </c>
      <c r="BY131" s="152">
        <f>BV131-BW131-BX131</f>
        <v/>
      </c>
      <c r="BZ131" s="152">
        <f>IF(CC130&lt;=0.005,0,CC130*(1+BZ$6))</f>
        <v/>
      </c>
      <c r="CA131" s="152">
        <f>MIN(BZ131,BZ$7)</f>
        <v/>
      </c>
      <c r="CB131" s="152">
        <f>MAX(0,MIN(BZ131-CA131,CL131-(AZ131+BD131+BH131+BL131+BP131+BT131+BX131)))</f>
        <v/>
      </c>
      <c r="CC131" s="152">
        <f>BZ131-CA131-CB131</f>
        <v/>
      </c>
      <c r="CD131" s="152">
        <f>IF(CG130&lt;=0.005,0,CG130*(1+CD$6))</f>
        <v/>
      </c>
      <c r="CE131" s="152">
        <f>MIN(CD131,CD$7)</f>
        <v/>
      </c>
      <c r="CF131" s="152">
        <f>MAX(0,MIN(CD131-CE131,CL131-(AZ131+BD131+BH131+BL131+BP131+BT131+BX131+CB131)))</f>
        <v/>
      </c>
      <c r="CG131" s="152">
        <f>CD131-CE131-CF131</f>
        <v/>
      </c>
      <c r="CH131" s="152">
        <f>IF(CK130&lt;=0.005,0,CK130*(1+CH$6))</f>
        <v/>
      </c>
      <c r="CI131" s="152">
        <f>MIN(CH131,CH$7)</f>
        <v/>
      </c>
      <c r="CJ131" s="152">
        <f>MAX(0,MIN(CH131-CI131,CL131-(AZ131+BD131+BH131+BL131+BP131+BT131+BX131+CB131+CF131)))</f>
        <v/>
      </c>
      <c r="CK131" s="152">
        <f>CH131-CI131-CJ131</f>
        <v/>
      </c>
      <c r="CL131" s="152">
        <f>'Debt Payoff'!$C$8-SUM(AY131,BC131,BG131,BK131,BO131,BS131,BW131,CA131,CE131,CI131)</f>
        <v/>
      </c>
      <c r="CM131" s="152">
        <f>SUM(AY131,BC131,BG131,BK131,BO131,BS131,BW131,CA131,CE131,CI131)+SUM(AZ131,BD131,BH131,BL131,BP131,BT131,BX131,CB131,CF131,CJ131)</f>
        <v/>
      </c>
      <c r="CN131" s="152">
        <f>SUM(BA131,BE131,BI131,BM131,BQ131,BU131,BY131,CC131,CG131,CK131)</f>
        <v/>
      </c>
      <c r="CO131" s="152">
        <f>IF(AW131&gt;CN$6,NA(),AW131)</f>
        <v/>
      </c>
      <c r="CP131" s="152">
        <f>IF(AW131&gt;CN$6,NA(),CN131)</f>
        <v/>
      </c>
    </row>
    <row r="132">
      <c r="B132" s="152" t="n">
        <v>121</v>
      </c>
      <c r="C132" s="152">
        <f>IF(F131&lt;=0.005,0,F131*(1+C$6))</f>
        <v/>
      </c>
      <c r="D132" s="152">
        <f>MIN(C132,C$7)</f>
        <v/>
      </c>
      <c r="E132" s="152">
        <f>MAX(0,MIN(C132-D132,AQ132))</f>
        <v/>
      </c>
      <c r="F132" s="152">
        <f>C132-D132-E132</f>
        <v/>
      </c>
      <c r="G132" s="152">
        <f>IF(J131&lt;=0.005,0,J131*(1+G$6))</f>
        <v/>
      </c>
      <c r="H132" s="152">
        <f>MIN(G132,G$7)</f>
        <v/>
      </c>
      <c r="I132" s="152">
        <f>MAX(0,MIN(G132-H132,AQ132-(E132)))</f>
        <v/>
      </c>
      <c r="J132" s="152">
        <f>G132-H132-I132</f>
        <v/>
      </c>
      <c r="K132" s="152">
        <f>IF(N131&lt;=0.005,0,N131*(1+K$6))</f>
        <v/>
      </c>
      <c r="L132" s="152">
        <f>MIN(K132,K$7)</f>
        <v/>
      </c>
      <c r="M132" s="152">
        <f>MAX(0,MIN(K132-L132,AQ132-(E132+I132)))</f>
        <v/>
      </c>
      <c r="N132" s="152">
        <f>K132-L132-M132</f>
        <v/>
      </c>
      <c r="O132" s="152">
        <f>IF(R131&lt;=0.005,0,R131*(1+O$6))</f>
        <v/>
      </c>
      <c r="P132" s="152">
        <f>MIN(O132,O$7)</f>
        <v/>
      </c>
      <c r="Q132" s="152">
        <f>MAX(0,MIN(O132-P132,AQ132-(E132+I132+M132)))</f>
        <v/>
      </c>
      <c r="R132" s="152">
        <f>O132-P132-Q132</f>
        <v/>
      </c>
      <c r="S132" s="152">
        <f>IF(V131&lt;=0.005,0,V131*(1+S$6))</f>
        <v/>
      </c>
      <c r="T132" s="152">
        <f>MIN(S132,S$7)</f>
        <v/>
      </c>
      <c r="U132" s="152">
        <f>MAX(0,MIN(S132-T132,AQ132-(E132+I132+M132+Q132)))</f>
        <v/>
      </c>
      <c r="V132" s="152">
        <f>S132-T132-U132</f>
        <v/>
      </c>
      <c r="W132" s="152">
        <f>IF(Z131&lt;=0.005,0,Z131*(1+W$6))</f>
        <v/>
      </c>
      <c r="X132" s="152">
        <f>MIN(W132,W$7)</f>
        <v/>
      </c>
      <c r="Y132" s="152">
        <f>MAX(0,MIN(W132-X132,AQ132-(E132+I132+M132+Q132+U132)))</f>
        <v/>
      </c>
      <c r="Z132" s="152">
        <f>W132-X132-Y132</f>
        <v/>
      </c>
      <c r="AA132" s="152">
        <f>IF(AD131&lt;=0.005,0,AD131*(1+AA$6))</f>
        <v/>
      </c>
      <c r="AB132" s="152">
        <f>MIN(AA132,AA$7)</f>
        <v/>
      </c>
      <c r="AC132" s="152">
        <f>MAX(0,MIN(AA132-AB132,AQ132-(E132+I132+M132+Q132+U132+Y132)))</f>
        <v/>
      </c>
      <c r="AD132" s="152">
        <f>AA132-AB132-AC132</f>
        <v/>
      </c>
      <c r="AE132" s="152">
        <f>IF(AH131&lt;=0.005,0,AH131*(1+AE$6))</f>
        <v/>
      </c>
      <c r="AF132" s="152">
        <f>MIN(AE132,AE$7)</f>
        <v/>
      </c>
      <c r="AG132" s="152">
        <f>MAX(0,MIN(AE132-AF132,AQ132-(E132+I132+M132+Q132+U132+Y132+AC132)))</f>
        <v/>
      </c>
      <c r="AH132" s="152">
        <f>AE132-AF132-AG132</f>
        <v/>
      </c>
      <c r="AI132" s="152">
        <f>IF(AL131&lt;=0.005,0,AL131*(1+AI$6))</f>
        <v/>
      </c>
      <c r="AJ132" s="152">
        <f>MIN(AI132,AI$7)</f>
        <v/>
      </c>
      <c r="AK132" s="152">
        <f>MAX(0,MIN(AI132-AJ132,AQ132-(E132+I132+M132+Q132+U132+Y132+AC132+AG132)))</f>
        <v/>
      </c>
      <c r="AL132" s="152">
        <f>AI132-AJ132-AK132</f>
        <v/>
      </c>
      <c r="AM132" s="152">
        <f>IF(AP131&lt;=0.005,0,AP131*(1+AM$6))</f>
        <v/>
      </c>
      <c r="AN132" s="152">
        <f>MIN(AM132,AM$7)</f>
        <v/>
      </c>
      <c r="AO132" s="152">
        <f>MAX(0,MIN(AM132-AN132,AQ132-(E132+I132+M132+Q132+U132+Y132+AC132+AG132+AK132)))</f>
        <v/>
      </c>
      <c r="AP132" s="152">
        <f>AM132-AN132-AO132</f>
        <v/>
      </c>
      <c r="AQ132" s="152">
        <f>'Debt Payoff'!$C$8-SUM(D132,H132,L132,P132,T132,X132,AB132,AF132,AJ132,AN132)</f>
        <v/>
      </c>
      <c r="AR132" s="152">
        <f>SUM(D132,H132,L132,P132,T132,X132,AB132,AF132,AJ132,AN132)+SUM(E132,I132,M132,Q132,U132,Y132,AC132,AG132,AK132,AO132)</f>
        <v/>
      </c>
      <c r="AS132" s="152">
        <f>SUM(F132,J132,N132,R132,V132,Z132,AD132,AH132,AL132,AP132)</f>
        <v/>
      </c>
      <c r="AT132" s="152">
        <f>IF(B132&gt;AS$6,NA(),B132)</f>
        <v/>
      </c>
      <c r="AU132" s="152">
        <f>IF(B132&gt;AS$6,NA(),AS132)</f>
        <v/>
      </c>
      <c r="AV132" s="152" t="n"/>
      <c r="AW132" s="152" t="n">
        <v>121</v>
      </c>
      <c r="AX132" s="152">
        <f>IF(BA131&lt;=0.005,0,BA131*(1+AX$6))</f>
        <v/>
      </c>
      <c r="AY132" s="152">
        <f>MIN(AX132,AX$7)</f>
        <v/>
      </c>
      <c r="AZ132" s="152">
        <f>MAX(0,MIN(AX132-AY132,CL132))</f>
        <v/>
      </c>
      <c r="BA132" s="152">
        <f>AX132-AY132-AZ132</f>
        <v/>
      </c>
      <c r="BB132" s="152">
        <f>IF(BE131&lt;=0.005,0,BE131*(1+BB$6))</f>
        <v/>
      </c>
      <c r="BC132" s="152">
        <f>MIN(BB132,BB$7)</f>
        <v/>
      </c>
      <c r="BD132" s="152">
        <f>MAX(0,MIN(BB132-BC132,CL132-(AZ132)))</f>
        <v/>
      </c>
      <c r="BE132" s="152">
        <f>BB132-BC132-BD132</f>
        <v/>
      </c>
      <c r="BF132" s="152">
        <f>IF(BI131&lt;=0.005,0,BI131*(1+BF$6))</f>
        <v/>
      </c>
      <c r="BG132" s="152">
        <f>MIN(BF132,BF$7)</f>
        <v/>
      </c>
      <c r="BH132" s="152">
        <f>MAX(0,MIN(BF132-BG132,CL132-(AZ132+BD132)))</f>
        <v/>
      </c>
      <c r="BI132" s="152">
        <f>BF132-BG132-BH132</f>
        <v/>
      </c>
      <c r="BJ132" s="152">
        <f>IF(BM131&lt;=0.005,0,BM131*(1+BJ$6))</f>
        <v/>
      </c>
      <c r="BK132" s="152">
        <f>MIN(BJ132,BJ$7)</f>
        <v/>
      </c>
      <c r="BL132" s="152">
        <f>MAX(0,MIN(BJ132-BK132,CL132-(AZ132+BD132+BH132)))</f>
        <v/>
      </c>
      <c r="BM132" s="152">
        <f>BJ132-BK132-BL132</f>
        <v/>
      </c>
      <c r="BN132" s="152">
        <f>IF(BQ131&lt;=0.005,0,BQ131*(1+BN$6))</f>
        <v/>
      </c>
      <c r="BO132" s="152">
        <f>MIN(BN132,BN$7)</f>
        <v/>
      </c>
      <c r="BP132" s="152">
        <f>MAX(0,MIN(BN132-BO132,CL132-(AZ132+BD132+BH132+BL132)))</f>
        <v/>
      </c>
      <c r="BQ132" s="152">
        <f>BN132-BO132-BP132</f>
        <v/>
      </c>
      <c r="BR132" s="152">
        <f>IF(BU131&lt;=0.005,0,BU131*(1+BR$6))</f>
        <v/>
      </c>
      <c r="BS132" s="152">
        <f>MIN(BR132,BR$7)</f>
        <v/>
      </c>
      <c r="BT132" s="152">
        <f>MAX(0,MIN(BR132-BS132,CL132-(AZ132+BD132+BH132+BL132+BP132)))</f>
        <v/>
      </c>
      <c r="BU132" s="152">
        <f>BR132-BS132-BT132</f>
        <v/>
      </c>
      <c r="BV132" s="152">
        <f>IF(BY131&lt;=0.005,0,BY131*(1+BV$6))</f>
        <v/>
      </c>
      <c r="BW132" s="152">
        <f>MIN(BV132,BV$7)</f>
        <v/>
      </c>
      <c r="BX132" s="152">
        <f>MAX(0,MIN(BV132-BW132,CL132-(AZ132+BD132+BH132+BL132+BP132+BT132)))</f>
        <v/>
      </c>
      <c r="BY132" s="152">
        <f>BV132-BW132-BX132</f>
        <v/>
      </c>
      <c r="BZ132" s="152">
        <f>IF(CC131&lt;=0.005,0,CC131*(1+BZ$6))</f>
        <v/>
      </c>
      <c r="CA132" s="152">
        <f>MIN(BZ132,BZ$7)</f>
        <v/>
      </c>
      <c r="CB132" s="152">
        <f>MAX(0,MIN(BZ132-CA132,CL132-(AZ132+BD132+BH132+BL132+BP132+BT132+BX132)))</f>
        <v/>
      </c>
      <c r="CC132" s="152">
        <f>BZ132-CA132-CB132</f>
        <v/>
      </c>
      <c r="CD132" s="152">
        <f>IF(CG131&lt;=0.005,0,CG131*(1+CD$6))</f>
        <v/>
      </c>
      <c r="CE132" s="152">
        <f>MIN(CD132,CD$7)</f>
        <v/>
      </c>
      <c r="CF132" s="152">
        <f>MAX(0,MIN(CD132-CE132,CL132-(AZ132+BD132+BH132+BL132+BP132+BT132+BX132+CB132)))</f>
        <v/>
      </c>
      <c r="CG132" s="152">
        <f>CD132-CE132-CF132</f>
        <v/>
      </c>
      <c r="CH132" s="152">
        <f>IF(CK131&lt;=0.005,0,CK131*(1+CH$6))</f>
        <v/>
      </c>
      <c r="CI132" s="152">
        <f>MIN(CH132,CH$7)</f>
        <v/>
      </c>
      <c r="CJ132" s="152">
        <f>MAX(0,MIN(CH132-CI132,CL132-(AZ132+BD132+BH132+BL132+BP132+BT132+BX132+CB132+CF132)))</f>
        <v/>
      </c>
      <c r="CK132" s="152">
        <f>CH132-CI132-CJ132</f>
        <v/>
      </c>
      <c r="CL132" s="152">
        <f>'Debt Payoff'!$C$8-SUM(AY132,BC132,BG132,BK132,BO132,BS132,BW132,CA132,CE132,CI132)</f>
        <v/>
      </c>
      <c r="CM132" s="152">
        <f>SUM(AY132,BC132,BG132,BK132,BO132,BS132,BW132,CA132,CE132,CI132)+SUM(AZ132,BD132,BH132,BL132,BP132,BT132,BX132,CB132,CF132,CJ132)</f>
        <v/>
      </c>
      <c r="CN132" s="152">
        <f>SUM(BA132,BE132,BI132,BM132,BQ132,BU132,BY132,CC132,CG132,CK132)</f>
        <v/>
      </c>
      <c r="CO132" s="152">
        <f>IF(AW132&gt;CN$6,NA(),AW132)</f>
        <v/>
      </c>
      <c r="CP132" s="152">
        <f>IF(AW132&gt;CN$6,NA(),CN132)</f>
        <v/>
      </c>
    </row>
    <row r="133">
      <c r="B133" s="152" t="n">
        <v>122</v>
      </c>
      <c r="C133" s="152">
        <f>IF(F132&lt;=0.005,0,F132*(1+C$6))</f>
        <v/>
      </c>
      <c r="D133" s="152">
        <f>MIN(C133,C$7)</f>
        <v/>
      </c>
      <c r="E133" s="152">
        <f>MAX(0,MIN(C133-D133,AQ133))</f>
        <v/>
      </c>
      <c r="F133" s="152">
        <f>C133-D133-E133</f>
        <v/>
      </c>
      <c r="G133" s="152">
        <f>IF(J132&lt;=0.005,0,J132*(1+G$6))</f>
        <v/>
      </c>
      <c r="H133" s="152">
        <f>MIN(G133,G$7)</f>
        <v/>
      </c>
      <c r="I133" s="152">
        <f>MAX(0,MIN(G133-H133,AQ133-(E133)))</f>
        <v/>
      </c>
      <c r="J133" s="152">
        <f>G133-H133-I133</f>
        <v/>
      </c>
      <c r="K133" s="152">
        <f>IF(N132&lt;=0.005,0,N132*(1+K$6))</f>
        <v/>
      </c>
      <c r="L133" s="152">
        <f>MIN(K133,K$7)</f>
        <v/>
      </c>
      <c r="M133" s="152">
        <f>MAX(0,MIN(K133-L133,AQ133-(E133+I133)))</f>
        <v/>
      </c>
      <c r="N133" s="152">
        <f>K133-L133-M133</f>
        <v/>
      </c>
      <c r="O133" s="152">
        <f>IF(R132&lt;=0.005,0,R132*(1+O$6))</f>
        <v/>
      </c>
      <c r="P133" s="152">
        <f>MIN(O133,O$7)</f>
        <v/>
      </c>
      <c r="Q133" s="152">
        <f>MAX(0,MIN(O133-P133,AQ133-(E133+I133+M133)))</f>
        <v/>
      </c>
      <c r="R133" s="152">
        <f>O133-P133-Q133</f>
        <v/>
      </c>
      <c r="S133" s="152">
        <f>IF(V132&lt;=0.005,0,V132*(1+S$6))</f>
        <v/>
      </c>
      <c r="T133" s="152">
        <f>MIN(S133,S$7)</f>
        <v/>
      </c>
      <c r="U133" s="152">
        <f>MAX(0,MIN(S133-T133,AQ133-(E133+I133+M133+Q133)))</f>
        <v/>
      </c>
      <c r="V133" s="152">
        <f>S133-T133-U133</f>
        <v/>
      </c>
      <c r="W133" s="152">
        <f>IF(Z132&lt;=0.005,0,Z132*(1+W$6))</f>
        <v/>
      </c>
      <c r="X133" s="152">
        <f>MIN(W133,W$7)</f>
        <v/>
      </c>
      <c r="Y133" s="152">
        <f>MAX(0,MIN(W133-X133,AQ133-(E133+I133+M133+Q133+U133)))</f>
        <v/>
      </c>
      <c r="Z133" s="152">
        <f>W133-X133-Y133</f>
        <v/>
      </c>
      <c r="AA133" s="152">
        <f>IF(AD132&lt;=0.005,0,AD132*(1+AA$6))</f>
        <v/>
      </c>
      <c r="AB133" s="152">
        <f>MIN(AA133,AA$7)</f>
        <v/>
      </c>
      <c r="AC133" s="152">
        <f>MAX(0,MIN(AA133-AB133,AQ133-(E133+I133+M133+Q133+U133+Y133)))</f>
        <v/>
      </c>
      <c r="AD133" s="152">
        <f>AA133-AB133-AC133</f>
        <v/>
      </c>
      <c r="AE133" s="152">
        <f>IF(AH132&lt;=0.005,0,AH132*(1+AE$6))</f>
        <v/>
      </c>
      <c r="AF133" s="152">
        <f>MIN(AE133,AE$7)</f>
        <v/>
      </c>
      <c r="AG133" s="152">
        <f>MAX(0,MIN(AE133-AF133,AQ133-(E133+I133+M133+Q133+U133+Y133+AC133)))</f>
        <v/>
      </c>
      <c r="AH133" s="152">
        <f>AE133-AF133-AG133</f>
        <v/>
      </c>
      <c r="AI133" s="152">
        <f>IF(AL132&lt;=0.005,0,AL132*(1+AI$6))</f>
        <v/>
      </c>
      <c r="AJ133" s="152">
        <f>MIN(AI133,AI$7)</f>
        <v/>
      </c>
      <c r="AK133" s="152">
        <f>MAX(0,MIN(AI133-AJ133,AQ133-(E133+I133+M133+Q133+U133+Y133+AC133+AG133)))</f>
        <v/>
      </c>
      <c r="AL133" s="152">
        <f>AI133-AJ133-AK133</f>
        <v/>
      </c>
      <c r="AM133" s="152">
        <f>IF(AP132&lt;=0.005,0,AP132*(1+AM$6))</f>
        <v/>
      </c>
      <c r="AN133" s="152">
        <f>MIN(AM133,AM$7)</f>
        <v/>
      </c>
      <c r="AO133" s="152">
        <f>MAX(0,MIN(AM133-AN133,AQ133-(E133+I133+M133+Q133+U133+Y133+AC133+AG133+AK133)))</f>
        <v/>
      </c>
      <c r="AP133" s="152">
        <f>AM133-AN133-AO133</f>
        <v/>
      </c>
      <c r="AQ133" s="152">
        <f>'Debt Payoff'!$C$8-SUM(D133,H133,L133,P133,T133,X133,AB133,AF133,AJ133,AN133)</f>
        <v/>
      </c>
      <c r="AR133" s="152">
        <f>SUM(D133,H133,L133,P133,T133,X133,AB133,AF133,AJ133,AN133)+SUM(E133,I133,M133,Q133,U133,Y133,AC133,AG133,AK133,AO133)</f>
        <v/>
      </c>
      <c r="AS133" s="152">
        <f>SUM(F133,J133,N133,R133,V133,Z133,AD133,AH133,AL133,AP133)</f>
        <v/>
      </c>
      <c r="AT133" s="152">
        <f>IF(B133&gt;AS$6,NA(),B133)</f>
        <v/>
      </c>
      <c r="AU133" s="152">
        <f>IF(B133&gt;AS$6,NA(),AS133)</f>
        <v/>
      </c>
      <c r="AV133" s="152" t="n"/>
      <c r="AW133" s="152" t="n">
        <v>122</v>
      </c>
      <c r="AX133" s="152">
        <f>IF(BA132&lt;=0.005,0,BA132*(1+AX$6))</f>
        <v/>
      </c>
      <c r="AY133" s="152">
        <f>MIN(AX133,AX$7)</f>
        <v/>
      </c>
      <c r="AZ133" s="152">
        <f>MAX(0,MIN(AX133-AY133,CL133))</f>
        <v/>
      </c>
      <c r="BA133" s="152">
        <f>AX133-AY133-AZ133</f>
        <v/>
      </c>
      <c r="BB133" s="152">
        <f>IF(BE132&lt;=0.005,0,BE132*(1+BB$6))</f>
        <v/>
      </c>
      <c r="BC133" s="152">
        <f>MIN(BB133,BB$7)</f>
        <v/>
      </c>
      <c r="BD133" s="152">
        <f>MAX(0,MIN(BB133-BC133,CL133-(AZ133)))</f>
        <v/>
      </c>
      <c r="BE133" s="152">
        <f>BB133-BC133-BD133</f>
        <v/>
      </c>
      <c r="BF133" s="152">
        <f>IF(BI132&lt;=0.005,0,BI132*(1+BF$6))</f>
        <v/>
      </c>
      <c r="BG133" s="152">
        <f>MIN(BF133,BF$7)</f>
        <v/>
      </c>
      <c r="BH133" s="152">
        <f>MAX(0,MIN(BF133-BG133,CL133-(AZ133+BD133)))</f>
        <v/>
      </c>
      <c r="BI133" s="152">
        <f>BF133-BG133-BH133</f>
        <v/>
      </c>
      <c r="BJ133" s="152">
        <f>IF(BM132&lt;=0.005,0,BM132*(1+BJ$6))</f>
        <v/>
      </c>
      <c r="BK133" s="152">
        <f>MIN(BJ133,BJ$7)</f>
        <v/>
      </c>
      <c r="BL133" s="152">
        <f>MAX(0,MIN(BJ133-BK133,CL133-(AZ133+BD133+BH133)))</f>
        <v/>
      </c>
      <c r="BM133" s="152">
        <f>BJ133-BK133-BL133</f>
        <v/>
      </c>
      <c r="BN133" s="152">
        <f>IF(BQ132&lt;=0.005,0,BQ132*(1+BN$6))</f>
        <v/>
      </c>
      <c r="BO133" s="152">
        <f>MIN(BN133,BN$7)</f>
        <v/>
      </c>
      <c r="BP133" s="152">
        <f>MAX(0,MIN(BN133-BO133,CL133-(AZ133+BD133+BH133+BL133)))</f>
        <v/>
      </c>
      <c r="BQ133" s="152">
        <f>BN133-BO133-BP133</f>
        <v/>
      </c>
      <c r="BR133" s="152">
        <f>IF(BU132&lt;=0.005,0,BU132*(1+BR$6))</f>
        <v/>
      </c>
      <c r="BS133" s="152">
        <f>MIN(BR133,BR$7)</f>
        <v/>
      </c>
      <c r="BT133" s="152">
        <f>MAX(0,MIN(BR133-BS133,CL133-(AZ133+BD133+BH133+BL133+BP133)))</f>
        <v/>
      </c>
      <c r="BU133" s="152">
        <f>BR133-BS133-BT133</f>
        <v/>
      </c>
      <c r="BV133" s="152">
        <f>IF(BY132&lt;=0.005,0,BY132*(1+BV$6))</f>
        <v/>
      </c>
      <c r="BW133" s="152">
        <f>MIN(BV133,BV$7)</f>
        <v/>
      </c>
      <c r="BX133" s="152">
        <f>MAX(0,MIN(BV133-BW133,CL133-(AZ133+BD133+BH133+BL133+BP133+BT133)))</f>
        <v/>
      </c>
      <c r="BY133" s="152">
        <f>BV133-BW133-BX133</f>
        <v/>
      </c>
      <c r="BZ133" s="152">
        <f>IF(CC132&lt;=0.005,0,CC132*(1+BZ$6))</f>
        <v/>
      </c>
      <c r="CA133" s="152">
        <f>MIN(BZ133,BZ$7)</f>
        <v/>
      </c>
      <c r="CB133" s="152">
        <f>MAX(0,MIN(BZ133-CA133,CL133-(AZ133+BD133+BH133+BL133+BP133+BT133+BX133)))</f>
        <v/>
      </c>
      <c r="CC133" s="152">
        <f>BZ133-CA133-CB133</f>
        <v/>
      </c>
      <c r="CD133" s="152">
        <f>IF(CG132&lt;=0.005,0,CG132*(1+CD$6))</f>
        <v/>
      </c>
      <c r="CE133" s="152">
        <f>MIN(CD133,CD$7)</f>
        <v/>
      </c>
      <c r="CF133" s="152">
        <f>MAX(0,MIN(CD133-CE133,CL133-(AZ133+BD133+BH133+BL133+BP133+BT133+BX133+CB133)))</f>
        <v/>
      </c>
      <c r="CG133" s="152">
        <f>CD133-CE133-CF133</f>
        <v/>
      </c>
      <c r="CH133" s="152">
        <f>IF(CK132&lt;=0.005,0,CK132*(1+CH$6))</f>
        <v/>
      </c>
      <c r="CI133" s="152">
        <f>MIN(CH133,CH$7)</f>
        <v/>
      </c>
      <c r="CJ133" s="152">
        <f>MAX(0,MIN(CH133-CI133,CL133-(AZ133+BD133+BH133+BL133+BP133+BT133+BX133+CB133+CF133)))</f>
        <v/>
      </c>
      <c r="CK133" s="152">
        <f>CH133-CI133-CJ133</f>
        <v/>
      </c>
      <c r="CL133" s="152">
        <f>'Debt Payoff'!$C$8-SUM(AY133,BC133,BG133,BK133,BO133,BS133,BW133,CA133,CE133,CI133)</f>
        <v/>
      </c>
      <c r="CM133" s="152">
        <f>SUM(AY133,BC133,BG133,BK133,BO133,BS133,BW133,CA133,CE133,CI133)+SUM(AZ133,BD133,BH133,BL133,BP133,BT133,BX133,CB133,CF133,CJ133)</f>
        <v/>
      </c>
      <c r="CN133" s="152">
        <f>SUM(BA133,BE133,BI133,BM133,BQ133,BU133,BY133,CC133,CG133,CK133)</f>
        <v/>
      </c>
      <c r="CO133" s="152">
        <f>IF(AW133&gt;CN$6,NA(),AW133)</f>
        <v/>
      </c>
      <c r="CP133" s="152">
        <f>IF(AW133&gt;CN$6,NA(),CN133)</f>
        <v/>
      </c>
    </row>
    <row r="134">
      <c r="B134" s="152" t="n">
        <v>123</v>
      </c>
      <c r="C134" s="152">
        <f>IF(F133&lt;=0.005,0,F133*(1+C$6))</f>
        <v/>
      </c>
      <c r="D134" s="152">
        <f>MIN(C134,C$7)</f>
        <v/>
      </c>
      <c r="E134" s="152">
        <f>MAX(0,MIN(C134-D134,AQ134))</f>
        <v/>
      </c>
      <c r="F134" s="152">
        <f>C134-D134-E134</f>
        <v/>
      </c>
      <c r="G134" s="152">
        <f>IF(J133&lt;=0.005,0,J133*(1+G$6))</f>
        <v/>
      </c>
      <c r="H134" s="152">
        <f>MIN(G134,G$7)</f>
        <v/>
      </c>
      <c r="I134" s="152">
        <f>MAX(0,MIN(G134-H134,AQ134-(E134)))</f>
        <v/>
      </c>
      <c r="J134" s="152">
        <f>G134-H134-I134</f>
        <v/>
      </c>
      <c r="K134" s="152">
        <f>IF(N133&lt;=0.005,0,N133*(1+K$6))</f>
        <v/>
      </c>
      <c r="L134" s="152">
        <f>MIN(K134,K$7)</f>
        <v/>
      </c>
      <c r="M134" s="152">
        <f>MAX(0,MIN(K134-L134,AQ134-(E134+I134)))</f>
        <v/>
      </c>
      <c r="N134" s="152">
        <f>K134-L134-M134</f>
        <v/>
      </c>
      <c r="O134" s="152">
        <f>IF(R133&lt;=0.005,0,R133*(1+O$6))</f>
        <v/>
      </c>
      <c r="P134" s="152">
        <f>MIN(O134,O$7)</f>
        <v/>
      </c>
      <c r="Q134" s="152">
        <f>MAX(0,MIN(O134-P134,AQ134-(E134+I134+M134)))</f>
        <v/>
      </c>
      <c r="R134" s="152">
        <f>O134-P134-Q134</f>
        <v/>
      </c>
      <c r="S134" s="152">
        <f>IF(V133&lt;=0.005,0,V133*(1+S$6))</f>
        <v/>
      </c>
      <c r="T134" s="152">
        <f>MIN(S134,S$7)</f>
        <v/>
      </c>
      <c r="U134" s="152">
        <f>MAX(0,MIN(S134-T134,AQ134-(E134+I134+M134+Q134)))</f>
        <v/>
      </c>
      <c r="V134" s="152">
        <f>S134-T134-U134</f>
        <v/>
      </c>
      <c r="W134" s="152">
        <f>IF(Z133&lt;=0.005,0,Z133*(1+W$6))</f>
        <v/>
      </c>
      <c r="X134" s="152">
        <f>MIN(W134,W$7)</f>
        <v/>
      </c>
      <c r="Y134" s="152">
        <f>MAX(0,MIN(W134-X134,AQ134-(E134+I134+M134+Q134+U134)))</f>
        <v/>
      </c>
      <c r="Z134" s="152">
        <f>W134-X134-Y134</f>
        <v/>
      </c>
      <c r="AA134" s="152">
        <f>IF(AD133&lt;=0.005,0,AD133*(1+AA$6))</f>
        <v/>
      </c>
      <c r="AB134" s="152">
        <f>MIN(AA134,AA$7)</f>
        <v/>
      </c>
      <c r="AC134" s="152">
        <f>MAX(0,MIN(AA134-AB134,AQ134-(E134+I134+M134+Q134+U134+Y134)))</f>
        <v/>
      </c>
      <c r="AD134" s="152">
        <f>AA134-AB134-AC134</f>
        <v/>
      </c>
      <c r="AE134" s="152">
        <f>IF(AH133&lt;=0.005,0,AH133*(1+AE$6))</f>
        <v/>
      </c>
      <c r="AF134" s="152">
        <f>MIN(AE134,AE$7)</f>
        <v/>
      </c>
      <c r="AG134" s="152">
        <f>MAX(0,MIN(AE134-AF134,AQ134-(E134+I134+M134+Q134+U134+Y134+AC134)))</f>
        <v/>
      </c>
      <c r="AH134" s="152">
        <f>AE134-AF134-AG134</f>
        <v/>
      </c>
      <c r="AI134" s="152">
        <f>IF(AL133&lt;=0.005,0,AL133*(1+AI$6))</f>
        <v/>
      </c>
      <c r="AJ134" s="152">
        <f>MIN(AI134,AI$7)</f>
        <v/>
      </c>
      <c r="AK134" s="152">
        <f>MAX(0,MIN(AI134-AJ134,AQ134-(E134+I134+M134+Q134+U134+Y134+AC134+AG134)))</f>
        <v/>
      </c>
      <c r="AL134" s="152">
        <f>AI134-AJ134-AK134</f>
        <v/>
      </c>
      <c r="AM134" s="152">
        <f>IF(AP133&lt;=0.005,0,AP133*(1+AM$6))</f>
        <v/>
      </c>
      <c r="AN134" s="152">
        <f>MIN(AM134,AM$7)</f>
        <v/>
      </c>
      <c r="AO134" s="152">
        <f>MAX(0,MIN(AM134-AN134,AQ134-(E134+I134+M134+Q134+U134+Y134+AC134+AG134+AK134)))</f>
        <v/>
      </c>
      <c r="AP134" s="152">
        <f>AM134-AN134-AO134</f>
        <v/>
      </c>
      <c r="AQ134" s="152">
        <f>'Debt Payoff'!$C$8-SUM(D134,H134,L134,P134,T134,X134,AB134,AF134,AJ134,AN134)</f>
        <v/>
      </c>
      <c r="AR134" s="152">
        <f>SUM(D134,H134,L134,P134,T134,X134,AB134,AF134,AJ134,AN134)+SUM(E134,I134,M134,Q134,U134,Y134,AC134,AG134,AK134,AO134)</f>
        <v/>
      </c>
      <c r="AS134" s="152">
        <f>SUM(F134,J134,N134,R134,V134,Z134,AD134,AH134,AL134,AP134)</f>
        <v/>
      </c>
      <c r="AT134" s="152">
        <f>IF(B134&gt;AS$6,NA(),B134)</f>
        <v/>
      </c>
      <c r="AU134" s="152">
        <f>IF(B134&gt;AS$6,NA(),AS134)</f>
        <v/>
      </c>
      <c r="AV134" s="152" t="n"/>
      <c r="AW134" s="152" t="n">
        <v>123</v>
      </c>
      <c r="AX134" s="152">
        <f>IF(BA133&lt;=0.005,0,BA133*(1+AX$6))</f>
        <v/>
      </c>
      <c r="AY134" s="152">
        <f>MIN(AX134,AX$7)</f>
        <v/>
      </c>
      <c r="AZ134" s="152">
        <f>MAX(0,MIN(AX134-AY134,CL134))</f>
        <v/>
      </c>
      <c r="BA134" s="152">
        <f>AX134-AY134-AZ134</f>
        <v/>
      </c>
      <c r="BB134" s="152">
        <f>IF(BE133&lt;=0.005,0,BE133*(1+BB$6))</f>
        <v/>
      </c>
      <c r="BC134" s="152">
        <f>MIN(BB134,BB$7)</f>
        <v/>
      </c>
      <c r="BD134" s="152">
        <f>MAX(0,MIN(BB134-BC134,CL134-(AZ134)))</f>
        <v/>
      </c>
      <c r="BE134" s="152">
        <f>BB134-BC134-BD134</f>
        <v/>
      </c>
      <c r="BF134" s="152">
        <f>IF(BI133&lt;=0.005,0,BI133*(1+BF$6))</f>
        <v/>
      </c>
      <c r="BG134" s="152">
        <f>MIN(BF134,BF$7)</f>
        <v/>
      </c>
      <c r="BH134" s="152">
        <f>MAX(0,MIN(BF134-BG134,CL134-(AZ134+BD134)))</f>
        <v/>
      </c>
      <c r="BI134" s="152">
        <f>BF134-BG134-BH134</f>
        <v/>
      </c>
      <c r="BJ134" s="152">
        <f>IF(BM133&lt;=0.005,0,BM133*(1+BJ$6))</f>
        <v/>
      </c>
      <c r="BK134" s="152">
        <f>MIN(BJ134,BJ$7)</f>
        <v/>
      </c>
      <c r="BL134" s="152">
        <f>MAX(0,MIN(BJ134-BK134,CL134-(AZ134+BD134+BH134)))</f>
        <v/>
      </c>
      <c r="BM134" s="152">
        <f>BJ134-BK134-BL134</f>
        <v/>
      </c>
      <c r="BN134" s="152">
        <f>IF(BQ133&lt;=0.005,0,BQ133*(1+BN$6))</f>
        <v/>
      </c>
      <c r="BO134" s="152">
        <f>MIN(BN134,BN$7)</f>
        <v/>
      </c>
      <c r="BP134" s="152">
        <f>MAX(0,MIN(BN134-BO134,CL134-(AZ134+BD134+BH134+BL134)))</f>
        <v/>
      </c>
      <c r="BQ134" s="152">
        <f>BN134-BO134-BP134</f>
        <v/>
      </c>
      <c r="BR134" s="152">
        <f>IF(BU133&lt;=0.005,0,BU133*(1+BR$6))</f>
        <v/>
      </c>
      <c r="BS134" s="152">
        <f>MIN(BR134,BR$7)</f>
        <v/>
      </c>
      <c r="BT134" s="152">
        <f>MAX(0,MIN(BR134-BS134,CL134-(AZ134+BD134+BH134+BL134+BP134)))</f>
        <v/>
      </c>
      <c r="BU134" s="152">
        <f>BR134-BS134-BT134</f>
        <v/>
      </c>
      <c r="BV134" s="152">
        <f>IF(BY133&lt;=0.005,0,BY133*(1+BV$6))</f>
        <v/>
      </c>
      <c r="BW134" s="152">
        <f>MIN(BV134,BV$7)</f>
        <v/>
      </c>
      <c r="BX134" s="152">
        <f>MAX(0,MIN(BV134-BW134,CL134-(AZ134+BD134+BH134+BL134+BP134+BT134)))</f>
        <v/>
      </c>
      <c r="BY134" s="152">
        <f>BV134-BW134-BX134</f>
        <v/>
      </c>
      <c r="BZ134" s="152">
        <f>IF(CC133&lt;=0.005,0,CC133*(1+BZ$6))</f>
        <v/>
      </c>
      <c r="CA134" s="152">
        <f>MIN(BZ134,BZ$7)</f>
        <v/>
      </c>
      <c r="CB134" s="152">
        <f>MAX(0,MIN(BZ134-CA134,CL134-(AZ134+BD134+BH134+BL134+BP134+BT134+BX134)))</f>
        <v/>
      </c>
      <c r="CC134" s="152">
        <f>BZ134-CA134-CB134</f>
        <v/>
      </c>
      <c r="CD134" s="152">
        <f>IF(CG133&lt;=0.005,0,CG133*(1+CD$6))</f>
        <v/>
      </c>
      <c r="CE134" s="152">
        <f>MIN(CD134,CD$7)</f>
        <v/>
      </c>
      <c r="CF134" s="152">
        <f>MAX(0,MIN(CD134-CE134,CL134-(AZ134+BD134+BH134+BL134+BP134+BT134+BX134+CB134)))</f>
        <v/>
      </c>
      <c r="CG134" s="152">
        <f>CD134-CE134-CF134</f>
        <v/>
      </c>
      <c r="CH134" s="152">
        <f>IF(CK133&lt;=0.005,0,CK133*(1+CH$6))</f>
        <v/>
      </c>
      <c r="CI134" s="152">
        <f>MIN(CH134,CH$7)</f>
        <v/>
      </c>
      <c r="CJ134" s="152">
        <f>MAX(0,MIN(CH134-CI134,CL134-(AZ134+BD134+BH134+BL134+BP134+BT134+BX134+CB134+CF134)))</f>
        <v/>
      </c>
      <c r="CK134" s="152">
        <f>CH134-CI134-CJ134</f>
        <v/>
      </c>
      <c r="CL134" s="152">
        <f>'Debt Payoff'!$C$8-SUM(AY134,BC134,BG134,BK134,BO134,BS134,BW134,CA134,CE134,CI134)</f>
        <v/>
      </c>
      <c r="CM134" s="152">
        <f>SUM(AY134,BC134,BG134,BK134,BO134,BS134,BW134,CA134,CE134,CI134)+SUM(AZ134,BD134,BH134,BL134,BP134,BT134,BX134,CB134,CF134,CJ134)</f>
        <v/>
      </c>
      <c r="CN134" s="152">
        <f>SUM(BA134,BE134,BI134,BM134,BQ134,BU134,BY134,CC134,CG134,CK134)</f>
        <v/>
      </c>
      <c r="CO134" s="152">
        <f>IF(AW134&gt;CN$6,NA(),AW134)</f>
        <v/>
      </c>
      <c r="CP134" s="152">
        <f>IF(AW134&gt;CN$6,NA(),CN134)</f>
        <v/>
      </c>
    </row>
    <row r="135">
      <c r="B135" s="152" t="n">
        <v>124</v>
      </c>
      <c r="C135" s="152">
        <f>IF(F134&lt;=0.005,0,F134*(1+C$6))</f>
        <v/>
      </c>
      <c r="D135" s="152">
        <f>MIN(C135,C$7)</f>
        <v/>
      </c>
      <c r="E135" s="152">
        <f>MAX(0,MIN(C135-D135,AQ135))</f>
        <v/>
      </c>
      <c r="F135" s="152">
        <f>C135-D135-E135</f>
        <v/>
      </c>
      <c r="G135" s="152">
        <f>IF(J134&lt;=0.005,0,J134*(1+G$6))</f>
        <v/>
      </c>
      <c r="H135" s="152">
        <f>MIN(G135,G$7)</f>
        <v/>
      </c>
      <c r="I135" s="152">
        <f>MAX(0,MIN(G135-H135,AQ135-(E135)))</f>
        <v/>
      </c>
      <c r="J135" s="152">
        <f>G135-H135-I135</f>
        <v/>
      </c>
      <c r="K135" s="152">
        <f>IF(N134&lt;=0.005,0,N134*(1+K$6))</f>
        <v/>
      </c>
      <c r="L135" s="152">
        <f>MIN(K135,K$7)</f>
        <v/>
      </c>
      <c r="M135" s="152">
        <f>MAX(0,MIN(K135-L135,AQ135-(E135+I135)))</f>
        <v/>
      </c>
      <c r="N135" s="152">
        <f>K135-L135-M135</f>
        <v/>
      </c>
      <c r="O135" s="152">
        <f>IF(R134&lt;=0.005,0,R134*(1+O$6))</f>
        <v/>
      </c>
      <c r="P135" s="152">
        <f>MIN(O135,O$7)</f>
        <v/>
      </c>
      <c r="Q135" s="152">
        <f>MAX(0,MIN(O135-P135,AQ135-(E135+I135+M135)))</f>
        <v/>
      </c>
      <c r="R135" s="152">
        <f>O135-P135-Q135</f>
        <v/>
      </c>
      <c r="S135" s="152">
        <f>IF(V134&lt;=0.005,0,V134*(1+S$6))</f>
        <v/>
      </c>
      <c r="T135" s="152">
        <f>MIN(S135,S$7)</f>
        <v/>
      </c>
      <c r="U135" s="152">
        <f>MAX(0,MIN(S135-T135,AQ135-(E135+I135+M135+Q135)))</f>
        <v/>
      </c>
      <c r="V135" s="152">
        <f>S135-T135-U135</f>
        <v/>
      </c>
      <c r="W135" s="152">
        <f>IF(Z134&lt;=0.005,0,Z134*(1+W$6))</f>
        <v/>
      </c>
      <c r="X135" s="152">
        <f>MIN(W135,W$7)</f>
        <v/>
      </c>
      <c r="Y135" s="152">
        <f>MAX(0,MIN(W135-X135,AQ135-(E135+I135+M135+Q135+U135)))</f>
        <v/>
      </c>
      <c r="Z135" s="152">
        <f>W135-X135-Y135</f>
        <v/>
      </c>
      <c r="AA135" s="152">
        <f>IF(AD134&lt;=0.005,0,AD134*(1+AA$6))</f>
        <v/>
      </c>
      <c r="AB135" s="152">
        <f>MIN(AA135,AA$7)</f>
        <v/>
      </c>
      <c r="AC135" s="152">
        <f>MAX(0,MIN(AA135-AB135,AQ135-(E135+I135+M135+Q135+U135+Y135)))</f>
        <v/>
      </c>
      <c r="AD135" s="152">
        <f>AA135-AB135-AC135</f>
        <v/>
      </c>
      <c r="AE135" s="152">
        <f>IF(AH134&lt;=0.005,0,AH134*(1+AE$6))</f>
        <v/>
      </c>
      <c r="AF135" s="152">
        <f>MIN(AE135,AE$7)</f>
        <v/>
      </c>
      <c r="AG135" s="152">
        <f>MAX(0,MIN(AE135-AF135,AQ135-(E135+I135+M135+Q135+U135+Y135+AC135)))</f>
        <v/>
      </c>
      <c r="AH135" s="152">
        <f>AE135-AF135-AG135</f>
        <v/>
      </c>
      <c r="AI135" s="152">
        <f>IF(AL134&lt;=0.005,0,AL134*(1+AI$6))</f>
        <v/>
      </c>
      <c r="AJ135" s="152">
        <f>MIN(AI135,AI$7)</f>
        <v/>
      </c>
      <c r="AK135" s="152">
        <f>MAX(0,MIN(AI135-AJ135,AQ135-(E135+I135+M135+Q135+U135+Y135+AC135+AG135)))</f>
        <v/>
      </c>
      <c r="AL135" s="152">
        <f>AI135-AJ135-AK135</f>
        <v/>
      </c>
      <c r="AM135" s="152">
        <f>IF(AP134&lt;=0.005,0,AP134*(1+AM$6))</f>
        <v/>
      </c>
      <c r="AN135" s="152">
        <f>MIN(AM135,AM$7)</f>
        <v/>
      </c>
      <c r="AO135" s="152">
        <f>MAX(0,MIN(AM135-AN135,AQ135-(E135+I135+M135+Q135+U135+Y135+AC135+AG135+AK135)))</f>
        <v/>
      </c>
      <c r="AP135" s="152">
        <f>AM135-AN135-AO135</f>
        <v/>
      </c>
      <c r="AQ135" s="152">
        <f>'Debt Payoff'!$C$8-SUM(D135,H135,L135,P135,T135,X135,AB135,AF135,AJ135,AN135)</f>
        <v/>
      </c>
      <c r="AR135" s="152">
        <f>SUM(D135,H135,L135,P135,T135,X135,AB135,AF135,AJ135,AN135)+SUM(E135,I135,M135,Q135,U135,Y135,AC135,AG135,AK135,AO135)</f>
        <v/>
      </c>
      <c r="AS135" s="152">
        <f>SUM(F135,J135,N135,R135,V135,Z135,AD135,AH135,AL135,AP135)</f>
        <v/>
      </c>
      <c r="AT135" s="152">
        <f>IF(B135&gt;AS$6,NA(),B135)</f>
        <v/>
      </c>
      <c r="AU135" s="152">
        <f>IF(B135&gt;AS$6,NA(),AS135)</f>
        <v/>
      </c>
      <c r="AV135" s="152" t="n"/>
      <c r="AW135" s="152" t="n">
        <v>124</v>
      </c>
      <c r="AX135" s="152">
        <f>IF(BA134&lt;=0.005,0,BA134*(1+AX$6))</f>
        <v/>
      </c>
      <c r="AY135" s="152">
        <f>MIN(AX135,AX$7)</f>
        <v/>
      </c>
      <c r="AZ135" s="152">
        <f>MAX(0,MIN(AX135-AY135,CL135))</f>
        <v/>
      </c>
      <c r="BA135" s="152">
        <f>AX135-AY135-AZ135</f>
        <v/>
      </c>
      <c r="BB135" s="152">
        <f>IF(BE134&lt;=0.005,0,BE134*(1+BB$6))</f>
        <v/>
      </c>
      <c r="BC135" s="152">
        <f>MIN(BB135,BB$7)</f>
        <v/>
      </c>
      <c r="BD135" s="152">
        <f>MAX(0,MIN(BB135-BC135,CL135-(AZ135)))</f>
        <v/>
      </c>
      <c r="BE135" s="152">
        <f>BB135-BC135-BD135</f>
        <v/>
      </c>
      <c r="BF135" s="152">
        <f>IF(BI134&lt;=0.005,0,BI134*(1+BF$6))</f>
        <v/>
      </c>
      <c r="BG135" s="152">
        <f>MIN(BF135,BF$7)</f>
        <v/>
      </c>
      <c r="BH135" s="152">
        <f>MAX(0,MIN(BF135-BG135,CL135-(AZ135+BD135)))</f>
        <v/>
      </c>
      <c r="BI135" s="152">
        <f>BF135-BG135-BH135</f>
        <v/>
      </c>
      <c r="BJ135" s="152">
        <f>IF(BM134&lt;=0.005,0,BM134*(1+BJ$6))</f>
        <v/>
      </c>
      <c r="BK135" s="152">
        <f>MIN(BJ135,BJ$7)</f>
        <v/>
      </c>
      <c r="BL135" s="152">
        <f>MAX(0,MIN(BJ135-BK135,CL135-(AZ135+BD135+BH135)))</f>
        <v/>
      </c>
      <c r="BM135" s="152">
        <f>BJ135-BK135-BL135</f>
        <v/>
      </c>
      <c r="BN135" s="152">
        <f>IF(BQ134&lt;=0.005,0,BQ134*(1+BN$6))</f>
        <v/>
      </c>
      <c r="BO135" s="152">
        <f>MIN(BN135,BN$7)</f>
        <v/>
      </c>
      <c r="BP135" s="152">
        <f>MAX(0,MIN(BN135-BO135,CL135-(AZ135+BD135+BH135+BL135)))</f>
        <v/>
      </c>
      <c r="BQ135" s="152">
        <f>BN135-BO135-BP135</f>
        <v/>
      </c>
      <c r="BR135" s="152">
        <f>IF(BU134&lt;=0.005,0,BU134*(1+BR$6))</f>
        <v/>
      </c>
      <c r="BS135" s="152">
        <f>MIN(BR135,BR$7)</f>
        <v/>
      </c>
      <c r="BT135" s="152">
        <f>MAX(0,MIN(BR135-BS135,CL135-(AZ135+BD135+BH135+BL135+BP135)))</f>
        <v/>
      </c>
      <c r="BU135" s="152">
        <f>BR135-BS135-BT135</f>
        <v/>
      </c>
      <c r="BV135" s="152">
        <f>IF(BY134&lt;=0.005,0,BY134*(1+BV$6))</f>
        <v/>
      </c>
      <c r="BW135" s="152">
        <f>MIN(BV135,BV$7)</f>
        <v/>
      </c>
      <c r="BX135" s="152">
        <f>MAX(0,MIN(BV135-BW135,CL135-(AZ135+BD135+BH135+BL135+BP135+BT135)))</f>
        <v/>
      </c>
      <c r="BY135" s="152">
        <f>BV135-BW135-BX135</f>
        <v/>
      </c>
      <c r="BZ135" s="152">
        <f>IF(CC134&lt;=0.005,0,CC134*(1+BZ$6))</f>
        <v/>
      </c>
      <c r="CA135" s="152">
        <f>MIN(BZ135,BZ$7)</f>
        <v/>
      </c>
      <c r="CB135" s="152">
        <f>MAX(0,MIN(BZ135-CA135,CL135-(AZ135+BD135+BH135+BL135+BP135+BT135+BX135)))</f>
        <v/>
      </c>
      <c r="CC135" s="152">
        <f>BZ135-CA135-CB135</f>
        <v/>
      </c>
      <c r="CD135" s="152">
        <f>IF(CG134&lt;=0.005,0,CG134*(1+CD$6))</f>
        <v/>
      </c>
      <c r="CE135" s="152">
        <f>MIN(CD135,CD$7)</f>
        <v/>
      </c>
      <c r="CF135" s="152">
        <f>MAX(0,MIN(CD135-CE135,CL135-(AZ135+BD135+BH135+BL135+BP135+BT135+BX135+CB135)))</f>
        <v/>
      </c>
      <c r="CG135" s="152">
        <f>CD135-CE135-CF135</f>
        <v/>
      </c>
      <c r="CH135" s="152">
        <f>IF(CK134&lt;=0.005,0,CK134*(1+CH$6))</f>
        <v/>
      </c>
      <c r="CI135" s="152">
        <f>MIN(CH135,CH$7)</f>
        <v/>
      </c>
      <c r="CJ135" s="152">
        <f>MAX(0,MIN(CH135-CI135,CL135-(AZ135+BD135+BH135+BL135+BP135+BT135+BX135+CB135+CF135)))</f>
        <v/>
      </c>
      <c r="CK135" s="152">
        <f>CH135-CI135-CJ135</f>
        <v/>
      </c>
      <c r="CL135" s="152">
        <f>'Debt Payoff'!$C$8-SUM(AY135,BC135,BG135,BK135,BO135,BS135,BW135,CA135,CE135,CI135)</f>
        <v/>
      </c>
      <c r="CM135" s="152">
        <f>SUM(AY135,BC135,BG135,BK135,BO135,BS135,BW135,CA135,CE135,CI135)+SUM(AZ135,BD135,BH135,BL135,BP135,BT135,BX135,CB135,CF135,CJ135)</f>
        <v/>
      </c>
      <c r="CN135" s="152">
        <f>SUM(BA135,BE135,BI135,BM135,BQ135,BU135,BY135,CC135,CG135,CK135)</f>
        <v/>
      </c>
      <c r="CO135" s="152">
        <f>IF(AW135&gt;CN$6,NA(),AW135)</f>
        <v/>
      </c>
      <c r="CP135" s="152">
        <f>IF(AW135&gt;CN$6,NA(),CN135)</f>
        <v/>
      </c>
    </row>
    <row r="136">
      <c r="B136" s="152" t="n">
        <v>125</v>
      </c>
      <c r="C136" s="152">
        <f>IF(F135&lt;=0.005,0,F135*(1+C$6))</f>
        <v/>
      </c>
      <c r="D136" s="152">
        <f>MIN(C136,C$7)</f>
        <v/>
      </c>
      <c r="E136" s="152">
        <f>MAX(0,MIN(C136-D136,AQ136))</f>
        <v/>
      </c>
      <c r="F136" s="152">
        <f>C136-D136-E136</f>
        <v/>
      </c>
      <c r="G136" s="152">
        <f>IF(J135&lt;=0.005,0,J135*(1+G$6))</f>
        <v/>
      </c>
      <c r="H136" s="152">
        <f>MIN(G136,G$7)</f>
        <v/>
      </c>
      <c r="I136" s="152">
        <f>MAX(0,MIN(G136-H136,AQ136-(E136)))</f>
        <v/>
      </c>
      <c r="J136" s="152">
        <f>G136-H136-I136</f>
        <v/>
      </c>
      <c r="K136" s="152">
        <f>IF(N135&lt;=0.005,0,N135*(1+K$6))</f>
        <v/>
      </c>
      <c r="L136" s="152">
        <f>MIN(K136,K$7)</f>
        <v/>
      </c>
      <c r="M136" s="152">
        <f>MAX(0,MIN(K136-L136,AQ136-(E136+I136)))</f>
        <v/>
      </c>
      <c r="N136" s="152">
        <f>K136-L136-M136</f>
        <v/>
      </c>
      <c r="O136" s="152">
        <f>IF(R135&lt;=0.005,0,R135*(1+O$6))</f>
        <v/>
      </c>
      <c r="P136" s="152">
        <f>MIN(O136,O$7)</f>
        <v/>
      </c>
      <c r="Q136" s="152">
        <f>MAX(0,MIN(O136-P136,AQ136-(E136+I136+M136)))</f>
        <v/>
      </c>
      <c r="R136" s="152">
        <f>O136-P136-Q136</f>
        <v/>
      </c>
      <c r="S136" s="152">
        <f>IF(V135&lt;=0.005,0,V135*(1+S$6))</f>
        <v/>
      </c>
      <c r="T136" s="152">
        <f>MIN(S136,S$7)</f>
        <v/>
      </c>
      <c r="U136" s="152">
        <f>MAX(0,MIN(S136-T136,AQ136-(E136+I136+M136+Q136)))</f>
        <v/>
      </c>
      <c r="V136" s="152">
        <f>S136-T136-U136</f>
        <v/>
      </c>
      <c r="W136" s="152">
        <f>IF(Z135&lt;=0.005,0,Z135*(1+W$6))</f>
        <v/>
      </c>
      <c r="X136" s="152">
        <f>MIN(W136,W$7)</f>
        <v/>
      </c>
      <c r="Y136" s="152">
        <f>MAX(0,MIN(W136-X136,AQ136-(E136+I136+M136+Q136+U136)))</f>
        <v/>
      </c>
      <c r="Z136" s="152">
        <f>W136-X136-Y136</f>
        <v/>
      </c>
      <c r="AA136" s="152">
        <f>IF(AD135&lt;=0.005,0,AD135*(1+AA$6))</f>
        <v/>
      </c>
      <c r="AB136" s="152">
        <f>MIN(AA136,AA$7)</f>
        <v/>
      </c>
      <c r="AC136" s="152">
        <f>MAX(0,MIN(AA136-AB136,AQ136-(E136+I136+M136+Q136+U136+Y136)))</f>
        <v/>
      </c>
      <c r="AD136" s="152">
        <f>AA136-AB136-AC136</f>
        <v/>
      </c>
      <c r="AE136" s="152">
        <f>IF(AH135&lt;=0.005,0,AH135*(1+AE$6))</f>
        <v/>
      </c>
      <c r="AF136" s="152">
        <f>MIN(AE136,AE$7)</f>
        <v/>
      </c>
      <c r="AG136" s="152">
        <f>MAX(0,MIN(AE136-AF136,AQ136-(E136+I136+M136+Q136+U136+Y136+AC136)))</f>
        <v/>
      </c>
      <c r="AH136" s="152">
        <f>AE136-AF136-AG136</f>
        <v/>
      </c>
      <c r="AI136" s="152">
        <f>IF(AL135&lt;=0.005,0,AL135*(1+AI$6))</f>
        <v/>
      </c>
      <c r="AJ136" s="152">
        <f>MIN(AI136,AI$7)</f>
        <v/>
      </c>
      <c r="AK136" s="152">
        <f>MAX(0,MIN(AI136-AJ136,AQ136-(E136+I136+M136+Q136+U136+Y136+AC136+AG136)))</f>
        <v/>
      </c>
      <c r="AL136" s="152">
        <f>AI136-AJ136-AK136</f>
        <v/>
      </c>
      <c r="AM136" s="152">
        <f>IF(AP135&lt;=0.005,0,AP135*(1+AM$6))</f>
        <v/>
      </c>
      <c r="AN136" s="152">
        <f>MIN(AM136,AM$7)</f>
        <v/>
      </c>
      <c r="AO136" s="152">
        <f>MAX(0,MIN(AM136-AN136,AQ136-(E136+I136+M136+Q136+U136+Y136+AC136+AG136+AK136)))</f>
        <v/>
      </c>
      <c r="AP136" s="152">
        <f>AM136-AN136-AO136</f>
        <v/>
      </c>
      <c r="AQ136" s="152">
        <f>'Debt Payoff'!$C$8-SUM(D136,H136,L136,P136,T136,X136,AB136,AF136,AJ136,AN136)</f>
        <v/>
      </c>
      <c r="AR136" s="152">
        <f>SUM(D136,H136,L136,P136,T136,X136,AB136,AF136,AJ136,AN136)+SUM(E136,I136,M136,Q136,U136,Y136,AC136,AG136,AK136,AO136)</f>
        <v/>
      </c>
      <c r="AS136" s="152">
        <f>SUM(F136,J136,N136,R136,V136,Z136,AD136,AH136,AL136,AP136)</f>
        <v/>
      </c>
      <c r="AT136" s="152">
        <f>IF(B136&gt;AS$6,NA(),B136)</f>
        <v/>
      </c>
      <c r="AU136" s="152">
        <f>IF(B136&gt;AS$6,NA(),AS136)</f>
        <v/>
      </c>
      <c r="AV136" s="152" t="n"/>
      <c r="AW136" s="152" t="n">
        <v>125</v>
      </c>
      <c r="AX136" s="152">
        <f>IF(BA135&lt;=0.005,0,BA135*(1+AX$6))</f>
        <v/>
      </c>
      <c r="AY136" s="152">
        <f>MIN(AX136,AX$7)</f>
        <v/>
      </c>
      <c r="AZ136" s="152">
        <f>MAX(0,MIN(AX136-AY136,CL136))</f>
        <v/>
      </c>
      <c r="BA136" s="152">
        <f>AX136-AY136-AZ136</f>
        <v/>
      </c>
      <c r="BB136" s="152">
        <f>IF(BE135&lt;=0.005,0,BE135*(1+BB$6))</f>
        <v/>
      </c>
      <c r="BC136" s="152">
        <f>MIN(BB136,BB$7)</f>
        <v/>
      </c>
      <c r="BD136" s="152">
        <f>MAX(0,MIN(BB136-BC136,CL136-(AZ136)))</f>
        <v/>
      </c>
      <c r="BE136" s="152">
        <f>BB136-BC136-BD136</f>
        <v/>
      </c>
      <c r="BF136" s="152">
        <f>IF(BI135&lt;=0.005,0,BI135*(1+BF$6))</f>
        <v/>
      </c>
      <c r="BG136" s="152">
        <f>MIN(BF136,BF$7)</f>
        <v/>
      </c>
      <c r="BH136" s="152">
        <f>MAX(0,MIN(BF136-BG136,CL136-(AZ136+BD136)))</f>
        <v/>
      </c>
      <c r="BI136" s="152">
        <f>BF136-BG136-BH136</f>
        <v/>
      </c>
      <c r="BJ136" s="152">
        <f>IF(BM135&lt;=0.005,0,BM135*(1+BJ$6))</f>
        <v/>
      </c>
      <c r="BK136" s="152">
        <f>MIN(BJ136,BJ$7)</f>
        <v/>
      </c>
      <c r="BL136" s="152">
        <f>MAX(0,MIN(BJ136-BK136,CL136-(AZ136+BD136+BH136)))</f>
        <v/>
      </c>
      <c r="BM136" s="152">
        <f>BJ136-BK136-BL136</f>
        <v/>
      </c>
      <c r="BN136" s="152">
        <f>IF(BQ135&lt;=0.005,0,BQ135*(1+BN$6))</f>
        <v/>
      </c>
      <c r="BO136" s="152">
        <f>MIN(BN136,BN$7)</f>
        <v/>
      </c>
      <c r="BP136" s="152">
        <f>MAX(0,MIN(BN136-BO136,CL136-(AZ136+BD136+BH136+BL136)))</f>
        <v/>
      </c>
      <c r="BQ136" s="152">
        <f>BN136-BO136-BP136</f>
        <v/>
      </c>
      <c r="BR136" s="152">
        <f>IF(BU135&lt;=0.005,0,BU135*(1+BR$6))</f>
        <v/>
      </c>
      <c r="BS136" s="152">
        <f>MIN(BR136,BR$7)</f>
        <v/>
      </c>
      <c r="BT136" s="152">
        <f>MAX(0,MIN(BR136-BS136,CL136-(AZ136+BD136+BH136+BL136+BP136)))</f>
        <v/>
      </c>
      <c r="BU136" s="152">
        <f>BR136-BS136-BT136</f>
        <v/>
      </c>
      <c r="BV136" s="152">
        <f>IF(BY135&lt;=0.005,0,BY135*(1+BV$6))</f>
        <v/>
      </c>
      <c r="BW136" s="152">
        <f>MIN(BV136,BV$7)</f>
        <v/>
      </c>
      <c r="BX136" s="152">
        <f>MAX(0,MIN(BV136-BW136,CL136-(AZ136+BD136+BH136+BL136+BP136+BT136)))</f>
        <v/>
      </c>
      <c r="BY136" s="152">
        <f>BV136-BW136-BX136</f>
        <v/>
      </c>
      <c r="BZ136" s="152">
        <f>IF(CC135&lt;=0.005,0,CC135*(1+BZ$6))</f>
        <v/>
      </c>
      <c r="CA136" s="152">
        <f>MIN(BZ136,BZ$7)</f>
        <v/>
      </c>
      <c r="CB136" s="152">
        <f>MAX(0,MIN(BZ136-CA136,CL136-(AZ136+BD136+BH136+BL136+BP136+BT136+BX136)))</f>
        <v/>
      </c>
      <c r="CC136" s="152">
        <f>BZ136-CA136-CB136</f>
        <v/>
      </c>
      <c r="CD136" s="152">
        <f>IF(CG135&lt;=0.005,0,CG135*(1+CD$6))</f>
        <v/>
      </c>
      <c r="CE136" s="152">
        <f>MIN(CD136,CD$7)</f>
        <v/>
      </c>
      <c r="CF136" s="152">
        <f>MAX(0,MIN(CD136-CE136,CL136-(AZ136+BD136+BH136+BL136+BP136+BT136+BX136+CB136)))</f>
        <v/>
      </c>
      <c r="CG136" s="152">
        <f>CD136-CE136-CF136</f>
        <v/>
      </c>
      <c r="CH136" s="152">
        <f>IF(CK135&lt;=0.005,0,CK135*(1+CH$6))</f>
        <v/>
      </c>
      <c r="CI136" s="152">
        <f>MIN(CH136,CH$7)</f>
        <v/>
      </c>
      <c r="CJ136" s="152">
        <f>MAX(0,MIN(CH136-CI136,CL136-(AZ136+BD136+BH136+BL136+BP136+BT136+BX136+CB136+CF136)))</f>
        <v/>
      </c>
      <c r="CK136" s="152">
        <f>CH136-CI136-CJ136</f>
        <v/>
      </c>
      <c r="CL136" s="152">
        <f>'Debt Payoff'!$C$8-SUM(AY136,BC136,BG136,BK136,BO136,BS136,BW136,CA136,CE136,CI136)</f>
        <v/>
      </c>
      <c r="CM136" s="152">
        <f>SUM(AY136,BC136,BG136,BK136,BO136,BS136,BW136,CA136,CE136,CI136)+SUM(AZ136,BD136,BH136,BL136,BP136,BT136,BX136,CB136,CF136,CJ136)</f>
        <v/>
      </c>
      <c r="CN136" s="152">
        <f>SUM(BA136,BE136,BI136,BM136,BQ136,BU136,BY136,CC136,CG136,CK136)</f>
        <v/>
      </c>
      <c r="CO136" s="152">
        <f>IF(AW136&gt;CN$6,NA(),AW136)</f>
        <v/>
      </c>
      <c r="CP136" s="152">
        <f>IF(AW136&gt;CN$6,NA(),CN136)</f>
        <v/>
      </c>
    </row>
    <row r="137">
      <c r="B137" s="152" t="n">
        <v>126</v>
      </c>
      <c r="C137" s="152">
        <f>IF(F136&lt;=0.005,0,F136*(1+C$6))</f>
        <v/>
      </c>
      <c r="D137" s="152">
        <f>MIN(C137,C$7)</f>
        <v/>
      </c>
      <c r="E137" s="152">
        <f>MAX(0,MIN(C137-D137,AQ137))</f>
        <v/>
      </c>
      <c r="F137" s="152">
        <f>C137-D137-E137</f>
        <v/>
      </c>
      <c r="G137" s="152">
        <f>IF(J136&lt;=0.005,0,J136*(1+G$6))</f>
        <v/>
      </c>
      <c r="H137" s="152">
        <f>MIN(G137,G$7)</f>
        <v/>
      </c>
      <c r="I137" s="152">
        <f>MAX(0,MIN(G137-H137,AQ137-(E137)))</f>
        <v/>
      </c>
      <c r="J137" s="152">
        <f>G137-H137-I137</f>
        <v/>
      </c>
      <c r="K137" s="152">
        <f>IF(N136&lt;=0.005,0,N136*(1+K$6))</f>
        <v/>
      </c>
      <c r="L137" s="152">
        <f>MIN(K137,K$7)</f>
        <v/>
      </c>
      <c r="M137" s="152">
        <f>MAX(0,MIN(K137-L137,AQ137-(E137+I137)))</f>
        <v/>
      </c>
      <c r="N137" s="152">
        <f>K137-L137-M137</f>
        <v/>
      </c>
      <c r="O137" s="152">
        <f>IF(R136&lt;=0.005,0,R136*(1+O$6))</f>
        <v/>
      </c>
      <c r="P137" s="152">
        <f>MIN(O137,O$7)</f>
        <v/>
      </c>
      <c r="Q137" s="152">
        <f>MAX(0,MIN(O137-P137,AQ137-(E137+I137+M137)))</f>
        <v/>
      </c>
      <c r="R137" s="152">
        <f>O137-P137-Q137</f>
        <v/>
      </c>
      <c r="S137" s="152">
        <f>IF(V136&lt;=0.005,0,V136*(1+S$6))</f>
        <v/>
      </c>
      <c r="T137" s="152">
        <f>MIN(S137,S$7)</f>
        <v/>
      </c>
      <c r="U137" s="152">
        <f>MAX(0,MIN(S137-T137,AQ137-(E137+I137+M137+Q137)))</f>
        <v/>
      </c>
      <c r="V137" s="152">
        <f>S137-T137-U137</f>
        <v/>
      </c>
      <c r="W137" s="152">
        <f>IF(Z136&lt;=0.005,0,Z136*(1+W$6))</f>
        <v/>
      </c>
      <c r="X137" s="152">
        <f>MIN(W137,W$7)</f>
        <v/>
      </c>
      <c r="Y137" s="152">
        <f>MAX(0,MIN(W137-X137,AQ137-(E137+I137+M137+Q137+U137)))</f>
        <v/>
      </c>
      <c r="Z137" s="152">
        <f>W137-X137-Y137</f>
        <v/>
      </c>
      <c r="AA137" s="152">
        <f>IF(AD136&lt;=0.005,0,AD136*(1+AA$6))</f>
        <v/>
      </c>
      <c r="AB137" s="152">
        <f>MIN(AA137,AA$7)</f>
        <v/>
      </c>
      <c r="AC137" s="152">
        <f>MAX(0,MIN(AA137-AB137,AQ137-(E137+I137+M137+Q137+U137+Y137)))</f>
        <v/>
      </c>
      <c r="AD137" s="152">
        <f>AA137-AB137-AC137</f>
        <v/>
      </c>
      <c r="AE137" s="152">
        <f>IF(AH136&lt;=0.005,0,AH136*(1+AE$6))</f>
        <v/>
      </c>
      <c r="AF137" s="152">
        <f>MIN(AE137,AE$7)</f>
        <v/>
      </c>
      <c r="AG137" s="152">
        <f>MAX(0,MIN(AE137-AF137,AQ137-(E137+I137+M137+Q137+U137+Y137+AC137)))</f>
        <v/>
      </c>
      <c r="AH137" s="152">
        <f>AE137-AF137-AG137</f>
        <v/>
      </c>
      <c r="AI137" s="152">
        <f>IF(AL136&lt;=0.005,0,AL136*(1+AI$6))</f>
        <v/>
      </c>
      <c r="AJ137" s="152">
        <f>MIN(AI137,AI$7)</f>
        <v/>
      </c>
      <c r="AK137" s="152">
        <f>MAX(0,MIN(AI137-AJ137,AQ137-(E137+I137+M137+Q137+U137+Y137+AC137+AG137)))</f>
        <v/>
      </c>
      <c r="AL137" s="152">
        <f>AI137-AJ137-AK137</f>
        <v/>
      </c>
      <c r="AM137" s="152">
        <f>IF(AP136&lt;=0.005,0,AP136*(1+AM$6))</f>
        <v/>
      </c>
      <c r="AN137" s="152">
        <f>MIN(AM137,AM$7)</f>
        <v/>
      </c>
      <c r="AO137" s="152">
        <f>MAX(0,MIN(AM137-AN137,AQ137-(E137+I137+M137+Q137+U137+Y137+AC137+AG137+AK137)))</f>
        <v/>
      </c>
      <c r="AP137" s="152">
        <f>AM137-AN137-AO137</f>
        <v/>
      </c>
      <c r="AQ137" s="152">
        <f>'Debt Payoff'!$C$8-SUM(D137,H137,L137,P137,T137,X137,AB137,AF137,AJ137,AN137)</f>
        <v/>
      </c>
      <c r="AR137" s="152">
        <f>SUM(D137,H137,L137,P137,T137,X137,AB137,AF137,AJ137,AN137)+SUM(E137,I137,M137,Q137,U137,Y137,AC137,AG137,AK137,AO137)</f>
        <v/>
      </c>
      <c r="AS137" s="152">
        <f>SUM(F137,J137,N137,R137,V137,Z137,AD137,AH137,AL137,AP137)</f>
        <v/>
      </c>
      <c r="AT137" s="152">
        <f>IF(B137&gt;AS$6,NA(),B137)</f>
        <v/>
      </c>
      <c r="AU137" s="152">
        <f>IF(B137&gt;AS$6,NA(),AS137)</f>
        <v/>
      </c>
      <c r="AV137" s="152" t="n"/>
      <c r="AW137" s="152" t="n">
        <v>126</v>
      </c>
      <c r="AX137" s="152">
        <f>IF(BA136&lt;=0.005,0,BA136*(1+AX$6))</f>
        <v/>
      </c>
      <c r="AY137" s="152">
        <f>MIN(AX137,AX$7)</f>
        <v/>
      </c>
      <c r="AZ137" s="152">
        <f>MAX(0,MIN(AX137-AY137,CL137))</f>
        <v/>
      </c>
      <c r="BA137" s="152">
        <f>AX137-AY137-AZ137</f>
        <v/>
      </c>
      <c r="BB137" s="152">
        <f>IF(BE136&lt;=0.005,0,BE136*(1+BB$6))</f>
        <v/>
      </c>
      <c r="BC137" s="152">
        <f>MIN(BB137,BB$7)</f>
        <v/>
      </c>
      <c r="BD137" s="152">
        <f>MAX(0,MIN(BB137-BC137,CL137-(AZ137)))</f>
        <v/>
      </c>
      <c r="BE137" s="152">
        <f>BB137-BC137-BD137</f>
        <v/>
      </c>
      <c r="BF137" s="152">
        <f>IF(BI136&lt;=0.005,0,BI136*(1+BF$6))</f>
        <v/>
      </c>
      <c r="BG137" s="152">
        <f>MIN(BF137,BF$7)</f>
        <v/>
      </c>
      <c r="BH137" s="152">
        <f>MAX(0,MIN(BF137-BG137,CL137-(AZ137+BD137)))</f>
        <v/>
      </c>
      <c r="BI137" s="152">
        <f>BF137-BG137-BH137</f>
        <v/>
      </c>
      <c r="BJ137" s="152">
        <f>IF(BM136&lt;=0.005,0,BM136*(1+BJ$6))</f>
        <v/>
      </c>
      <c r="BK137" s="152">
        <f>MIN(BJ137,BJ$7)</f>
        <v/>
      </c>
      <c r="BL137" s="152">
        <f>MAX(0,MIN(BJ137-BK137,CL137-(AZ137+BD137+BH137)))</f>
        <v/>
      </c>
      <c r="BM137" s="152">
        <f>BJ137-BK137-BL137</f>
        <v/>
      </c>
      <c r="BN137" s="152">
        <f>IF(BQ136&lt;=0.005,0,BQ136*(1+BN$6))</f>
        <v/>
      </c>
      <c r="BO137" s="152">
        <f>MIN(BN137,BN$7)</f>
        <v/>
      </c>
      <c r="BP137" s="152">
        <f>MAX(0,MIN(BN137-BO137,CL137-(AZ137+BD137+BH137+BL137)))</f>
        <v/>
      </c>
      <c r="BQ137" s="152">
        <f>BN137-BO137-BP137</f>
        <v/>
      </c>
      <c r="BR137" s="152">
        <f>IF(BU136&lt;=0.005,0,BU136*(1+BR$6))</f>
        <v/>
      </c>
      <c r="BS137" s="152">
        <f>MIN(BR137,BR$7)</f>
        <v/>
      </c>
      <c r="BT137" s="152">
        <f>MAX(0,MIN(BR137-BS137,CL137-(AZ137+BD137+BH137+BL137+BP137)))</f>
        <v/>
      </c>
      <c r="BU137" s="152">
        <f>BR137-BS137-BT137</f>
        <v/>
      </c>
      <c r="BV137" s="152">
        <f>IF(BY136&lt;=0.005,0,BY136*(1+BV$6))</f>
        <v/>
      </c>
      <c r="BW137" s="152">
        <f>MIN(BV137,BV$7)</f>
        <v/>
      </c>
      <c r="BX137" s="152">
        <f>MAX(0,MIN(BV137-BW137,CL137-(AZ137+BD137+BH137+BL137+BP137+BT137)))</f>
        <v/>
      </c>
      <c r="BY137" s="152">
        <f>BV137-BW137-BX137</f>
        <v/>
      </c>
      <c r="BZ137" s="152">
        <f>IF(CC136&lt;=0.005,0,CC136*(1+BZ$6))</f>
        <v/>
      </c>
      <c r="CA137" s="152">
        <f>MIN(BZ137,BZ$7)</f>
        <v/>
      </c>
      <c r="CB137" s="152">
        <f>MAX(0,MIN(BZ137-CA137,CL137-(AZ137+BD137+BH137+BL137+BP137+BT137+BX137)))</f>
        <v/>
      </c>
      <c r="CC137" s="152">
        <f>BZ137-CA137-CB137</f>
        <v/>
      </c>
      <c r="CD137" s="152">
        <f>IF(CG136&lt;=0.005,0,CG136*(1+CD$6))</f>
        <v/>
      </c>
      <c r="CE137" s="152">
        <f>MIN(CD137,CD$7)</f>
        <v/>
      </c>
      <c r="CF137" s="152">
        <f>MAX(0,MIN(CD137-CE137,CL137-(AZ137+BD137+BH137+BL137+BP137+BT137+BX137+CB137)))</f>
        <v/>
      </c>
      <c r="CG137" s="152">
        <f>CD137-CE137-CF137</f>
        <v/>
      </c>
      <c r="CH137" s="152">
        <f>IF(CK136&lt;=0.005,0,CK136*(1+CH$6))</f>
        <v/>
      </c>
      <c r="CI137" s="152">
        <f>MIN(CH137,CH$7)</f>
        <v/>
      </c>
      <c r="CJ137" s="152">
        <f>MAX(0,MIN(CH137-CI137,CL137-(AZ137+BD137+BH137+BL137+BP137+BT137+BX137+CB137+CF137)))</f>
        <v/>
      </c>
      <c r="CK137" s="152">
        <f>CH137-CI137-CJ137</f>
        <v/>
      </c>
      <c r="CL137" s="152">
        <f>'Debt Payoff'!$C$8-SUM(AY137,BC137,BG137,BK137,BO137,BS137,BW137,CA137,CE137,CI137)</f>
        <v/>
      </c>
      <c r="CM137" s="152">
        <f>SUM(AY137,BC137,BG137,BK137,BO137,BS137,BW137,CA137,CE137,CI137)+SUM(AZ137,BD137,BH137,BL137,BP137,BT137,BX137,CB137,CF137,CJ137)</f>
        <v/>
      </c>
      <c r="CN137" s="152">
        <f>SUM(BA137,BE137,BI137,BM137,BQ137,BU137,BY137,CC137,CG137,CK137)</f>
        <v/>
      </c>
      <c r="CO137" s="152">
        <f>IF(AW137&gt;CN$6,NA(),AW137)</f>
        <v/>
      </c>
      <c r="CP137" s="152">
        <f>IF(AW137&gt;CN$6,NA(),CN137)</f>
        <v/>
      </c>
    </row>
    <row r="138">
      <c r="B138" s="152" t="n">
        <v>127</v>
      </c>
      <c r="C138" s="152">
        <f>IF(F137&lt;=0.005,0,F137*(1+C$6))</f>
        <v/>
      </c>
      <c r="D138" s="152">
        <f>MIN(C138,C$7)</f>
        <v/>
      </c>
      <c r="E138" s="152">
        <f>MAX(0,MIN(C138-D138,AQ138))</f>
        <v/>
      </c>
      <c r="F138" s="152">
        <f>C138-D138-E138</f>
        <v/>
      </c>
      <c r="G138" s="152">
        <f>IF(J137&lt;=0.005,0,J137*(1+G$6))</f>
        <v/>
      </c>
      <c r="H138" s="152">
        <f>MIN(G138,G$7)</f>
        <v/>
      </c>
      <c r="I138" s="152">
        <f>MAX(0,MIN(G138-H138,AQ138-(E138)))</f>
        <v/>
      </c>
      <c r="J138" s="152">
        <f>G138-H138-I138</f>
        <v/>
      </c>
      <c r="K138" s="152">
        <f>IF(N137&lt;=0.005,0,N137*(1+K$6))</f>
        <v/>
      </c>
      <c r="L138" s="152">
        <f>MIN(K138,K$7)</f>
        <v/>
      </c>
      <c r="M138" s="152">
        <f>MAX(0,MIN(K138-L138,AQ138-(E138+I138)))</f>
        <v/>
      </c>
      <c r="N138" s="152">
        <f>K138-L138-M138</f>
        <v/>
      </c>
      <c r="O138" s="152">
        <f>IF(R137&lt;=0.005,0,R137*(1+O$6))</f>
        <v/>
      </c>
      <c r="P138" s="152">
        <f>MIN(O138,O$7)</f>
        <v/>
      </c>
      <c r="Q138" s="152">
        <f>MAX(0,MIN(O138-P138,AQ138-(E138+I138+M138)))</f>
        <v/>
      </c>
      <c r="R138" s="152">
        <f>O138-P138-Q138</f>
        <v/>
      </c>
      <c r="S138" s="152">
        <f>IF(V137&lt;=0.005,0,V137*(1+S$6))</f>
        <v/>
      </c>
      <c r="T138" s="152">
        <f>MIN(S138,S$7)</f>
        <v/>
      </c>
      <c r="U138" s="152">
        <f>MAX(0,MIN(S138-T138,AQ138-(E138+I138+M138+Q138)))</f>
        <v/>
      </c>
      <c r="V138" s="152">
        <f>S138-T138-U138</f>
        <v/>
      </c>
      <c r="W138" s="152">
        <f>IF(Z137&lt;=0.005,0,Z137*(1+W$6))</f>
        <v/>
      </c>
      <c r="X138" s="152">
        <f>MIN(W138,W$7)</f>
        <v/>
      </c>
      <c r="Y138" s="152">
        <f>MAX(0,MIN(W138-X138,AQ138-(E138+I138+M138+Q138+U138)))</f>
        <v/>
      </c>
      <c r="Z138" s="152">
        <f>W138-X138-Y138</f>
        <v/>
      </c>
      <c r="AA138" s="152">
        <f>IF(AD137&lt;=0.005,0,AD137*(1+AA$6))</f>
        <v/>
      </c>
      <c r="AB138" s="152">
        <f>MIN(AA138,AA$7)</f>
        <v/>
      </c>
      <c r="AC138" s="152">
        <f>MAX(0,MIN(AA138-AB138,AQ138-(E138+I138+M138+Q138+U138+Y138)))</f>
        <v/>
      </c>
      <c r="AD138" s="152">
        <f>AA138-AB138-AC138</f>
        <v/>
      </c>
      <c r="AE138" s="152">
        <f>IF(AH137&lt;=0.005,0,AH137*(1+AE$6))</f>
        <v/>
      </c>
      <c r="AF138" s="152">
        <f>MIN(AE138,AE$7)</f>
        <v/>
      </c>
      <c r="AG138" s="152">
        <f>MAX(0,MIN(AE138-AF138,AQ138-(E138+I138+M138+Q138+U138+Y138+AC138)))</f>
        <v/>
      </c>
      <c r="AH138" s="152">
        <f>AE138-AF138-AG138</f>
        <v/>
      </c>
      <c r="AI138" s="152">
        <f>IF(AL137&lt;=0.005,0,AL137*(1+AI$6))</f>
        <v/>
      </c>
      <c r="AJ138" s="152">
        <f>MIN(AI138,AI$7)</f>
        <v/>
      </c>
      <c r="AK138" s="152">
        <f>MAX(0,MIN(AI138-AJ138,AQ138-(E138+I138+M138+Q138+U138+Y138+AC138+AG138)))</f>
        <v/>
      </c>
      <c r="AL138" s="152">
        <f>AI138-AJ138-AK138</f>
        <v/>
      </c>
      <c r="AM138" s="152">
        <f>IF(AP137&lt;=0.005,0,AP137*(1+AM$6))</f>
        <v/>
      </c>
      <c r="AN138" s="152">
        <f>MIN(AM138,AM$7)</f>
        <v/>
      </c>
      <c r="AO138" s="152">
        <f>MAX(0,MIN(AM138-AN138,AQ138-(E138+I138+M138+Q138+U138+Y138+AC138+AG138+AK138)))</f>
        <v/>
      </c>
      <c r="AP138" s="152">
        <f>AM138-AN138-AO138</f>
        <v/>
      </c>
      <c r="AQ138" s="152">
        <f>'Debt Payoff'!$C$8-SUM(D138,H138,L138,P138,T138,X138,AB138,AF138,AJ138,AN138)</f>
        <v/>
      </c>
      <c r="AR138" s="152">
        <f>SUM(D138,H138,L138,P138,T138,X138,AB138,AF138,AJ138,AN138)+SUM(E138,I138,M138,Q138,U138,Y138,AC138,AG138,AK138,AO138)</f>
        <v/>
      </c>
      <c r="AS138" s="152">
        <f>SUM(F138,J138,N138,R138,V138,Z138,AD138,AH138,AL138,AP138)</f>
        <v/>
      </c>
      <c r="AT138" s="152">
        <f>IF(B138&gt;AS$6,NA(),B138)</f>
        <v/>
      </c>
      <c r="AU138" s="152">
        <f>IF(B138&gt;AS$6,NA(),AS138)</f>
        <v/>
      </c>
      <c r="AV138" s="152" t="n"/>
      <c r="AW138" s="152" t="n">
        <v>127</v>
      </c>
      <c r="AX138" s="152">
        <f>IF(BA137&lt;=0.005,0,BA137*(1+AX$6))</f>
        <v/>
      </c>
      <c r="AY138" s="152">
        <f>MIN(AX138,AX$7)</f>
        <v/>
      </c>
      <c r="AZ138" s="152">
        <f>MAX(0,MIN(AX138-AY138,CL138))</f>
        <v/>
      </c>
      <c r="BA138" s="152">
        <f>AX138-AY138-AZ138</f>
        <v/>
      </c>
      <c r="BB138" s="152">
        <f>IF(BE137&lt;=0.005,0,BE137*(1+BB$6))</f>
        <v/>
      </c>
      <c r="BC138" s="152">
        <f>MIN(BB138,BB$7)</f>
        <v/>
      </c>
      <c r="BD138" s="152">
        <f>MAX(0,MIN(BB138-BC138,CL138-(AZ138)))</f>
        <v/>
      </c>
      <c r="BE138" s="152">
        <f>BB138-BC138-BD138</f>
        <v/>
      </c>
      <c r="BF138" s="152">
        <f>IF(BI137&lt;=0.005,0,BI137*(1+BF$6))</f>
        <v/>
      </c>
      <c r="BG138" s="152">
        <f>MIN(BF138,BF$7)</f>
        <v/>
      </c>
      <c r="BH138" s="152">
        <f>MAX(0,MIN(BF138-BG138,CL138-(AZ138+BD138)))</f>
        <v/>
      </c>
      <c r="BI138" s="152">
        <f>BF138-BG138-BH138</f>
        <v/>
      </c>
      <c r="BJ138" s="152">
        <f>IF(BM137&lt;=0.005,0,BM137*(1+BJ$6))</f>
        <v/>
      </c>
      <c r="BK138" s="152">
        <f>MIN(BJ138,BJ$7)</f>
        <v/>
      </c>
      <c r="BL138" s="152">
        <f>MAX(0,MIN(BJ138-BK138,CL138-(AZ138+BD138+BH138)))</f>
        <v/>
      </c>
      <c r="BM138" s="152">
        <f>BJ138-BK138-BL138</f>
        <v/>
      </c>
      <c r="BN138" s="152">
        <f>IF(BQ137&lt;=0.005,0,BQ137*(1+BN$6))</f>
        <v/>
      </c>
      <c r="BO138" s="152">
        <f>MIN(BN138,BN$7)</f>
        <v/>
      </c>
      <c r="BP138" s="152">
        <f>MAX(0,MIN(BN138-BO138,CL138-(AZ138+BD138+BH138+BL138)))</f>
        <v/>
      </c>
      <c r="BQ138" s="152">
        <f>BN138-BO138-BP138</f>
        <v/>
      </c>
      <c r="BR138" s="152">
        <f>IF(BU137&lt;=0.005,0,BU137*(1+BR$6))</f>
        <v/>
      </c>
      <c r="BS138" s="152">
        <f>MIN(BR138,BR$7)</f>
        <v/>
      </c>
      <c r="BT138" s="152">
        <f>MAX(0,MIN(BR138-BS138,CL138-(AZ138+BD138+BH138+BL138+BP138)))</f>
        <v/>
      </c>
      <c r="BU138" s="152">
        <f>BR138-BS138-BT138</f>
        <v/>
      </c>
      <c r="BV138" s="152">
        <f>IF(BY137&lt;=0.005,0,BY137*(1+BV$6))</f>
        <v/>
      </c>
      <c r="BW138" s="152">
        <f>MIN(BV138,BV$7)</f>
        <v/>
      </c>
      <c r="BX138" s="152">
        <f>MAX(0,MIN(BV138-BW138,CL138-(AZ138+BD138+BH138+BL138+BP138+BT138)))</f>
        <v/>
      </c>
      <c r="BY138" s="152">
        <f>BV138-BW138-BX138</f>
        <v/>
      </c>
      <c r="BZ138" s="152">
        <f>IF(CC137&lt;=0.005,0,CC137*(1+BZ$6))</f>
        <v/>
      </c>
      <c r="CA138" s="152">
        <f>MIN(BZ138,BZ$7)</f>
        <v/>
      </c>
      <c r="CB138" s="152">
        <f>MAX(0,MIN(BZ138-CA138,CL138-(AZ138+BD138+BH138+BL138+BP138+BT138+BX138)))</f>
        <v/>
      </c>
      <c r="CC138" s="152">
        <f>BZ138-CA138-CB138</f>
        <v/>
      </c>
      <c r="CD138" s="152">
        <f>IF(CG137&lt;=0.005,0,CG137*(1+CD$6))</f>
        <v/>
      </c>
      <c r="CE138" s="152">
        <f>MIN(CD138,CD$7)</f>
        <v/>
      </c>
      <c r="CF138" s="152">
        <f>MAX(0,MIN(CD138-CE138,CL138-(AZ138+BD138+BH138+BL138+BP138+BT138+BX138+CB138)))</f>
        <v/>
      </c>
      <c r="CG138" s="152">
        <f>CD138-CE138-CF138</f>
        <v/>
      </c>
      <c r="CH138" s="152">
        <f>IF(CK137&lt;=0.005,0,CK137*(1+CH$6))</f>
        <v/>
      </c>
      <c r="CI138" s="152">
        <f>MIN(CH138,CH$7)</f>
        <v/>
      </c>
      <c r="CJ138" s="152">
        <f>MAX(0,MIN(CH138-CI138,CL138-(AZ138+BD138+BH138+BL138+BP138+BT138+BX138+CB138+CF138)))</f>
        <v/>
      </c>
      <c r="CK138" s="152">
        <f>CH138-CI138-CJ138</f>
        <v/>
      </c>
      <c r="CL138" s="152">
        <f>'Debt Payoff'!$C$8-SUM(AY138,BC138,BG138,BK138,BO138,BS138,BW138,CA138,CE138,CI138)</f>
        <v/>
      </c>
      <c r="CM138" s="152">
        <f>SUM(AY138,BC138,BG138,BK138,BO138,BS138,BW138,CA138,CE138,CI138)+SUM(AZ138,BD138,BH138,BL138,BP138,BT138,BX138,CB138,CF138,CJ138)</f>
        <v/>
      </c>
      <c r="CN138" s="152">
        <f>SUM(BA138,BE138,BI138,BM138,BQ138,BU138,BY138,CC138,CG138,CK138)</f>
        <v/>
      </c>
      <c r="CO138" s="152">
        <f>IF(AW138&gt;CN$6,NA(),AW138)</f>
        <v/>
      </c>
      <c r="CP138" s="152">
        <f>IF(AW138&gt;CN$6,NA(),CN138)</f>
        <v/>
      </c>
    </row>
    <row r="139">
      <c r="B139" s="152" t="n">
        <v>128</v>
      </c>
      <c r="C139" s="152">
        <f>IF(F138&lt;=0.005,0,F138*(1+C$6))</f>
        <v/>
      </c>
      <c r="D139" s="152">
        <f>MIN(C139,C$7)</f>
        <v/>
      </c>
      <c r="E139" s="152">
        <f>MAX(0,MIN(C139-D139,AQ139))</f>
        <v/>
      </c>
      <c r="F139" s="152">
        <f>C139-D139-E139</f>
        <v/>
      </c>
      <c r="G139" s="152">
        <f>IF(J138&lt;=0.005,0,J138*(1+G$6))</f>
        <v/>
      </c>
      <c r="H139" s="152">
        <f>MIN(G139,G$7)</f>
        <v/>
      </c>
      <c r="I139" s="152">
        <f>MAX(0,MIN(G139-H139,AQ139-(E139)))</f>
        <v/>
      </c>
      <c r="J139" s="152">
        <f>G139-H139-I139</f>
        <v/>
      </c>
      <c r="K139" s="152">
        <f>IF(N138&lt;=0.005,0,N138*(1+K$6))</f>
        <v/>
      </c>
      <c r="L139" s="152">
        <f>MIN(K139,K$7)</f>
        <v/>
      </c>
      <c r="M139" s="152">
        <f>MAX(0,MIN(K139-L139,AQ139-(E139+I139)))</f>
        <v/>
      </c>
      <c r="N139" s="152">
        <f>K139-L139-M139</f>
        <v/>
      </c>
      <c r="O139" s="152">
        <f>IF(R138&lt;=0.005,0,R138*(1+O$6))</f>
        <v/>
      </c>
      <c r="P139" s="152">
        <f>MIN(O139,O$7)</f>
        <v/>
      </c>
      <c r="Q139" s="152">
        <f>MAX(0,MIN(O139-P139,AQ139-(E139+I139+M139)))</f>
        <v/>
      </c>
      <c r="R139" s="152">
        <f>O139-P139-Q139</f>
        <v/>
      </c>
      <c r="S139" s="152">
        <f>IF(V138&lt;=0.005,0,V138*(1+S$6))</f>
        <v/>
      </c>
      <c r="T139" s="152">
        <f>MIN(S139,S$7)</f>
        <v/>
      </c>
      <c r="U139" s="152">
        <f>MAX(0,MIN(S139-T139,AQ139-(E139+I139+M139+Q139)))</f>
        <v/>
      </c>
      <c r="V139" s="152">
        <f>S139-T139-U139</f>
        <v/>
      </c>
      <c r="W139" s="152">
        <f>IF(Z138&lt;=0.005,0,Z138*(1+W$6))</f>
        <v/>
      </c>
      <c r="X139" s="152">
        <f>MIN(W139,W$7)</f>
        <v/>
      </c>
      <c r="Y139" s="152">
        <f>MAX(0,MIN(W139-X139,AQ139-(E139+I139+M139+Q139+U139)))</f>
        <v/>
      </c>
      <c r="Z139" s="152">
        <f>W139-X139-Y139</f>
        <v/>
      </c>
      <c r="AA139" s="152">
        <f>IF(AD138&lt;=0.005,0,AD138*(1+AA$6))</f>
        <v/>
      </c>
      <c r="AB139" s="152">
        <f>MIN(AA139,AA$7)</f>
        <v/>
      </c>
      <c r="AC139" s="152">
        <f>MAX(0,MIN(AA139-AB139,AQ139-(E139+I139+M139+Q139+U139+Y139)))</f>
        <v/>
      </c>
      <c r="AD139" s="152">
        <f>AA139-AB139-AC139</f>
        <v/>
      </c>
      <c r="AE139" s="152">
        <f>IF(AH138&lt;=0.005,0,AH138*(1+AE$6))</f>
        <v/>
      </c>
      <c r="AF139" s="152">
        <f>MIN(AE139,AE$7)</f>
        <v/>
      </c>
      <c r="AG139" s="152">
        <f>MAX(0,MIN(AE139-AF139,AQ139-(E139+I139+M139+Q139+U139+Y139+AC139)))</f>
        <v/>
      </c>
      <c r="AH139" s="152">
        <f>AE139-AF139-AG139</f>
        <v/>
      </c>
      <c r="AI139" s="152">
        <f>IF(AL138&lt;=0.005,0,AL138*(1+AI$6))</f>
        <v/>
      </c>
      <c r="AJ139" s="152">
        <f>MIN(AI139,AI$7)</f>
        <v/>
      </c>
      <c r="AK139" s="152">
        <f>MAX(0,MIN(AI139-AJ139,AQ139-(E139+I139+M139+Q139+U139+Y139+AC139+AG139)))</f>
        <v/>
      </c>
      <c r="AL139" s="152">
        <f>AI139-AJ139-AK139</f>
        <v/>
      </c>
      <c r="AM139" s="152">
        <f>IF(AP138&lt;=0.005,0,AP138*(1+AM$6))</f>
        <v/>
      </c>
      <c r="AN139" s="152">
        <f>MIN(AM139,AM$7)</f>
        <v/>
      </c>
      <c r="AO139" s="152">
        <f>MAX(0,MIN(AM139-AN139,AQ139-(E139+I139+M139+Q139+U139+Y139+AC139+AG139+AK139)))</f>
        <v/>
      </c>
      <c r="AP139" s="152">
        <f>AM139-AN139-AO139</f>
        <v/>
      </c>
      <c r="AQ139" s="152">
        <f>'Debt Payoff'!$C$8-SUM(D139,H139,L139,P139,T139,X139,AB139,AF139,AJ139,AN139)</f>
        <v/>
      </c>
      <c r="AR139" s="152">
        <f>SUM(D139,H139,L139,P139,T139,X139,AB139,AF139,AJ139,AN139)+SUM(E139,I139,M139,Q139,U139,Y139,AC139,AG139,AK139,AO139)</f>
        <v/>
      </c>
      <c r="AS139" s="152">
        <f>SUM(F139,J139,N139,R139,V139,Z139,AD139,AH139,AL139,AP139)</f>
        <v/>
      </c>
      <c r="AT139" s="152">
        <f>IF(B139&gt;AS$6,NA(),B139)</f>
        <v/>
      </c>
      <c r="AU139" s="152">
        <f>IF(B139&gt;AS$6,NA(),AS139)</f>
        <v/>
      </c>
      <c r="AV139" s="152" t="n"/>
      <c r="AW139" s="152" t="n">
        <v>128</v>
      </c>
      <c r="AX139" s="152">
        <f>IF(BA138&lt;=0.005,0,BA138*(1+AX$6))</f>
        <v/>
      </c>
      <c r="AY139" s="152">
        <f>MIN(AX139,AX$7)</f>
        <v/>
      </c>
      <c r="AZ139" s="152">
        <f>MAX(0,MIN(AX139-AY139,CL139))</f>
        <v/>
      </c>
      <c r="BA139" s="152">
        <f>AX139-AY139-AZ139</f>
        <v/>
      </c>
      <c r="BB139" s="152">
        <f>IF(BE138&lt;=0.005,0,BE138*(1+BB$6))</f>
        <v/>
      </c>
      <c r="BC139" s="152">
        <f>MIN(BB139,BB$7)</f>
        <v/>
      </c>
      <c r="BD139" s="152">
        <f>MAX(0,MIN(BB139-BC139,CL139-(AZ139)))</f>
        <v/>
      </c>
      <c r="BE139" s="152">
        <f>BB139-BC139-BD139</f>
        <v/>
      </c>
      <c r="BF139" s="152">
        <f>IF(BI138&lt;=0.005,0,BI138*(1+BF$6))</f>
        <v/>
      </c>
      <c r="BG139" s="152">
        <f>MIN(BF139,BF$7)</f>
        <v/>
      </c>
      <c r="BH139" s="152">
        <f>MAX(0,MIN(BF139-BG139,CL139-(AZ139+BD139)))</f>
        <v/>
      </c>
      <c r="BI139" s="152">
        <f>BF139-BG139-BH139</f>
        <v/>
      </c>
      <c r="BJ139" s="152">
        <f>IF(BM138&lt;=0.005,0,BM138*(1+BJ$6))</f>
        <v/>
      </c>
      <c r="BK139" s="152">
        <f>MIN(BJ139,BJ$7)</f>
        <v/>
      </c>
      <c r="BL139" s="152">
        <f>MAX(0,MIN(BJ139-BK139,CL139-(AZ139+BD139+BH139)))</f>
        <v/>
      </c>
      <c r="BM139" s="152">
        <f>BJ139-BK139-BL139</f>
        <v/>
      </c>
      <c r="BN139" s="152">
        <f>IF(BQ138&lt;=0.005,0,BQ138*(1+BN$6))</f>
        <v/>
      </c>
      <c r="BO139" s="152">
        <f>MIN(BN139,BN$7)</f>
        <v/>
      </c>
      <c r="BP139" s="152">
        <f>MAX(0,MIN(BN139-BO139,CL139-(AZ139+BD139+BH139+BL139)))</f>
        <v/>
      </c>
      <c r="BQ139" s="152">
        <f>BN139-BO139-BP139</f>
        <v/>
      </c>
      <c r="BR139" s="152">
        <f>IF(BU138&lt;=0.005,0,BU138*(1+BR$6))</f>
        <v/>
      </c>
      <c r="BS139" s="152">
        <f>MIN(BR139,BR$7)</f>
        <v/>
      </c>
      <c r="BT139" s="152">
        <f>MAX(0,MIN(BR139-BS139,CL139-(AZ139+BD139+BH139+BL139+BP139)))</f>
        <v/>
      </c>
      <c r="BU139" s="152">
        <f>BR139-BS139-BT139</f>
        <v/>
      </c>
      <c r="BV139" s="152">
        <f>IF(BY138&lt;=0.005,0,BY138*(1+BV$6))</f>
        <v/>
      </c>
      <c r="BW139" s="152">
        <f>MIN(BV139,BV$7)</f>
        <v/>
      </c>
      <c r="BX139" s="152">
        <f>MAX(0,MIN(BV139-BW139,CL139-(AZ139+BD139+BH139+BL139+BP139+BT139)))</f>
        <v/>
      </c>
      <c r="BY139" s="152">
        <f>BV139-BW139-BX139</f>
        <v/>
      </c>
      <c r="BZ139" s="152">
        <f>IF(CC138&lt;=0.005,0,CC138*(1+BZ$6))</f>
        <v/>
      </c>
      <c r="CA139" s="152">
        <f>MIN(BZ139,BZ$7)</f>
        <v/>
      </c>
      <c r="CB139" s="152">
        <f>MAX(0,MIN(BZ139-CA139,CL139-(AZ139+BD139+BH139+BL139+BP139+BT139+BX139)))</f>
        <v/>
      </c>
      <c r="CC139" s="152">
        <f>BZ139-CA139-CB139</f>
        <v/>
      </c>
      <c r="CD139" s="152">
        <f>IF(CG138&lt;=0.005,0,CG138*(1+CD$6))</f>
        <v/>
      </c>
      <c r="CE139" s="152">
        <f>MIN(CD139,CD$7)</f>
        <v/>
      </c>
      <c r="CF139" s="152">
        <f>MAX(0,MIN(CD139-CE139,CL139-(AZ139+BD139+BH139+BL139+BP139+BT139+BX139+CB139)))</f>
        <v/>
      </c>
      <c r="CG139" s="152">
        <f>CD139-CE139-CF139</f>
        <v/>
      </c>
      <c r="CH139" s="152">
        <f>IF(CK138&lt;=0.005,0,CK138*(1+CH$6))</f>
        <v/>
      </c>
      <c r="CI139" s="152">
        <f>MIN(CH139,CH$7)</f>
        <v/>
      </c>
      <c r="CJ139" s="152">
        <f>MAX(0,MIN(CH139-CI139,CL139-(AZ139+BD139+BH139+BL139+BP139+BT139+BX139+CB139+CF139)))</f>
        <v/>
      </c>
      <c r="CK139" s="152">
        <f>CH139-CI139-CJ139</f>
        <v/>
      </c>
      <c r="CL139" s="152">
        <f>'Debt Payoff'!$C$8-SUM(AY139,BC139,BG139,BK139,BO139,BS139,BW139,CA139,CE139,CI139)</f>
        <v/>
      </c>
      <c r="CM139" s="152">
        <f>SUM(AY139,BC139,BG139,BK139,BO139,BS139,BW139,CA139,CE139,CI139)+SUM(AZ139,BD139,BH139,BL139,BP139,BT139,BX139,CB139,CF139,CJ139)</f>
        <v/>
      </c>
      <c r="CN139" s="152">
        <f>SUM(BA139,BE139,BI139,BM139,BQ139,BU139,BY139,CC139,CG139,CK139)</f>
        <v/>
      </c>
      <c r="CO139" s="152">
        <f>IF(AW139&gt;CN$6,NA(),AW139)</f>
        <v/>
      </c>
      <c r="CP139" s="152">
        <f>IF(AW139&gt;CN$6,NA(),CN139)</f>
        <v/>
      </c>
    </row>
    <row r="140">
      <c r="B140" s="152" t="n">
        <v>129</v>
      </c>
      <c r="C140" s="152">
        <f>IF(F139&lt;=0.005,0,F139*(1+C$6))</f>
        <v/>
      </c>
      <c r="D140" s="152">
        <f>MIN(C140,C$7)</f>
        <v/>
      </c>
      <c r="E140" s="152">
        <f>MAX(0,MIN(C140-D140,AQ140))</f>
        <v/>
      </c>
      <c r="F140" s="152">
        <f>C140-D140-E140</f>
        <v/>
      </c>
      <c r="G140" s="152">
        <f>IF(J139&lt;=0.005,0,J139*(1+G$6))</f>
        <v/>
      </c>
      <c r="H140" s="152">
        <f>MIN(G140,G$7)</f>
        <v/>
      </c>
      <c r="I140" s="152">
        <f>MAX(0,MIN(G140-H140,AQ140-(E140)))</f>
        <v/>
      </c>
      <c r="J140" s="152">
        <f>G140-H140-I140</f>
        <v/>
      </c>
      <c r="K140" s="152">
        <f>IF(N139&lt;=0.005,0,N139*(1+K$6))</f>
        <v/>
      </c>
      <c r="L140" s="152">
        <f>MIN(K140,K$7)</f>
        <v/>
      </c>
      <c r="M140" s="152">
        <f>MAX(0,MIN(K140-L140,AQ140-(E140+I140)))</f>
        <v/>
      </c>
      <c r="N140" s="152">
        <f>K140-L140-M140</f>
        <v/>
      </c>
      <c r="O140" s="152">
        <f>IF(R139&lt;=0.005,0,R139*(1+O$6))</f>
        <v/>
      </c>
      <c r="P140" s="152">
        <f>MIN(O140,O$7)</f>
        <v/>
      </c>
      <c r="Q140" s="152">
        <f>MAX(0,MIN(O140-P140,AQ140-(E140+I140+M140)))</f>
        <v/>
      </c>
      <c r="R140" s="152">
        <f>O140-P140-Q140</f>
        <v/>
      </c>
      <c r="S140" s="152">
        <f>IF(V139&lt;=0.005,0,V139*(1+S$6))</f>
        <v/>
      </c>
      <c r="T140" s="152">
        <f>MIN(S140,S$7)</f>
        <v/>
      </c>
      <c r="U140" s="152">
        <f>MAX(0,MIN(S140-T140,AQ140-(E140+I140+M140+Q140)))</f>
        <v/>
      </c>
      <c r="V140" s="152">
        <f>S140-T140-U140</f>
        <v/>
      </c>
      <c r="W140" s="152">
        <f>IF(Z139&lt;=0.005,0,Z139*(1+W$6))</f>
        <v/>
      </c>
      <c r="X140" s="152">
        <f>MIN(W140,W$7)</f>
        <v/>
      </c>
      <c r="Y140" s="152">
        <f>MAX(0,MIN(W140-X140,AQ140-(E140+I140+M140+Q140+U140)))</f>
        <v/>
      </c>
      <c r="Z140" s="152">
        <f>W140-X140-Y140</f>
        <v/>
      </c>
      <c r="AA140" s="152">
        <f>IF(AD139&lt;=0.005,0,AD139*(1+AA$6))</f>
        <v/>
      </c>
      <c r="AB140" s="152">
        <f>MIN(AA140,AA$7)</f>
        <v/>
      </c>
      <c r="AC140" s="152">
        <f>MAX(0,MIN(AA140-AB140,AQ140-(E140+I140+M140+Q140+U140+Y140)))</f>
        <v/>
      </c>
      <c r="AD140" s="152">
        <f>AA140-AB140-AC140</f>
        <v/>
      </c>
      <c r="AE140" s="152">
        <f>IF(AH139&lt;=0.005,0,AH139*(1+AE$6))</f>
        <v/>
      </c>
      <c r="AF140" s="152">
        <f>MIN(AE140,AE$7)</f>
        <v/>
      </c>
      <c r="AG140" s="152">
        <f>MAX(0,MIN(AE140-AF140,AQ140-(E140+I140+M140+Q140+U140+Y140+AC140)))</f>
        <v/>
      </c>
      <c r="AH140" s="152">
        <f>AE140-AF140-AG140</f>
        <v/>
      </c>
      <c r="AI140" s="152">
        <f>IF(AL139&lt;=0.005,0,AL139*(1+AI$6))</f>
        <v/>
      </c>
      <c r="AJ140" s="152">
        <f>MIN(AI140,AI$7)</f>
        <v/>
      </c>
      <c r="AK140" s="152">
        <f>MAX(0,MIN(AI140-AJ140,AQ140-(E140+I140+M140+Q140+U140+Y140+AC140+AG140)))</f>
        <v/>
      </c>
      <c r="AL140" s="152">
        <f>AI140-AJ140-AK140</f>
        <v/>
      </c>
      <c r="AM140" s="152">
        <f>IF(AP139&lt;=0.005,0,AP139*(1+AM$6))</f>
        <v/>
      </c>
      <c r="AN140" s="152">
        <f>MIN(AM140,AM$7)</f>
        <v/>
      </c>
      <c r="AO140" s="152">
        <f>MAX(0,MIN(AM140-AN140,AQ140-(E140+I140+M140+Q140+U140+Y140+AC140+AG140+AK140)))</f>
        <v/>
      </c>
      <c r="AP140" s="152">
        <f>AM140-AN140-AO140</f>
        <v/>
      </c>
      <c r="AQ140" s="152">
        <f>'Debt Payoff'!$C$8-SUM(D140,H140,L140,P140,T140,X140,AB140,AF140,AJ140,AN140)</f>
        <v/>
      </c>
      <c r="AR140" s="152">
        <f>SUM(D140,H140,L140,P140,T140,X140,AB140,AF140,AJ140,AN140)+SUM(E140,I140,M140,Q140,U140,Y140,AC140,AG140,AK140,AO140)</f>
        <v/>
      </c>
      <c r="AS140" s="152">
        <f>SUM(F140,J140,N140,R140,V140,Z140,AD140,AH140,AL140,AP140)</f>
        <v/>
      </c>
      <c r="AT140" s="152">
        <f>IF(B140&gt;AS$6,NA(),B140)</f>
        <v/>
      </c>
      <c r="AU140" s="152">
        <f>IF(B140&gt;AS$6,NA(),AS140)</f>
        <v/>
      </c>
      <c r="AV140" s="152" t="n"/>
      <c r="AW140" s="152" t="n">
        <v>129</v>
      </c>
      <c r="AX140" s="152">
        <f>IF(BA139&lt;=0.005,0,BA139*(1+AX$6))</f>
        <v/>
      </c>
      <c r="AY140" s="152">
        <f>MIN(AX140,AX$7)</f>
        <v/>
      </c>
      <c r="AZ140" s="152">
        <f>MAX(0,MIN(AX140-AY140,CL140))</f>
        <v/>
      </c>
      <c r="BA140" s="152">
        <f>AX140-AY140-AZ140</f>
        <v/>
      </c>
      <c r="BB140" s="152">
        <f>IF(BE139&lt;=0.005,0,BE139*(1+BB$6))</f>
        <v/>
      </c>
      <c r="BC140" s="152">
        <f>MIN(BB140,BB$7)</f>
        <v/>
      </c>
      <c r="BD140" s="152">
        <f>MAX(0,MIN(BB140-BC140,CL140-(AZ140)))</f>
        <v/>
      </c>
      <c r="BE140" s="152">
        <f>BB140-BC140-BD140</f>
        <v/>
      </c>
      <c r="BF140" s="152">
        <f>IF(BI139&lt;=0.005,0,BI139*(1+BF$6))</f>
        <v/>
      </c>
      <c r="BG140" s="152">
        <f>MIN(BF140,BF$7)</f>
        <v/>
      </c>
      <c r="BH140" s="152">
        <f>MAX(0,MIN(BF140-BG140,CL140-(AZ140+BD140)))</f>
        <v/>
      </c>
      <c r="BI140" s="152">
        <f>BF140-BG140-BH140</f>
        <v/>
      </c>
      <c r="BJ140" s="152">
        <f>IF(BM139&lt;=0.005,0,BM139*(1+BJ$6))</f>
        <v/>
      </c>
      <c r="BK140" s="152">
        <f>MIN(BJ140,BJ$7)</f>
        <v/>
      </c>
      <c r="BL140" s="152">
        <f>MAX(0,MIN(BJ140-BK140,CL140-(AZ140+BD140+BH140)))</f>
        <v/>
      </c>
      <c r="BM140" s="152">
        <f>BJ140-BK140-BL140</f>
        <v/>
      </c>
      <c r="BN140" s="152">
        <f>IF(BQ139&lt;=0.005,0,BQ139*(1+BN$6))</f>
        <v/>
      </c>
      <c r="BO140" s="152">
        <f>MIN(BN140,BN$7)</f>
        <v/>
      </c>
      <c r="BP140" s="152">
        <f>MAX(0,MIN(BN140-BO140,CL140-(AZ140+BD140+BH140+BL140)))</f>
        <v/>
      </c>
      <c r="BQ140" s="152">
        <f>BN140-BO140-BP140</f>
        <v/>
      </c>
      <c r="BR140" s="152">
        <f>IF(BU139&lt;=0.005,0,BU139*(1+BR$6))</f>
        <v/>
      </c>
      <c r="BS140" s="152">
        <f>MIN(BR140,BR$7)</f>
        <v/>
      </c>
      <c r="BT140" s="152">
        <f>MAX(0,MIN(BR140-BS140,CL140-(AZ140+BD140+BH140+BL140+BP140)))</f>
        <v/>
      </c>
      <c r="BU140" s="152">
        <f>BR140-BS140-BT140</f>
        <v/>
      </c>
      <c r="BV140" s="152">
        <f>IF(BY139&lt;=0.005,0,BY139*(1+BV$6))</f>
        <v/>
      </c>
      <c r="BW140" s="152">
        <f>MIN(BV140,BV$7)</f>
        <v/>
      </c>
      <c r="BX140" s="152">
        <f>MAX(0,MIN(BV140-BW140,CL140-(AZ140+BD140+BH140+BL140+BP140+BT140)))</f>
        <v/>
      </c>
      <c r="BY140" s="152">
        <f>BV140-BW140-BX140</f>
        <v/>
      </c>
      <c r="BZ140" s="152">
        <f>IF(CC139&lt;=0.005,0,CC139*(1+BZ$6))</f>
        <v/>
      </c>
      <c r="CA140" s="152">
        <f>MIN(BZ140,BZ$7)</f>
        <v/>
      </c>
      <c r="CB140" s="152">
        <f>MAX(0,MIN(BZ140-CA140,CL140-(AZ140+BD140+BH140+BL140+BP140+BT140+BX140)))</f>
        <v/>
      </c>
      <c r="CC140" s="152">
        <f>BZ140-CA140-CB140</f>
        <v/>
      </c>
      <c r="CD140" s="152">
        <f>IF(CG139&lt;=0.005,0,CG139*(1+CD$6))</f>
        <v/>
      </c>
      <c r="CE140" s="152">
        <f>MIN(CD140,CD$7)</f>
        <v/>
      </c>
      <c r="CF140" s="152">
        <f>MAX(0,MIN(CD140-CE140,CL140-(AZ140+BD140+BH140+BL140+BP140+BT140+BX140+CB140)))</f>
        <v/>
      </c>
      <c r="CG140" s="152">
        <f>CD140-CE140-CF140</f>
        <v/>
      </c>
      <c r="CH140" s="152">
        <f>IF(CK139&lt;=0.005,0,CK139*(1+CH$6))</f>
        <v/>
      </c>
      <c r="CI140" s="152">
        <f>MIN(CH140,CH$7)</f>
        <v/>
      </c>
      <c r="CJ140" s="152">
        <f>MAX(0,MIN(CH140-CI140,CL140-(AZ140+BD140+BH140+BL140+BP140+BT140+BX140+CB140+CF140)))</f>
        <v/>
      </c>
      <c r="CK140" s="152">
        <f>CH140-CI140-CJ140</f>
        <v/>
      </c>
      <c r="CL140" s="152">
        <f>'Debt Payoff'!$C$8-SUM(AY140,BC140,BG140,BK140,BO140,BS140,BW140,CA140,CE140,CI140)</f>
        <v/>
      </c>
      <c r="CM140" s="152">
        <f>SUM(AY140,BC140,BG140,BK140,BO140,BS140,BW140,CA140,CE140,CI140)+SUM(AZ140,BD140,BH140,BL140,BP140,BT140,BX140,CB140,CF140,CJ140)</f>
        <v/>
      </c>
      <c r="CN140" s="152">
        <f>SUM(BA140,BE140,BI140,BM140,BQ140,BU140,BY140,CC140,CG140,CK140)</f>
        <v/>
      </c>
      <c r="CO140" s="152">
        <f>IF(AW140&gt;CN$6,NA(),AW140)</f>
        <v/>
      </c>
      <c r="CP140" s="152">
        <f>IF(AW140&gt;CN$6,NA(),CN140)</f>
        <v/>
      </c>
    </row>
    <row r="141">
      <c r="B141" s="152" t="n">
        <v>130</v>
      </c>
      <c r="C141" s="152">
        <f>IF(F140&lt;=0.005,0,F140*(1+C$6))</f>
        <v/>
      </c>
      <c r="D141" s="152">
        <f>MIN(C141,C$7)</f>
        <v/>
      </c>
      <c r="E141" s="152">
        <f>MAX(0,MIN(C141-D141,AQ141))</f>
        <v/>
      </c>
      <c r="F141" s="152">
        <f>C141-D141-E141</f>
        <v/>
      </c>
      <c r="G141" s="152">
        <f>IF(J140&lt;=0.005,0,J140*(1+G$6))</f>
        <v/>
      </c>
      <c r="H141" s="152">
        <f>MIN(G141,G$7)</f>
        <v/>
      </c>
      <c r="I141" s="152">
        <f>MAX(0,MIN(G141-H141,AQ141-(E141)))</f>
        <v/>
      </c>
      <c r="J141" s="152">
        <f>G141-H141-I141</f>
        <v/>
      </c>
      <c r="K141" s="152">
        <f>IF(N140&lt;=0.005,0,N140*(1+K$6))</f>
        <v/>
      </c>
      <c r="L141" s="152">
        <f>MIN(K141,K$7)</f>
        <v/>
      </c>
      <c r="M141" s="152">
        <f>MAX(0,MIN(K141-L141,AQ141-(E141+I141)))</f>
        <v/>
      </c>
      <c r="N141" s="152">
        <f>K141-L141-M141</f>
        <v/>
      </c>
      <c r="O141" s="152">
        <f>IF(R140&lt;=0.005,0,R140*(1+O$6))</f>
        <v/>
      </c>
      <c r="P141" s="152">
        <f>MIN(O141,O$7)</f>
        <v/>
      </c>
      <c r="Q141" s="152">
        <f>MAX(0,MIN(O141-P141,AQ141-(E141+I141+M141)))</f>
        <v/>
      </c>
      <c r="R141" s="152">
        <f>O141-P141-Q141</f>
        <v/>
      </c>
      <c r="S141" s="152">
        <f>IF(V140&lt;=0.005,0,V140*(1+S$6))</f>
        <v/>
      </c>
      <c r="T141" s="152">
        <f>MIN(S141,S$7)</f>
        <v/>
      </c>
      <c r="U141" s="152">
        <f>MAX(0,MIN(S141-T141,AQ141-(E141+I141+M141+Q141)))</f>
        <v/>
      </c>
      <c r="V141" s="152">
        <f>S141-T141-U141</f>
        <v/>
      </c>
      <c r="W141" s="152">
        <f>IF(Z140&lt;=0.005,0,Z140*(1+W$6))</f>
        <v/>
      </c>
      <c r="X141" s="152">
        <f>MIN(W141,W$7)</f>
        <v/>
      </c>
      <c r="Y141" s="152">
        <f>MAX(0,MIN(W141-X141,AQ141-(E141+I141+M141+Q141+U141)))</f>
        <v/>
      </c>
      <c r="Z141" s="152">
        <f>W141-X141-Y141</f>
        <v/>
      </c>
      <c r="AA141" s="152">
        <f>IF(AD140&lt;=0.005,0,AD140*(1+AA$6))</f>
        <v/>
      </c>
      <c r="AB141" s="152">
        <f>MIN(AA141,AA$7)</f>
        <v/>
      </c>
      <c r="AC141" s="152">
        <f>MAX(0,MIN(AA141-AB141,AQ141-(E141+I141+M141+Q141+U141+Y141)))</f>
        <v/>
      </c>
      <c r="AD141" s="152">
        <f>AA141-AB141-AC141</f>
        <v/>
      </c>
      <c r="AE141" s="152">
        <f>IF(AH140&lt;=0.005,0,AH140*(1+AE$6))</f>
        <v/>
      </c>
      <c r="AF141" s="152">
        <f>MIN(AE141,AE$7)</f>
        <v/>
      </c>
      <c r="AG141" s="152">
        <f>MAX(0,MIN(AE141-AF141,AQ141-(E141+I141+M141+Q141+U141+Y141+AC141)))</f>
        <v/>
      </c>
      <c r="AH141" s="152">
        <f>AE141-AF141-AG141</f>
        <v/>
      </c>
      <c r="AI141" s="152">
        <f>IF(AL140&lt;=0.005,0,AL140*(1+AI$6))</f>
        <v/>
      </c>
      <c r="AJ141" s="152">
        <f>MIN(AI141,AI$7)</f>
        <v/>
      </c>
      <c r="AK141" s="152">
        <f>MAX(0,MIN(AI141-AJ141,AQ141-(E141+I141+M141+Q141+U141+Y141+AC141+AG141)))</f>
        <v/>
      </c>
      <c r="AL141" s="152">
        <f>AI141-AJ141-AK141</f>
        <v/>
      </c>
      <c r="AM141" s="152">
        <f>IF(AP140&lt;=0.005,0,AP140*(1+AM$6))</f>
        <v/>
      </c>
      <c r="AN141" s="152">
        <f>MIN(AM141,AM$7)</f>
        <v/>
      </c>
      <c r="AO141" s="152">
        <f>MAX(0,MIN(AM141-AN141,AQ141-(E141+I141+M141+Q141+U141+Y141+AC141+AG141+AK141)))</f>
        <v/>
      </c>
      <c r="AP141" s="152">
        <f>AM141-AN141-AO141</f>
        <v/>
      </c>
      <c r="AQ141" s="152">
        <f>'Debt Payoff'!$C$8-SUM(D141,H141,L141,P141,T141,X141,AB141,AF141,AJ141,AN141)</f>
        <v/>
      </c>
      <c r="AR141" s="152">
        <f>SUM(D141,H141,L141,P141,T141,X141,AB141,AF141,AJ141,AN141)+SUM(E141,I141,M141,Q141,U141,Y141,AC141,AG141,AK141,AO141)</f>
        <v/>
      </c>
      <c r="AS141" s="152">
        <f>SUM(F141,J141,N141,R141,V141,Z141,AD141,AH141,AL141,AP141)</f>
        <v/>
      </c>
      <c r="AT141" s="152">
        <f>IF(B141&gt;AS$6,NA(),B141)</f>
        <v/>
      </c>
      <c r="AU141" s="152">
        <f>IF(B141&gt;AS$6,NA(),AS141)</f>
        <v/>
      </c>
      <c r="AV141" s="152" t="n"/>
      <c r="AW141" s="152" t="n">
        <v>130</v>
      </c>
      <c r="AX141" s="152">
        <f>IF(BA140&lt;=0.005,0,BA140*(1+AX$6))</f>
        <v/>
      </c>
      <c r="AY141" s="152">
        <f>MIN(AX141,AX$7)</f>
        <v/>
      </c>
      <c r="AZ141" s="152">
        <f>MAX(0,MIN(AX141-AY141,CL141))</f>
        <v/>
      </c>
      <c r="BA141" s="152">
        <f>AX141-AY141-AZ141</f>
        <v/>
      </c>
      <c r="BB141" s="152">
        <f>IF(BE140&lt;=0.005,0,BE140*(1+BB$6))</f>
        <v/>
      </c>
      <c r="BC141" s="152">
        <f>MIN(BB141,BB$7)</f>
        <v/>
      </c>
      <c r="BD141" s="152">
        <f>MAX(0,MIN(BB141-BC141,CL141-(AZ141)))</f>
        <v/>
      </c>
      <c r="BE141" s="152">
        <f>BB141-BC141-BD141</f>
        <v/>
      </c>
      <c r="BF141" s="152">
        <f>IF(BI140&lt;=0.005,0,BI140*(1+BF$6))</f>
        <v/>
      </c>
      <c r="BG141" s="152">
        <f>MIN(BF141,BF$7)</f>
        <v/>
      </c>
      <c r="BH141" s="152">
        <f>MAX(0,MIN(BF141-BG141,CL141-(AZ141+BD141)))</f>
        <v/>
      </c>
      <c r="BI141" s="152">
        <f>BF141-BG141-BH141</f>
        <v/>
      </c>
      <c r="BJ141" s="152">
        <f>IF(BM140&lt;=0.005,0,BM140*(1+BJ$6))</f>
        <v/>
      </c>
      <c r="BK141" s="152">
        <f>MIN(BJ141,BJ$7)</f>
        <v/>
      </c>
      <c r="BL141" s="152">
        <f>MAX(0,MIN(BJ141-BK141,CL141-(AZ141+BD141+BH141)))</f>
        <v/>
      </c>
      <c r="BM141" s="152">
        <f>BJ141-BK141-BL141</f>
        <v/>
      </c>
      <c r="BN141" s="152">
        <f>IF(BQ140&lt;=0.005,0,BQ140*(1+BN$6))</f>
        <v/>
      </c>
      <c r="BO141" s="152">
        <f>MIN(BN141,BN$7)</f>
        <v/>
      </c>
      <c r="BP141" s="152">
        <f>MAX(0,MIN(BN141-BO141,CL141-(AZ141+BD141+BH141+BL141)))</f>
        <v/>
      </c>
      <c r="BQ141" s="152">
        <f>BN141-BO141-BP141</f>
        <v/>
      </c>
      <c r="BR141" s="152">
        <f>IF(BU140&lt;=0.005,0,BU140*(1+BR$6))</f>
        <v/>
      </c>
      <c r="BS141" s="152">
        <f>MIN(BR141,BR$7)</f>
        <v/>
      </c>
      <c r="BT141" s="152">
        <f>MAX(0,MIN(BR141-BS141,CL141-(AZ141+BD141+BH141+BL141+BP141)))</f>
        <v/>
      </c>
      <c r="BU141" s="152">
        <f>BR141-BS141-BT141</f>
        <v/>
      </c>
      <c r="BV141" s="152">
        <f>IF(BY140&lt;=0.005,0,BY140*(1+BV$6))</f>
        <v/>
      </c>
      <c r="BW141" s="152">
        <f>MIN(BV141,BV$7)</f>
        <v/>
      </c>
      <c r="BX141" s="152">
        <f>MAX(0,MIN(BV141-BW141,CL141-(AZ141+BD141+BH141+BL141+BP141+BT141)))</f>
        <v/>
      </c>
      <c r="BY141" s="152">
        <f>BV141-BW141-BX141</f>
        <v/>
      </c>
      <c r="BZ141" s="152">
        <f>IF(CC140&lt;=0.005,0,CC140*(1+BZ$6))</f>
        <v/>
      </c>
      <c r="CA141" s="152">
        <f>MIN(BZ141,BZ$7)</f>
        <v/>
      </c>
      <c r="CB141" s="152">
        <f>MAX(0,MIN(BZ141-CA141,CL141-(AZ141+BD141+BH141+BL141+BP141+BT141+BX141)))</f>
        <v/>
      </c>
      <c r="CC141" s="152">
        <f>BZ141-CA141-CB141</f>
        <v/>
      </c>
      <c r="CD141" s="152">
        <f>IF(CG140&lt;=0.005,0,CG140*(1+CD$6))</f>
        <v/>
      </c>
      <c r="CE141" s="152">
        <f>MIN(CD141,CD$7)</f>
        <v/>
      </c>
      <c r="CF141" s="152">
        <f>MAX(0,MIN(CD141-CE141,CL141-(AZ141+BD141+BH141+BL141+BP141+BT141+BX141+CB141)))</f>
        <v/>
      </c>
      <c r="CG141" s="152">
        <f>CD141-CE141-CF141</f>
        <v/>
      </c>
      <c r="CH141" s="152">
        <f>IF(CK140&lt;=0.005,0,CK140*(1+CH$6))</f>
        <v/>
      </c>
      <c r="CI141" s="152">
        <f>MIN(CH141,CH$7)</f>
        <v/>
      </c>
      <c r="CJ141" s="152">
        <f>MAX(0,MIN(CH141-CI141,CL141-(AZ141+BD141+BH141+BL141+BP141+BT141+BX141+CB141+CF141)))</f>
        <v/>
      </c>
      <c r="CK141" s="152">
        <f>CH141-CI141-CJ141</f>
        <v/>
      </c>
      <c r="CL141" s="152">
        <f>'Debt Payoff'!$C$8-SUM(AY141,BC141,BG141,BK141,BO141,BS141,BW141,CA141,CE141,CI141)</f>
        <v/>
      </c>
      <c r="CM141" s="152">
        <f>SUM(AY141,BC141,BG141,BK141,BO141,BS141,BW141,CA141,CE141,CI141)+SUM(AZ141,BD141,BH141,BL141,BP141,BT141,BX141,CB141,CF141,CJ141)</f>
        <v/>
      </c>
      <c r="CN141" s="152">
        <f>SUM(BA141,BE141,BI141,BM141,BQ141,BU141,BY141,CC141,CG141,CK141)</f>
        <v/>
      </c>
      <c r="CO141" s="152">
        <f>IF(AW141&gt;CN$6,NA(),AW141)</f>
        <v/>
      </c>
      <c r="CP141" s="152">
        <f>IF(AW141&gt;CN$6,NA(),CN141)</f>
        <v/>
      </c>
    </row>
    <row r="142">
      <c r="B142" s="152" t="n">
        <v>131</v>
      </c>
      <c r="C142" s="152">
        <f>IF(F141&lt;=0.005,0,F141*(1+C$6))</f>
        <v/>
      </c>
      <c r="D142" s="152">
        <f>MIN(C142,C$7)</f>
        <v/>
      </c>
      <c r="E142" s="152">
        <f>MAX(0,MIN(C142-D142,AQ142))</f>
        <v/>
      </c>
      <c r="F142" s="152">
        <f>C142-D142-E142</f>
        <v/>
      </c>
      <c r="G142" s="152">
        <f>IF(J141&lt;=0.005,0,J141*(1+G$6))</f>
        <v/>
      </c>
      <c r="H142" s="152">
        <f>MIN(G142,G$7)</f>
        <v/>
      </c>
      <c r="I142" s="152">
        <f>MAX(0,MIN(G142-H142,AQ142-(E142)))</f>
        <v/>
      </c>
      <c r="J142" s="152">
        <f>G142-H142-I142</f>
        <v/>
      </c>
      <c r="K142" s="152">
        <f>IF(N141&lt;=0.005,0,N141*(1+K$6))</f>
        <v/>
      </c>
      <c r="L142" s="152">
        <f>MIN(K142,K$7)</f>
        <v/>
      </c>
      <c r="M142" s="152">
        <f>MAX(0,MIN(K142-L142,AQ142-(E142+I142)))</f>
        <v/>
      </c>
      <c r="N142" s="152">
        <f>K142-L142-M142</f>
        <v/>
      </c>
      <c r="O142" s="152">
        <f>IF(R141&lt;=0.005,0,R141*(1+O$6))</f>
        <v/>
      </c>
      <c r="P142" s="152">
        <f>MIN(O142,O$7)</f>
        <v/>
      </c>
      <c r="Q142" s="152">
        <f>MAX(0,MIN(O142-P142,AQ142-(E142+I142+M142)))</f>
        <v/>
      </c>
      <c r="R142" s="152">
        <f>O142-P142-Q142</f>
        <v/>
      </c>
      <c r="S142" s="152">
        <f>IF(V141&lt;=0.005,0,V141*(1+S$6))</f>
        <v/>
      </c>
      <c r="T142" s="152">
        <f>MIN(S142,S$7)</f>
        <v/>
      </c>
      <c r="U142" s="152">
        <f>MAX(0,MIN(S142-T142,AQ142-(E142+I142+M142+Q142)))</f>
        <v/>
      </c>
      <c r="V142" s="152">
        <f>S142-T142-U142</f>
        <v/>
      </c>
      <c r="W142" s="152">
        <f>IF(Z141&lt;=0.005,0,Z141*(1+W$6))</f>
        <v/>
      </c>
      <c r="X142" s="152">
        <f>MIN(W142,W$7)</f>
        <v/>
      </c>
      <c r="Y142" s="152">
        <f>MAX(0,MIN(W142-X142,AQ142-(E142+I142+M142+Q142+U142)))</f>
        <v/>
      </c>
      <c r="Z142" s="152">
        <f>W142-X142-Y142</f>
        <v/>
      </c>
      <c r="AA142" s="152">
        <f>IF(AD141&lt;=0.005,0,AD141*(1+AA$6))</f>
        <v/>
      </c>
      <c r="AB142" s="152">
        <f>MIN(AA142,AA$7)</f>
        <v/>
      </c>
      <c r="AC142" s="152">
        <f>MAX(0,MIN(AA142-AB142,AQ142-(E142+I142+M142+Q142+U142+Y142)))</f>
        <v/>
      </c>
      <c r="AD142" s="152">
        <f>AA142-AB142-AC142</f>
        <v/>
      </c>
      <c r="AE142" s="152">
        <f>IF(AH141&lt;=0.005,0,AH141*(1+AE$6))</f>
        <v/>
      </c>
      <c r="AF142" s="152">
        <f>MIN(AE142,AE$7)</f>
        <v/>
      </c>
      <c r="AG142" s="152">
        <f>MAX(0,MIN(AE142-AF142,AQ142-(E142+I142+M142+Q142+U142+Y142+AC142)))</f>
        <v/>
      </c>
      <c r="AH142" s="152">
        <f>AE142-AF142-AG142</f>
        <v/>
      </c>
      <c r="AI142" s="152">
        <f>IF(AL141&lt;=0.005,0,AL141*(1+AI$6))</f>
        <v/>
      </c>
      <c r="AJ142" s="152">
        <f>MIN(AI142,AI$7)</f>
        <v/>
      </c>
      <c r="AK142" s="152">
        <f>MAX(0,MIN(AI142-AJ142,AQ142-(E142+I142+M142+Q142+U142+Y142+AC142+AG142)))</f>
        <v/>
      </c>
      <c r="AL142" s="152">
        <f>AI142-AJ142-AK142</f>
        <v/>
      </c>
      <c r="AM142" s="152">
        <f>IF(AP141&lt;=0.005,0,AP141*(1+AM$6))</f>
        <v/>
      </c>
      <c r="AN142" s="152">
        <f>MIN(AM142,AM$7)</f>
        <v/>
      </c>
      <c r="AO142" s="152">
        <f>MAX(0,MIN(AM142-AN142,AQ142-(E142+I142+M142+Q142+U142+Y142+AC142+AG142+AK142)))</f>
        <v/>
      </c>
      <c r="AP142" s="152">
        <f>AM142-AN142-AO142</f>
        <v/>
      </c>
      <c r="AQ142" s="152">
        <f>'Debt Payoff'!$C$8-SUM(D142,H142,L142,P142,T142,X142,AB142,AF142,AJ142,AN142)</f>
        <v/>
      </c>
      <c r="AR142" s="152">
        <f>SUM(D142,H142,L142,P142,T142,X142,AB142,AF142,AJ142,AN142)+SUM(E142,I142,M142,Q142,U142,Y142,AC142,AG142,AK142,AO142)</f>
        <v/>
      </c>
      <c r="AS142" s="152">
        <f>SUM(F142,J142,N142,R142,V142,Z142,AD142,AH142,AL142,AP142)</f>
        <v/>
      </c>
      <c r="AT142" s="152">
        <f>IF(B142&gt;AS$6,NA(),B142)</f>
        <v/>
      </c>
      <c r="AU142" s="152">
        <f>IF(B142&gt;AS$6,NA(),AS142)</f>
        <v/>
      </c>
      <c r="AV142" s="152" t="n"/>
      <c r="AW142" s="152" t="n">
        <v>131</v>
      </c>
      <c r="AX142" s="152">
        <f>IF(BA141&lt;=0.005,0,BA141*(1+AX$6))</f>
        <v/>
      </c>
      <c r="AY142" s="152">
        <f>MIN(AX142,AX$7)</f>
        <v/>
      </c>
      <c r="AZ142" s="152">
        <f>MAX(0,MIN(AX142-AY142,CL142))</f>
        <v/>
      </c>
      <c r="BA142" s="152">
        <f>AX142-AY142-AZ142</f>
        <v/>
      </c>
      <c r="BB142" s="152">
        <f>IF(BE141&lt;=0.005,0,BE141*(1+BB$6))</f>
        <v/>
      </c>
      <c r="BC142" s="152">
        <f>MIN(BB142,BB$7)</f>
        <v/>
      </c>
      <c r="BD142" s="152">
        <f>MAX(0,MIN(BB142-BC142,CL142-(AZ142)))</f>
        <v/>
      </c>
      <c r="BE142" s="152">
        <f>BB142-BC142-BD142</f>
        <v/>
      </c>
      <c r="BF142" s="152">
        <f>IF(BI141&lt;=0.005,0,BI141*(1+BF$6))</f>
        <v/>
      </c>
      <c r="BG142" s="152">
        <f>MIN(BF142,BF$7)</f>
        <v/>
      </c>
      <c r="BH142" s="152">
        <f>MAX(0,MIN(BF142-BG142,CL142-(AZ142+BD142)))</f>
        <v/>
      </c>
      <c r="BI142" s="152">
        <f>BF142-BG142-BH142</f>
        <v/>
      </c>
      <c r="BJ142" s="152">
        <f>IF(BM141&lt;=0.005,0,BM141*(1+BJ$6))</f>
        <v/>
      </c>
      <c r="BK142" s="152">
        <f>MIN(BJ142,BJ$7)</f>
        <v/>
      </c>
      <c r="BL142" s="152">
        <f>MAX(0,MIN(BJ142-BK142,CL142-(AZ142+BD142+BH142)))</f>
        <v/>
      </c>
      <c r="BM142" s="152">
        <f>BJ142-BK142-BL142</f>
        <v/>
      </c>
      <c r="BN142" s="152">
        <f>IF(BQ141&lt;=0.005,0,BQ141*(1+BN$6))</f>
        <v/>
      </c>
      <c r="BO142" s="152">
        <f>MIN(BN142,BN$7)</f>
        <v/>
      </c>
      <c r="BP142" s="152">
        <f>MAX(0,MIN(BN142-BO142,CL142-(AZ142+BD142+BH142+BL142)))</f>
        <v/>
      </c>
      <c r="BQ142" s="152">
        <f>BN142-BO142-BP142</f>
        <v/>
      </c>
      <c r="BR142" s="152">
        <f>IF(BU141&lt;=0.005,0,BU141*(1+BR$6))</f>
        <v/>
      </c>
      <c r="BS142" s="152">
        <f>MIN(BR142,BR$7)</f>
        <v/>
      </c>
      <c r="BT142" s="152">
        <f>MAX(0,MIN(BR142-BS142,CL142-(AZ142+BD142+BH142+BL142+BP142)))</f>
        <v/>
      </c>
      <c r="BU142" s="152">
        <f>BR142-BS142-BT142</f>
        <v/>
      </c>
      <c r="BV142" s="152">
        <f>IF(BY141&lt;=0.005,0,BY141*(1+BV$6))</f>
        <v/>
      </c>
      <c r="BW142" s="152">
        <f>MIN(BV142,BV$7)</f>
        <v/>
      </c>
      <c r="BX142" s="152">
        <f>MAX(0,MIN(BV142-BW142,CL142-(AZ142+BD142+BH142+BL142+BP142+BT142)))</f>
        <v/>
      </c>
      <c r="BY142" s="152">
        <f>BV142-BW142-BX142</f>
        <v/>
      </c>
      <c r="BZ142" s="152">
        <f>IF(CC141&lt;=0.005,0,CC141*(1+BZ$6))</f>
        <v/>
      </c>
      <c r="CA142" s="152">
        <f>MIN(BZ142,BZ$7)</f>
        <v/>
      </c>
      <c r="CB142" s="152">
        <f>MAX(0,MIN(BZ142-CA142,CL142-(AZ142+BD142+BH142+BL142+BP142+BT142+BX142)))</f>
        <v/>
      </c>
      <c r="CC142" s="152">
        <f>BZ142-CA142-CB142</f>
        <v/>
      </c>
      <c r="CD142" s="152">
        <f>IF(CG141&lt;=0.005,0,CG141*(1+CD$6))</f>
        <v/>
      </c>
      <c r="CE142" s="152">
        <f>MIN(CD142,CD$7)</f>
        <v/>
      </c>
      <c r="CF142" s="152">
        <f>MAX(0,MIN(CD142-CE142,CL142-(AZ142+BD142+BH142+BL142+BP142+BT142+BX142+CB142)))</f>
        <v/>
      </c>
      <c r="CG142" s="152">
        <f>CD142-CE142-CF142</f>
        <v/>
      </c>
      <c r="CH142" s="152">
        <f>IF(CK141&lt;=0.005,0,CK141*(1+CH$6))</f>
        <v/>
      </c>
      <c r="CI142" s="152">
        <f>MIN(CH142,CH$7)</f>
        <v/>
      </c>
      <c r="CJ142" s="152">
        <f>MAX(0,MIN(CH142-CI142,CL142-(AZ142+BD142+BH142+BL142+BP142+BT142+BX142+CB142+CF142)))</f>
        <v/>
      </c>
      <c r="CK142" s="152">
        <f>CH142-CI142-CJ142</f>
        <v/>
      </c>
      <c r="CL142" s="152">
        <f>'Debt Payoff'!$C$8-SUM(AY142,BC142,BG142,BK142,BO142,BS142,BW142,CA142,CE142,CI142)</f>
        <v/>
      </c>
      <c r="CM142" s="152">
        <f>SUM(AY142,BC142,BG142,BK142,BO142,BS142,BW142,CA142,CE142,CI142)+SUM(AZ142,BD142,BH142,BL142,BP142,BT142,BX142,CB142,CF142,CJ142)</f>
        <v/>
      </c>
      <c r="CN142" s="152">
        <f>SUM(BA142,BE142,BI142,BM142,BQ142,BU142,BY142,CC142,CG142,CK142)</f>
        <v/>
      </c>
      <c r="CO142" s="152">
        <f>IF(AW142&gt;CN$6,NA(),AW142)</f>
        <v/>
      </c>
      <c r="CP142" s="152">
        <f>IF(AW142&gt;CN$6,NA(),CN142)</f>
        <v/>
      </c>
    </row>
    <row r="143">
      <c r="B143" s="152" t="n">
        <v>132</v>
      </c>
      <c r="C143" s="152">
        <f>IF(F142&lt;=0.005,0,F142*(1+C$6))</f>
        <v/>
      </c>
      <c r="D143" s="152">
        <f>MIN(C143,C$7)</f>
        <v/>
      </c>
      <c r="E143" s="152">
        <f>MAX(0,MIN(C143-D143,AQ143))</f>
        <v/>
      </c>
      <c r="F143" s="152">
        <f>C143-D143-E143</f>
        <v/>
      </c>
      <c r="G143" s="152">
        <f>IF(J142&lt;=0.005,0,J142*(1+G$6))</f>
        <v/>
      </c>
      <c r="H143" s="152">
        <f>MIN(G143,G$7)</f>
        <v/>
      </c>
      <c r="I143" s="152">
        <f>MAX(0,MIN(G143-H143,AQ143-(E143)))</f>
        <v/>
      </c>
      <c r="J143" s="152">
        <f>G143-H143-I143</f>
        <v/>
      </c>
      <c r="K143" s="152">
        <f>IF(N142&lt;=0.005,0,N142*(1+K$6))</f>
        <v/>
      </c>
      <c r="L143" s="152">
        <f>MIN(K143,K$7)</f>
        <v/>
      </c>
      <c r="M143" s="152">
        <f>MAX(0,MIN(K143-L143,AQ143-(E143+I143)))</f>
        <v/>
      </c>
      <c r="N143" s="152">
        <f>K143-L143-M143</f>
        <v/>
      </c>
      <c r="O143" s="152">
        <f>IF(R142&lt;=0.005,0,R142*(1+O$6))</f>
        <v/>
      </c>
      <c r="P143" s="152">
        <f>MIN(O143,O$7)</f>
        <v/>
      </c>
      <c r="Q143" s="152">
        <f>MAX(0,MIN(O143-P143,AQ143-(E143+I143+M143)))</f>
        <v/>
      </c>
      <c r="R143" s="152">
        <f>O143-P143-Q143</f>
        <v/>
      </c>
      <c r="S143" s="152">
        <f>IF(V142&lt;=0.005,0,V142*(1+S$6))</f>
        <v/>
      </c>
      <c r="T143" s="152">
        <f>MIN(S143,S$7)</f>
        <v/>
      </c>
      <c r="U143" s="152">
        <f>MAX(0,MIN(S143-T143,AQ143-(E143+I143+M143+Q143)))</f>
        <v/>
      </c>
      <c r="V143" s="152">
        <f>S143-T143-U143</f>
        <v/>
      </c>
      <c r="W143" s="152">
        <f>IF(Z142&lt;=0.005,0,Z142*(1+W$6))</f>
        <v/>
      </c>
      <c r="X143" s="152">
        <f>MIN(W143,W$7)</f>
        <v/>
      </c>
      <c r="Y143" s="152">
        <f>MAX(0,MIN(W143-X143,AQ143-(E143+I143+M143+Q143+U143)))</f>
        <v/>
      </c>
      <c r="Z143" s="152">
        <f>W143-X143-Y143</f>
        <v/>
      </c>
      <c r="AA143" s="152">
        <f>IF(AD142&lt;=0.005,0,AD142*(1+AA$6))</f>
        <v/>
      </c>
      <c r="AB143" s="152">
        <f>MIN(AA143,AA$7)</f>
        <v/>
      </c>
      <c r="AC143" s="152">
        <f>MAX(0,MIN(AA143-AB143,AQ143-(E143+I143+M143+Q143+U143+Y143)))</f>
        <v/>
      </c>
      <c r="AD143" s="152">
        <f>AA143-AB143-AC143</f>
        <v/>
      </c>
      <c r="AE143" s="152">
        <f>IF(AH142&lt;=0.005,0,AH142*(1+AE$6))</f>
        <v/>
      </c>
      <c r="AF143" s="152">
        <f>MIN(AE143,AE$7)</f>
        <v/>
      </c>
      <c r="AG143" s="152">
        <f>MAX(0,MIN(AE143-AF143,AQ143-(E143+I143+M143+Q143+U143+Y143+AC143)))</f>
        <v/>
      </c>
      <c r="AH143" s="152">
        <f>AE143-AF143-AG143</f>
        <v/>
      </c>
      <c r="AI143" s="152">
        <f>IF(AL142&lt;=0.005,0,AL142*(1+AI$6))</f>
        <v/>
      </c>
      <c r="AJ143" s="152">
        <f>MIN(AI143,AI$7)</f>
        <v/>
      </c>
      <c r="AK143" s="152">
        <f>MAX(0,MIN(AI143-AJ143,AQ143-(E143+I143+M143+Q143+U143+Y143+AC143+AG143)))</f>
        <v/>
      </c>
      <c r="AL143" s="152">
        <f>AI143-AJ143-AK143</f>
        <v/>
      </c>
      <c r="AM143" s="152">
        <f>IF(AP142&lt;=0.005,0,AP142*(1+AM$6))</f>
        <v/>
      </c>
      <c r="AN143" s="152">
        <f>MIN(AM143,AM$7)</f>
        <v/>
      </c>
      <c r="AO143" s="152">
        <f>MAX(0,MIN(AM143-AN143,AQ143-(E143+I143+M143+Q143+U143+Y143+AC143+AG143+AK143)))</f>
        <v/>
      </c>
      <c r="AP143" s="152">
        <f>AM143-AN143-AO143</f>
        <v/>
      </c>
      <c r="AQ143" s="152">
        <f>'Debt Payoff'!$C$8-SUM(D143,H143,L143,P143,T143,X143,AB143,AF143,AJ143,AN143)</f>
        <v/>
      </c>
      <c r="AR143" s="152">
        <f>SUM(D143,H143,L143,P143,T143,X143,AB143,AF143,AJ143,AN143)+SUM(E143,I143,M143,Q143,U143,Y143,AC143,AG143,AK143,AO143)</f>
        <v/>
      </c>
      <c r="AS143" s="152">
        <f>SUM(F143,J143,N143,R143,V143,Z143,AD143,AH143,AL143,AP143)</f>
        <v/>
      </c>
      <c r="AT143" s="152">
        <f>IF(B143&gt;AS$6,NA(),B143)</f>
        <v/>
      </c>
      <c r="AU143" s="152">
        <f>IF(B143&gt;AS$6,NA(),AS143)</f>
        <v/>
      </c>
      <c r="AV143" s="152" t="n"/>
      <c r="AW143" s="152" t="n">
        <v>132</v>
      </c>
      <c r="AX143" s="152">
        <f>IF(BA142&lt;=0.005,0,BA142*(1+AX$6))</f>
        <v/>
      </c>
      <c r="AY143" s="152">
        <f>MIN(AX143,AX$7)</f>
        <v/>
      </c>
      <c r="AZ143" s="152">
        <f>MAX(0,MIN(AX143-AY143,CL143))</f>
        <v/>
      </c>
      <c r="BA143" s="152">
        <f>AX143-AY143-AZ143</f>
        <v/>
      </c>
      <c r="BB143" s="152">
        <f>IF(BE142&lt;=0.005,0,BE142*(1+BB$6))</f>
        <v/>
      </c>
      <c r="BC143" s="152">
        <f>MIN(BB143,BB$7)</f>
        <v/>
      </c>
      <c r="BD143" s="152">
        <f>MAX(0,MIN(BB143-BC143,CL143-(AZ143)))</f>
        <v/>
      </c>
      <c r="BE143" s="152">
        <f>BB143-BC143-BD143</f>
        <v/>
      </c>
      <c r="BF143" s="152">
        <f>IF(BI142&lt;=0.005,0,BI142*(1+BF$6))</f>
        <v/>
      </c>
      <c r="BG143" s="152">
        <f>MIN(BF143,BF$7)</f>
        <v/>
      </c>
      <c r="BH143" s="152">
        <f>MAX(0,MIN(BF143-BG143,CL143-(AZ143+BD143)))</f>
        <v/>
      </c>
      <c r="BI143" s="152">
        <f>BF143-BG143-BH143</f>
        <v/>
      </c>
      <c r="BJ143" s="152">
        <f>IF(BM142&lt;=0.005,0,BM142*(1+BJ$6))</f>
        <v/>
      </c>
      <c r="BK143" s="152">
        <f>MIN(BJ143,BJ$7)</f>
        <v/>
      </c>
      <c r="BL143" s="152">
        <f>MAX(0,MIN(BJ143-BK143,CL143-(AZ143+BD143+BH143)))</f>
        <v/>
      </c>
      <c r="BM143" s="152">
        <f>BJ143-BK143-BL143</f>
        <v/>
      </c>
      <c r="BN143" s="152">
        <f>IF(BQ142&lt;=0.005,0,BQ142*(1+BN$6))</f>
        <v/>
      </c>
      <c r="BO143" s="152">
        <f>MIN(BN143,BN$7)</f>
        <v/>
      </c>
      <c r="BP143" s="152">
        <f>MAX(0,MIN(BN143-BO143,CL143-(AZ143+BD143+BH143+BL143)))</f>
        <v/>
      </c>
      <c r="BQ143" s="152">
        <f>BN143-BO143-BP143</f>
        <v/>
      </c>
      <c r="BR143" s="152">
        <f>IF(BU142&lt;=0.005,0,BU142*(1+BR$6))</f>
        <v/>
      </c>
      <c r="BS143" s="152">
        <f>MIN(BR143,BR$7)</f>
        <v/>
      </c>
      <c r="BT143" s="152">
        <f>MAX(0,MIN(BR143-BS143,CL143-(AZ143+BD143+BH143+BL143+BP143)))</f>
        <v/>
      </c>
      <c r="BU143" s="152">
        <f>BR143-BS143-BT143</f>
        <v/>
      </c>
      <c r="BV143" s="152">
        <f>IF(BY142&lt;=0.005,0,BY142*(1+BV$6))</f>
        <v/>
      </c>
      <c r="BW143" s="152">
        <f>MIN(BV143,BV$7)</f>
        <v/>
      </c>
      <c r="BX143" s="152">
        <f>MAX(0,MIN(BV143-BW143,CL143-(AZ143+BD143+BH143+BL143+BP143+BT143)))</f>
        <v/>
      </c>
      <c r="BY143" s="152">
        <f>BV143-BW143-BX143</f>
        <v/>
      </c>
      <c r="BZ143" s="152">
        <f>IF(CC142&lt;=0.005,0,CC142*(1+BZ$6))</f>
        <v/>
      </c>
      <c r="CA143" s="152">
        <f>MIN(BZ143,BZ$7)</f>
        <v/>
      </c>
      <c r="CB143" s="152">
        <f>MAX(0,MIN(BZ143-CA143,CL143-(AZ143+BD143+BH143+BL143+BP143+BT143+BX143)))</f>
        <v/>
      </c>
      <c r="CC143" s="152">
        <f>BZ143-CA143-CB143</f>
        <v/>
      </c>
      <c r="CD143" s="152">
        <f>IF(CG142&lt;=0.005,0,CG142*(1+CD$6))</f>
        <v/>
      </c>
      <c r="CE143" s="152">
        <f>MIN(CD143,CD$7)</f>
        <v/>
      </c>
      <c r="CF143" s="152">
        <f>MAX(0,MIN(CD143-CE143,CL143-(AZ143+BD143+BH143+BL143+BP143+BT143+BX143+CB143)))</f>
        <v/>
      </c>
      <c r="CG143" s="152">
        <f>CD143-CE143-CF143</f>
        <v/>
      </c>
      <c r="CH143" s="152">
        <f>IF(CK142&lt;=0.005,0,CK142*(1+CH$6))</f>
        <v/>
      </c>
      <c r="CI143" s="152">
        <f>MIN(CH143,CH$7)</f>
        <v/>
      </c>
      <c r="CJ143" s="152">
        <f>MAX(0,MIN(CH143-CI143,CL143-(AZ143+BD143+BH143+BL143+BP143+BT143+BX143+CB143+CF143)))</f>
        <v/>
      </c>
      <c r="CK143" s="152">
        <f>CH143-CI143-CJ143</f>
        <v/>
      </c>
      <c r="CL143" s="152">
        <f>'Debt Payoff'!$C$8-SUM(AY143,BC143,BG143,BK143,BO143,BS143,BW143,CA143,CE143,CI143)</f>
        <v/>
      </c>
      <c r="CM143" s="152">
        <f>SUM(AY143,BC143,BG143,BK143,BO143,BS143,BW143,CA143,CE143,CI143)+SUM(AZ143,BD143,BH143,BL143,BP143,BT143,BX143,CB143,CF143,CJ143)</f>
        <v/>
      </c>
      <c r="CN143" s="152">
        <f>SUM(BA143,BE143,BI143,BM143,BQ143,BU143,BY143,CC143,CG143,CK143)</f>
        <v/>
      </c>
      <c r="CO143" s="152">
        <f>IF(AW143&gt;CN$6,NA(),AW143)</f>
        <v/>
      </c>
      <c r="CP143" s="152">
        <f>IF(AW143&gt;CN$6,NA(),CN143)</f>
        <v/>
      </c>
    </row>
    <row r="144">
      <c r="B144" s="152" t="n">
        <v>133</v>
      </c>
      <c r="C144" s="152">
        <f>IF(F143&lt;=0.005,0,F143*(1+C$6))</f>
        <v/>
      </c>
      <c r="D144" s="152">
        <f>MIN(C144,C$7)</f>
        <v/>
      </c>
      <c r="E144" s="152">
        <f>MAX(0,MIN(C144-D144,AQ144))</f>
        <v/>
      </c>
      <c r="F144" s="152">
        <f>C144-D144-E144</f>
        <v/>
      </c>
      <c r="G144" s="152">
        <f>IF(J143&lt;=0.005,0,J143*(1+G$6))</f>
        <v/>
      </c>
      <c r="H144" s="152">
        <f>MIN(G144,G$7)</f>
        <v/>
      </c>
      <c r="I144" s="152">
        <f>MAX(0,MIN(G144-H144,AQ144-(E144)))</f>
        <v/>
      </c>
      <c r="J144" s="152">
        <f>G144-H144-I144</f>
        <v/>
      </c>
      <c r="K144" s="152">
        <f>IF(N143&lt;=0.005,0,N143*(1+K$6))</f>
        <v/>
      </c>
      <c r="L144" s="152">
        <f>MIN(K144,K$7)</f>
        <v/>
      </c>
      <c r="M144" s="152">
        <f>MAX(0,MIN(K144-L144,AQ144-(E144+I144)))</f>
        <v/>
      </c>
      <c r="N144" s="152">
        <f>K144-L144-M144</f>
        <v/>
      </c>
      <c r="O144" s="152">
        <f>IF(R143&lt;=0.005,0,R143*(1+O$6))</f>
        <v/>
      </c>
      <c r="P144" s="152">
        <f>MIN(O144,O$7)</f>
        <v/>
      </c>
      <c r="Q144" s="152">
        <f>MAX(0,MIN(O144-P144,AQ144-(E144+I144+M144)))</f>
        <v/>
      </c>
      <c r="R144" s="152">
        <f>O144-P144-Q144</f>
        <v/>
      </c>
      <c r="S144" s="152">
        <f>IF(V143&lt;=0.005,0,V143*(1+S$6))</f>
        <v/>
      </c>
      <c r="T144" s="152">
        <f>MIN(S144,S$7)</f>
        <v/>
      </c>
      <c r="U144" s="152">
        <f>MAX(0,MIN(S144-T144,AQ144-(E144+I144+M144+Q144)))</f>
        <v/>
      </c>
      <c r="V144" s="152">
        <f>S144-T144-U144</f>
        <v/>
      </c>
      <c r="W144" s="152">
        <f>IF(Z143&lt;=0.005,0,Z143*(1+W$6))</f>
        <v/>
      </c>
      <c r="X144" s="152">
        <f>MIN(W144,W$7)</f>
        <v/>
      </c>
      <c r="Y144" s="152">
        <f>MAX(0,MIN(W144-X144,AQ144-(E144+I144+M144+Q144+U144)))</f>
        <v/>
      </c>
      <c r="Z144" s="152">
        <f>W144-X144-Y144</f>
        <v/>
      </c>
      <c r="AA144" s="152">
        <f>IF(AD143&lt;=0.005,0,AD143*(1+AA$6))</f>
        <v/>
      </c>
      <c r="AB144" s="152">
        <f>MIN(AA144,AA$7)</f>
        <v/>
      </c>
      <c r="AC144" s="152">
        <f>MAX(0,MIN(AA144-AB144,AQ144-(E144+I144+M144+Q144+U144+Y144)))</f>
        <v/>
      </c>
      <c r="AD144" s="152">
        <f>AA144-AB144-AC144</f>
        <v/>
      </c>
      <c r="AE144" s="152">
        <f>IF(AH143&lt;=0.005,0,AH143*(1+AE$6))</f>
        <v/>
      </c>
      <c r="AF144" s="152">
        <f>MIN(AE144,AE$7)</f>
        <v/>
      </c>
      <c r="AG144" s="152">
        <f>MAX(0,MIN(AE144-AF144,AQ144-(E144+I144+M144+Q144+U144+Y144+AC144)))</f>
        <v/>
      </c>
      <c r="AH144" s="152">
        <f>AE144-AF144-AG144</f>
        <v/>
      </c>
      <c r="AI144" s="152">
        <f>IF(AL143&lt;=0.005,0,AL143*(1+AI$6))</f>
        <v/>
      </c>
      <c r="AJ144" s="152">
        <f>MIN(AI144,AI$7)</f>
        <v/>
      </c>
      <c r="AK144" s="152">
        <f>MAX(0,MIN(AI144-AJ144,AQ144-(E144+I144+M144+Q144+U144+Y144+AC144+AG144)))</f>
        <v/>
      </c>
      <c r="AL144" s="152">
        <f>AI144-AJ144-AK144</f>
        <v/>
      </c>
      <c r="AM144" s="152">
        <f>IF(AP143&lt;=0.005,0,AP143*(1+AM$6))</f>
        <v/>
      </c>
      <c r="AN144" s="152">
        <f>MIN(AM144,AM$7)</f>
        <v/>
      </c>
      <c r="AO144" s="152">
        <f>MAX(0,MIN(AM144-AN144,AQ144-(E144+I144+M144+Q144+U144+Y144+AC144+AG144+AK144)))</f>
        <v/>
      </c>
      <c r="AP144" s="152">
        <f>AM144-AN144-AO144</f>
        <v/>
      </c>
      <c r="AQ144" s="152">
        <f>'Debt Payoff'!$C$8-SUM(D144,H144,L144,P144,T144,X144,AB144,AF144,AJ144,AN144)</f>
        <v/>
      </c>
      <c r="AR144" s="152">
        <f>SUM(D144,H144,L144,P144,T144,X144,AB144,AF144,AJ144,AN144)+SUM(E144,I144,M144,Q144,U144,Y144,AC144,AG144,AK144,AO144)</f>
        <v/>
      </c>
      <c r="AS144" s="152">
        <f>SUM(F144,J144,N144,R144,V144,Z144,AD144,AH144,AL144,AP144)</f>
        <v/>
      </c>
      <c r="AT144" s="152">
        <f>IF(B144&gt;AS$6,NA(),B144)</f>
        <v/>
      </c>
      <c r="AU144" s="152">
        <f>IF(B144&gt;AS$6,NA(),AS144)</f>
        <v/>
      </c>
      <c r="AV144" s="152" t="n"/>
      <c r="AW144" s="152" t="n">
        <v>133</v>
      </c>
      <c r="AX144" s="152">
        <f>IF(BA143&lt;=0.005,0,BA143*(1+AX$6))</f>
        <v/>
      </c>
      <c r="AY144" s="152">
        <f>MIN(AX144,AX$7)</f>
        <v/>
      </c>
      <c r="AZ144" s="152">
        <f>MAX(0,MIN(AX144-AY144,CL144))</f>
        <v/>
      </c>
      <c r="BA144" s="152">
        <f>AX144-AY144-AZ144</f>
        <v/>
      </c>
      <c r="BB144" s="152">
        <f>IF(BE143&lt;=0.005,0,BE143*(1+BB$6))</f>
        <v/>
      </c>
      <c r="BC144" s="152">
        <f>MIN(BB144,BB$7)</f>
        <v/>
      </c>
      <c r="BD144" s="152">
        <f>MAX(0,MIN(BB144-BC144,CL144-(AZ144)))</f>
        <v/>
      </c>
      <c r="BE144" s="152">
        <f>BB144-BC144-BD144</f>
        <v/>
      </c>
      <c r="BF144" s="152">
        <f>IF(BI143&lt;=0.005,0,BI143*(1+BF$6))</f>
        <v/>
      </c>
      <c r="BG144" s="152">
        <f>MIN(BF144,BF$7)</f>
        <v/>
      </c>
      <c r="BH144" s="152">
        <f>MAX(0,MIN(BF144-BG144,CL144-(AZ144+BD144)))</f>
        <v/>
      </c>
      <c r="BI144" s="152">
        <f>BF144-BG144-BH144</f>
        <v/>
      </c>
      <c r="BJ144" s="152">
        <f>IF(BM143&lt;=0.005,0,BM143*(1+BJ$6))</f>
        <v/>
      </c>
      <c r="BK144" s="152">
        <f>MIN(BJ144,BJ$7)</f>
        <v/>
      </c>
      <c r="BL144" s="152">
        <f>MAX(0,MIN(BJ144-BK144,CL144-(AZ144+BD144+BH144)))</f>
        <v/>
      </c>
      <c r="BM144" s="152">
        <f>BJ144-BK144-BL144</f>
        <v/>
      </c>
      <c r="BN144" s="152">
        <f>IF(BQ143&lt;=0.005,0,BQ143*(1+BN$6))</f>
        <v/>
      </c>
      <c r="BO144" s="152">
        <f>MIN(BN144,BN$7)</f>
        <v/>
      </c>
      <c r="BP144" s="152">
        <f>MAX(0,MIN(BN144-BO144,CL144-(AZ144+BD144+BH144+BL144)))</f>
        <v/>
      </c>
      <c r="BQ144" s="152">
        <f>BN144-BO144-BP144</f>
        <v/>
      </c>
      <c r="BR144" s="152">
        <f>IF(BU143&lt;=0.005,0,BU143*(1+BR$6))</f>
        <v/>
      </c>
      <c r="BS144" s="152">
        <f>MIN(BR144,BR$7)</f>
        <v/>
      </c>
      <c r="BT144" s="152">
        <f>MAX(0,MIN(BR144-BS144,CL144-(AZ144+BD144+BH144+BL144+BP144)))</f>
        <v/>
      </c>
      <c r="BU144" s="152">
        <f>BR144-BS144-BT144</f>
        <v/>
      </c>
      <c r="BV144" s="152">
        <f>IF(BY143&lt;=0.005,0,BY143*(1+BV$6))</f>
        <v/>
      </c>
      <c r="BW144" s="152">
        <f>MIN(BV144,BV$7)</f>
        <v/>
      </c>
      <c r="BX144" s="152">
        <f>MAX(0,MIN(BV144-BW144,CL144-(AZ144+BD144+BH144+BL144+BP144+BT144)))</f>
        <v/>
      </c>
      <c r="BY144" s="152">
        <f>BV144-BW144-BX144</f>
        <v/>
      </c>
      <c r="BZ144" s="152">
        <f>IF(CC143&lt;=0.005,0,CC143*(1+BZ$6))</f>
        <v/>
      </c>
      <c r="CA144" s="152">
        <f>MIN(BZ144,BZ$7)</f>
        <v/>
      </c>
      <c r="CB144" s="152">
        <f>MAX(0,MIN(BZ144-CA144,CL144-(AZ144+BD144+BH144+BL144+BP144+BT144+BX144)))</f>
        <v/>
      </c>
      <c r="CC144" s="152">
        <f>BZ144-CA144-CB144</f>
        <v/>
      </c>
      <c r="CD144" s="152">
        <f>IF(CG143&lt;=0.005,0,CG143*(1+CD$6))</f>
        <v/>
      </c>
      <c r="CE144" s="152">
        <f>MIN(CD144,CD$7)</f>
        <v/>
      </c>
      <c r="CF144" s="152">
        <f>MAX(0,MIN(CD144-CE144,CL144-(AZ144+BD144+BH144+BL144+BP144+BT144+BX144+CB144)))</f>
        <v/>
      </c>
      <c r="CG144" s="152">
        <f>CD144-CE144-CF144</f>
        <v/>
      </c>
      <c r="CH144" s="152">
        <f>IF(CK143&lt;=0.005,0,CK143*(1+CH$6))</f>
        <v/>
      </c>
      <c r="CI144" s="152">
        <f>MIN(CH144,CH$7)</f>
        <v/>
      </c>
      <c r="CJ144" s="152">
        <f>MAX(0,MIN(CH144-CI144,CL144-(AZ144+BD144+BH144+BL144+BP144+BT144+BX144+CB144+CF144)))</f>
        <v/>
      </c>
      <c r="CK144" s="152">
        <f>CH144-CI144-CJ144</f>
        <v/>
      </c>
      <c r="CL144" s="152">
        <f>'Debt Payoff'!$C$8-SUM(AY144,BC144,BG144,BK144,BO144,BS144,BW144,CA144,CE144,CI144)</f>
        <v/>
      </c>
      <c r="CM144" s="152">
        <f>SUM(AY144,BC144,BG144,BK144,BO144,BS144,BW144,CA144,CE144,CI144)+SUM(AZ144,BD144,BH144,BL144,BP144,BT144,BX144,CB144,CF144,CJ144)</f>
        <v/>
      </c>
      <c r="CN144" s="152">
        <f>SUM(BA144,BE144,BI144,BM144,BQ144,BU144,BY144,CC144,CG144,CK144)</f>
        <v/>
      </c>
      <c r="CO144" s="152">
        <f>IF(AW144&gt;CN$6,NA(),AW144)</f>
        <v/>
      </c>
      <c r="CP144" s="152">
        <f>IF(AW144&gt;CN$6,NA(),CN144)</f>
        <v/>
      </c>
    </row>
    <row r="145">
      <c r="B145" s="152" t="n">
        <v>134</v>
      </c>
      <c r="C145" s="152">
        <f>IF(F144&lt;=0.005,0,F144*(1+C$6))</f>
        <v/>
      </c>
      <c r="D145" s="152">
        <f>MIN(C145,C$7)</f>
        <v/>
      </c>
      <c r="E145" s="152">
        <f>MAX(0,MIN(C145-D145,AQ145))</f>
        <v/>
      </c>
      <c r="F145" s="152">
        <f>C145-D145-E145</f>
        <v/>
      </c>
      <c r="G145" s="152">
        <f>IF(J144&lt;=0.005,0,J144*(1+G$6))</f>
        <v/>
      </c>
      <c r="H145" s="152">
        <f>MIN(G145,G$7)</f>
        <v/>
      </c>
      <c r="I145" s="152">
        <f>MAX(0,MIN(G145-H145,AQ145-(E145)))</f>
        <v/>
      </c>
      <c r="J145" s="152">
        <f>G145-H145-I145</f>
        <v/>
      </c>
      <c r="K145" s="152">
        <f>IF(N144&lt;=0.005,0,N144*(1+K$6))</f>
        <v/>
      </c>
      <c r="L145" s="152">
        <f>MIN(K145,K$7)</f>
        <v/>
      </c>
      <c r="M145" s="152">
        <f>MAX(0,MIN(K145-L145,AQ145-(E145+I145)))</f>
        <v/>
      </c>
      <c r="N145" s="152">
        <f>K145-L145-M145</f>
        <v/>
      </c>
      <c r="O145" s="152">
        <f>IF(R144&lt;=0.005,0,R144*(1+O$6))</f>
        <v/>
      </c>
      <c r="P145" s="152">
        <f>MIN(O145,O$7)</f>
        <v/>
      </c>
      <c r="Q145" s="152">
        <f>MAX(0,MIN(O145-P145,AQ145-(E145+I145+M145)))</f>
        <v/>
      </c>
      <c r="R145" s="152">
        <f>O145-P145-Q145</f>
        <v/>
      </c>
      <c r="S145" s="152">
        <f>IF(V144&lt;=0.005,0,V144*(1+S$6))</f>
        <v/>
      </c>
      <c r="T145" s="152">
        <f>MIN(S145,S$7)</f>
        <v/>
      </c>
      <c r="U145" s="152">
        <f>MAX(0,MIN(S145-T145,AQ145-(E145+I145+M145+Q145)))</f>
        <v/>
      </c>
      <c r="V145" s="152">
        <f>S145-T145-U145</f>
        <v/>
      </c>
      <c r="W145" s="152">
        <f>IF(Z144&lt;=0.005,0,Z144*(1+W$6))</f>
        <v/>
      </c>
      <c r="X145" s="152">
        <f>MIN(W145,W$7)</f>
        <v/>
      </c>
      <c r="Y145" s="152">
        <f>MAX(0,MIN(W145-X145,AQ145-(E145+I145+M145+Q145+U145)))</f>
        <v/>
      </c>
      <c r="Z145" s="152">
        <f>W145-X145-Y145</f>
        <v/>
      </c>
      <c r="AA145" s="152">
        <f>IF(AD144&lt;=0.005,0,AD144*(1+AA$6))</f>
        <v/>
      </c>
      <c r="AB145" s="152">
        <f>MIN(AA145,AA$7)</f>
        <v/>
      </c>
      <c r="AC145" s="152">
        <f>MAX(0,MIN(AA145-AB145,AQ145-(E145+I145+M145+Q145+U145+Y145)))</f>
        <v/>
      </c>
      <c r="AD145" s="152">
        <f>AA145-AB145-AC145</f>
        <v/>
      </c>
      <c r="AE145" s="152">
        <f>IF(AH144&lt;=0.005,0,AH144*(1+AE$6))</f>
        <v/>
      </c>
      <c r="AF145" s="152">
        <f>MIN(AE145,AE$7)</f>
        <v/>
      </c>
      <c r="AG145" s="152">
        <f>MAX(0,MIN(AE145-AF145,AQ145-(E145+I145+M145+Q145+U145+Y145+AC145)))</f>
        <v/>
      </c>
      <c r="AH145" s="152">
        <f>AE145-AF145-AG145</f>
        <v/>
      </c>
      <c r="AI145" s="152">
        <f>IF(AL144&lt;=0.005,0,AL144*(1+AI$6))</f>
        <v/>
      </c>
      <c r="AJ145" s="152">
        <f>MIN(AI145,AI$7)</f>
        <v/>
      </c>
      <c r="AK145" s="152">
        <f>MAX(0,MIN(AI145-AJ145,AQ145-(E145+I145+M145+Q145+U145+Y145+AC145+AG145)))</f>
        <v/>
      </c>
      <c r="AL145" s="152">
        <f>AI145-AJ145-AK145</f>
        <v/>
      </c>
      <c r="AM145" s="152">
        <f>IF(AP144&lt;=0.005,0,AP144*(1+AM$6))</f>
        <v/>
      </c>
      <c r="AN145" s="152">
        <f>MIN(AM145,AM$7)</f>
        <v/>
      </c>
      <c r="AO145" s="152">
        <f>MAX(0,MIN(AM145-AN145,AQ145-(E145+I145+M145+Q145+U145+Y145+AC145+AG145+AK145)))</f>
        <v/>
      </c>
      <c r="AP145" s="152">
        <f>AM145-AN145-AO145</f>
        <v/>
      </c>
      <c r="AQ145" s="152">
        <f>'Debt Payoff'!$C$8-SUM(D145,H145,L145,P145,T145,X145,AB145,AF145,AJ145,AN145)</f>
        <v/>
      </c>
      <c r="AR145" s="152">
        <f>SUM(D145,H145,L145,P145,T145,X145,AB145,AF145,AJ145,AN145)+SUM(E145,I145,M145,Q145,U145,Y145,AC145,AG145,AK145,AO145)</f>
        <v/>
      </c>
      <c r="AS145" s="152">
        <f>SUM(F145,J145,N145,R145,V145,Z145,AD145,AH145,AL145,AP145)</f>
        <v/>
      </c>
      <c r="AT145" s="152">
        <f>IF(B145&gt;AS$6,NA(),B145)</f>
        <v/>
      </c>
      <c r="AU145" s="152">
        <f>IF(B145&gt;AS$6,NA(),AS145)</f>
        <v/>
      </c>
      <c r="AV145" s="152" t="n"/>
      <c r="AW145" s="152" t="n">
        <v>134</v>
      </c>
      <c r="AX145" s="152">
        <f>IF(BA144&lt;=0.005,0,BA144*(1+AX$6))</f>
        <v/>
      </c>
      <c r="AY145" s="152">
        <f>MIN(AX145,AX$7)</f>
        <v/>
      </c>
      <c r="AZ145" s="152">
        <f>MAX(0,MIN(AX145-AY145,CL145))</f>
        <v/>
      </c>
      <c r="BA145" s="152">
        <f>AX145-AY145-AZ145</f>
        <v/>
      </c>
      <c r="BB145" s="152">
        <f>IF(BE144&lt;=0.005,0,BE144*(1+BB$6))</f>
        <v/>
      </c>
      <c r="BC145" s="152">
        <f>MIN(BB145,BB$7)</f>
        <v/>
      </c>
      <c r="BD145" s="152">
        <f>MAX(0,MIN(BB145-BC145,CL145-(AZ145)))</f>
        <v/>
      </c>
      <c r="BE145" s="152">
        <f>BB145-BC145-BD145</f>
        <v/>
      </c>
      <c r="BF145" s="152">
        <f>IF(BI144&lt;=0.005,0,BI144*(1+BF$6))</f>
        <v/>
      </c>
      <c r="BG145" s="152">
        <f>MIN(BF145,BF$7)</f>
        <v/>
      </c>
      <c r="BH145" s="152">
        <f>MAX(0,MIN(BF145-BG145,CL145-(AZ145+BD145)))</f>
        <v/>
      </c>
      <c r="BI145" s="152">
        <f>BF145-BG145-BH145</f>
        <v/>
      </c>
      <c r="BJ145" s="152">
        <f>IF(BM144&lt;=0.005,0,BM144*(1+BJ$6))</f>
        <v/>
      </c>
      <c r="BK145" s="152">
        <f>MIN(BJ145,BJ$7)</f>
        <v/>
      </c>
      <c r="BL145" s="152">
        <f>MAX(0,MIN(BJ145-BK145,CL145-(AZ145+BD145+BH145)))</f>
        <v/>
      </c>
      <c r="BM145" s="152">
        <f>BJ145-BK145-BL145</f>
        <v/>
      </c>
      <c r="BN145" s="152">
        <f>IF(BQ144&lt;=0.005,0,BQ144*(1+BN$6))</f>
        <v/>
      </c>
      <c r="BO145" s="152">
        <f>MIN(BN145,BN$7)</f>
        <v/>
      </c>
      <c r="BP145" s="152">
        <f>MAX(0,MIN(BN145-BO145,CL145-(AZ145+BD145+BH145+BL145)))</f>
        <v/>
      </c>
      <c r="BQ145" s="152">
        <f>BN145-BO145-BP145</f>
        <v/>
      </c>
      <c r="BR145" s="152">
        <f>IF(BU144&lt;=0.005,0,BU144*(1+BR$6))</f>
        <v/>
      </c>
      <c r="BS145" s="152">
        <f>MIN(BR145,BR$7)</f>
        <v/>
      </c>
      <c r="BT145" s="152">
        <f>MAX(0,MIN(BR145-BS145,CL145-(AZ145+BD145+BH145+BL145+BP145)))</f>
        <v/>
      </c>
      <c r="BU145" s="152">
        <f>BR145-BS145-BT145</f>
        <v/>
      </c>
      <c r="BV145" s="152">
        <f>IF(BY144&lt;=0.005,0,BY144*(1+BV$6))</f>
        <v/>
      </c>
      <c r="BW145" s="152">
        <f>MIN(BV145,BV$7)</f>
        <v/>
      </c>
      <c r="BX145" s="152">
        <f>MAX(0,MIN(BV145-BW145,CL145-(AZ145+BD145+BH145+BL145+BP145+BT145)))</f>
        <v/>
      </c>
      <c r="BY145" s="152">
        <f>BV145-BW145-BX145</f>
        <v/>
      </c>
      <c r="BZ145" s="152">
        <f>IF(CC144&lt;=0.005,0,CC144*(1+BZ$6))</f>
        <v/>
      </c>
      <c r="CA145" s="152">
        <f>MIN(BZ145,BZ$7)</f>
        <v/>
      </c>
      <c r="CB145" s="152">
        <f>MAX(0,MIN(BZ145-CA145,CL145-(AZ145+BD145+BH145+BL145+BP145+BT145+BX145)))</f>
        <v/>
      </c>
      <c r="CC145" s="152">
        <f>BZ145-CA145-CB145</f>
        <v/>
      </c>
      <c r="CD145" s="152">
        <f>IF(CG144&lt;=0.005,0,CG144*(1+CD$6))</f>
        <v/>
      </c>
      <c r="CE145" s="152">
        <f>MIN(CD145,CD$7)</f>
        <v/>
      </c>
      <c r="CF145" s="152">
        <f>MAX(0,MIN(CD145-CE145,CL145-(AZ145+BD145+BH145+BL145+BP145+BT145+BX145+CB145)))</f>
        <v/>
      </c>
      <c r="CG145" s="152">
        <f>CD145-CE145-CF145</f>
        <v/>
      </c>
      <c r="CH145" s="152">
        <f>IF(CK144&lt;=0.005,0,CK144*(1+CH$6))</f>
        <v/>
      </c>
      <c r="CI145" s="152">
        <f>MIN(CH145,CH$7)</f>
        <v/>
      </c>
      <c r="CJ145" s="152">
        <f>MAX(0,MIN(CH145-CI145,CL145-(AZ145+BD145+BH145+BL145+BP145+BT145+BX145+CB145+CF145)))</f>
        <v/>
      </c>
      <c r="CK145" s="152">
        <f>CH145-CI145-CJ145</f>
        <v/>
      </c>
      <c r="CL145" s="152">
        <f>'Debt Payoff'!$C$8-SUM(AY145,BC145,BG145,BK145,BO145,BS145,BW145,CA145,CE145,CI145)</f>
        <v/>
      </c>
      <c r="CM145" s="152">
        <f>SUM(AY145,BC145,BG145,BK145,BO145,BS145,BW145,CA145,CE145,CI145)+SUM(AZ145,BD145,BH145,BL145,BP145,BT145,BX145,CB145,CF145,CJ145)</f>
        <v/>
      </c>
      <c r="CN145" s="152">
        <f>SUM(BA145,BE145,BI145,BM145,BQ145,BU145,BY145,CC145,CG145,CK145)</f>
        <v/>
      </c>
      <c r="CO145" s="152">
        <f>IF(AW145&gt;CN$6,NA(),AW145)</f>
        <v/>
      </c>
      <c r="CP145" s="152">
        <f>IF(AW145&gt;CN$6,NA(),CN145)</f>
        <v/>
      </c>
    </row>
    <row r="146">
      <c r="B146" s="152" t="n">
        <v>135</v>
      </c>
      <c r="C146" s="152">
        <f>IF(F145&lt;=0.005,0,F145*(1+C$6))</f>
        <v/>
      </c>
      <c r="D146" s="152">
        <f>MIN(C146,C$7)</f>
        <v/>
      </c>
      <c r="E146" s="152">
        <f>MAX(0,MIN(C146-D146,AQ146))</f>
        <v/>
      </c>
      <c r="F146" s="152">
        <f>C146-D146-E146</f>
        <v/>
      </c>
      <c r="G146" s="152">
        <f>IF(J145&lt;=0.005,0,J145*(1+G$6))</f>
        <v/>
      </c>
      <c r="H146" s="152">
        <f>MIN(G146,G$7)</f>
        <v/>
      </c>
      <c r="I146" s="152">
        <f>MAX(0,MIN(G146-H146,AQ146-(E146)))</f>
        <v/>
      </c>
      <c r="J146" s="152">
        <f>G146-H146-I146</f>
        <v/>
      </c>
      <c r="K146" s="152">
        <f>IF(N145&lt;=0.005,0,N145*(1+K$6))</f>
        <v/>
      </c>
      <c r="L146" s="152">
        <f>MIN(K146,K$7)</f>
        <v/>
      </c>
      <c r="M146" s="152">
        <f>MAX(0,MIN(K146-L146,AQ146-(E146+I146)))</f>
        <v/>
      </c>
      <c r="N146" s="152">
        <f>K146-L146-M146</f>
        <v/>
      </c>
      <c r="O146" s="152">
        <f>IF(R145&lt;=0.005,0,R145*(1+O$6))</f>
        <v/>
      </c>
      <c r="P146" s="152">
        <f>MIN(O146,O$7)</f>
        <v/>
      </c>
      <c r="Q146" s="152">
        <f>MAX(0,MIN(O146-P146,AQ146-(E146+I146+M146)))</f>
        <v/>
      </c>
      <c r="R146" s="152">
        <f>O146-P146-Q146</f>
        <v/>
      </c>
      <c r="S146" s="152">
        <f>IF(V145&lt;=0.005,0,V145*(1+S$6))</f>
        <v/>
      </c>
      <c r="T146" s="152">
        <f>MIN(S146,S$7)</f>
        <v/>
      </c>
      <c r="U146" s="152">
        <f>MAX(0,MIN(S146-T146,AQ146-(E146+I146+M146+Q146)))</f>
        <v/>
      </c>
      <c r="V146" s="152">
        <f>S146-T146-U146</f>
        <v/>
      </c>
      <c r="W146" s="152">
        <f>IF(Z145&lt;=0.005,0,Z145*(1+W$6))</f>
        <v/>
      </c>
      <c r="X146" s="152">
        <f>MIN(W146,W$7)</f>
        <v/>
      </c>
      <c r="Y146" s="152">
        <f>MAX(0,MIN(W146-X146,AQ146-(E146+I146+M146+Q146+U146)))</f>
        <v/>
      </c>
      <c r="Z146" s="152">
        <f>W146-X146-Y146</f>
        <v/>
      </c>
      <c r="AA146" s="152">
        <f>IF(AD145&lt;=0.005,0,AD145*(1+AA$6))</f>
        <v/>
      </c>
      <c r="AB146" s="152">
        <f>MIN(AA146,AA$7)</f>
        <v/>
      </c>
      <c r="AC146" s="152">
        <f>MAX(0,MIN(AA146-AB146,AQ146-(E146+I146+M146+Q146+U146+Y146)))</f>
        <v/>
      </c>
      <c r="AD146" s="152">
        <f>AA146-AB146-AC146</f>
        <v/>
      </c>
      <c r="AE146" s="152">
        <f>IF(AH145&lt;=0.005,0,AH145*(1+AE$6))</f>
        <v/>
      </c>
      <c r="AF146" s="152">
        <f>MIN(AE146,AE$7)</f>
        <v/>
      </c>
      <c r="AG146" s="152">
        <f>MAX(0,MIN(AE146-AF146,AQ146-(E146+I146+M146+Q146+U146+Y146+AC146)))</f>
        <v/>
      </c>
      <c r="AH146" s="152">
        <f>AE146-AF146-AG146</f>
        <v/>
      </c>
      <c r="AI146" s="152">
        <f>IF(AL145&lt;=0.005,0,AL145*(1+AI$6))</f>
        <v/>
      </c>
      <c r="AJ146" s="152">
        <f>MIN(AI146,AI$7)</f>
        <v/>
      </c>
      <c r="AK146" s="152">
        <f>MAX(0,MIN(AI146-AJ146,AQ146-(E146+I146+M146+Q146+U146+Y146+AC146+AG146)))</f>
        <v/>
      </c>
      <c r="AL146" s="152">
        <f>AI146-AJ146-AK146</f>
        <v/>
      </c>
      <c r="AM146" s="152">
        <f>IF(AP145&lt;=0.005,0,AP145*(1+AM$6))</f>
        <v/>
      </c>
      <c r="AN146" s="152">
        <f>MIN(AM146,AM$7)</f>
        <v/>
      </c>
      <c r="AO146" s="152">
        <f>MAX(0,MIN(AM146-AN146,AQ146-(E146+I146+M146+Q146+U146+Y146+AC146+AG146+AK146)))</f>
        <v/>
      </c>
      <c r="AP146" s="152">
        <f>AM146-AN146-AO146</f>
        <v/>
      </c>
      <c r="AQ146" s="152">
        <f>'Debt Payoff'!$C$8-SUM(D146,H146,L146,P146,T146,X146,AB146,AF146,AJ146,AN146)</f>
        <v/>
      </c>
      <c r="AR146" s="152">
        <f>SUM(D146,H146,L146,P146,T146,X146,AB146,AF146,AJ146,AN146)+SUM(E146,I146,M146,Q146,U146,Y146,AC146,AG146,AK146,AO146)</f>
        <v/>
      </c>
      <c r="AS146" s="152">
        <f>SUM(F146,J146,N146,R146,V146,Z146,AD146,AH146,AL146,AP146)</f>
        <v/>
      </c>
      <c r="AT146" s="152">
        <f>IF(B146&gt;AS$6,NA(),B146)</f>
        <v/>
      </c>
      <c r="AU146" s="152">
        <f>IF(B146&gt;AS$6,NA(),AS146)</f>
        <v/>
      </c>
      <c r="AV146" s="152" t="n"/>
      <c r="AW146" s="152" t="n">
        <v>135</v>
      </c>
      <c r="AX146" s="152">
        <f>IF(BA145&lt;=0.005,0,BA145*(1+AX$6))</f>
        <v/>
      </c>
      <c r="AY146" s="152">
        <f>MIN(AX146,AX$7)</f>
        <v/>
      </c>
      <c r="AZ146" s="152">
        <f>MAX(0,MIN(AX146-AY146,CL146))</f>
        <v/>
      </c>
      <c r="BA146" s="152">
        <f>AX146-AY146-AZ146</f>
        <v/>
      </c>
      <c r="BB146" s="152">
        <f>IF(BE145&lt;=0.005,0,BE145*(1+BB$6))</f>
        <v/>
      </c>
      <c r="BC146" s="152">
        <f>MIN(BB146,BB$7)</f>
        <v/>
      </c>
      <c r="BD146" s="152">
        <f>MAX(0,MIN(BB146-BC146,CL146-(AZ146)))</f>
        <v/>
      </c>
      <c r="BE146" s="152">
        <f>BB146-BC146-BD146</f>
        <v/>
      </c>
      <c r="BF146" s="152">
        <f>IF(BI145&lt;=0.005,0,BI145*(1+BF$6))</f>
        <v/>
      </c>
      <c r="BG146" s="152">
        <f>MIN(BF146,BF$7)</f>
        <v/>
      </c>
      <c r="BH146" s="152">
        <f>MAX(0,MIN(BF146-BG146,CL146-(AZ146+BD146)))</f>
        <v/>
      </c>
      <c r="BI146" s="152">
        <f>BF146-BG146-BH146</f>
        <v/>
      </c>
      <c r="BJ146" s="152">
        <f>IF(BM145&lt;=0.005,0,BM145*(1+BJ$6))</f>
        <v/>
      </c>
      <c r="BK146" s="152">
        <f>MIN(BJ146,BJ$7)</f>
        <v/>
      </c>
      <c r="BL146" s="152">
        <f>MAX(0,MIN(BJ146-BK146,CL146-(AZ146+BD146+BH146)))</f>
        <v/>
      </c>
      <c r="BM146" s="152">
        <f>BJ146-BK146-BL146</f>
        <v/>
      </c>
      <c r="BN146" s="152">
        <f>IF(BQ145&lt;=0.005,0,BQ145*(1+BN$6))</f>
        <v/>
      </c>
      <c r="BO146" s="152">
        <f>MIN(BN146,BN$7)</f>
        <v/>
      </c>
      <c r="BP146" s="152">
        <f>MAX(0,MIN(BN146-BO146,CL146-(AZ146+BD146+BH146+BL146)))</f>
        <v/>
      </c>
      <c r="BQ146" s="152">
        <f>BN146-BO146-BP146</f>
        <v/>
      </c>
      <c r="BR146" s="152">
        <f>IF(BU145&lt;=0.005,0,BU145*(1+BR$6))</f>
        <v/>
      </c>
      <c r="BS146" s="152">
        <f>MIN(BR146,BR$7)</f>
        <v/>
      </c>
      <c r="BT146" s="152">
        <f>MAX(0,MIN(BR146-BS146,CL146-(AZ146+BD146+BH146+BL146+BP146)))</f>
        <v/>
      </c>
      <c r="BU146" s="152">
        <f>BR146-BS146-BT146</f>
        <v/>
      </c>
      <c r="BV146" s="152">
        <f>IF(BY145&lt;=0.005,0,BY145*(1+BV$6))</f>
        <v/>
      </c>
      <c r="BW146" s="152">
        <f>MIN(BV146,BV$7)</f>
        <v/>
      </c>
      <c r="BX146" s="152">
        <f>MAX(0,MIN(BV146-BW146,CL146-(AZ146+BD146+BH146+BL146+BP146+BT146)))</f>
        <v/>
      </c>
      <c r="BY146" s="152">
        <f>BV146-BW146-BX146</f>
        <v/>
      </c>
      <c r="BZ146" s="152">
        <f>IF(CC145&lt;=0.005,0,CC145*(1+BZ$6))</f>
        <v/>
      </c>
      <c r="CA146" s="152">
        <f>MIN(BZ146,BZ$7)</f>
        <v/>
      </c>
      <c r="CB146" s="152">
        <f>MAX(0,MIN(BZ146-CA146,CL146-(AZ146+BD146+BH146+BL146+BP146+BT146+BX146)))</f>
        <v/>
      </c>
      <c r="CC146" s="152">
        <f>BZ146-CA146-CB146</f>
        <v/>
      </c>
      <c r="CD146" s="152">
        <f>IF(CG145&lt;=0.005,0,CG145*(1+CD$6))</f>
        <v/>
      </c>
      <c r="CE146" s="152">
        <f>MIN(CD146,CD$7)</f>
        <v/>
      </c>
      <c r="CF146" s="152">
        <f>MAX(0,MIN(CD146-CE146,CL146-(AZ146+BD146+BH146+BL146+BP146+BT146+BX146+CB146)))</f>
        <v/>
      </c>
      <c r="CG146" s="152">
        <f>CD146-CE146-CF146</f>
        <v/>
      </c>
      <c r="CH146" s="152">
        <f>IF(CK145&lt;=0.005,0,CK145*(1+CH$6))</f>
        <v/>
      </c>
      <c r="CI146" s="152">
        <f>MIN(CH146,CH$7)</f>
        <v/>
      </c>
      <c r="CJ146" s="152">
        <f>MAX(0,MIN(CH146-CI146,CL146-(AZ146+BD146+BH146+BL146+BP146+BT146+BX146+CB146+CF146)))</f>
        <v/>
      </c>
      <c r="CK146" s="152">
        <f>CH146-CI146-CJ146</f>
        <v/>
      </c>
      <c r="CL146" s="152">
        <f>'Debt Payoff'!$C$8-SUM(AY146,BC146,BG146,BK146,BO146,BS146,BW146,CA146,CE146,CI146)</f>
        <v/>
      </c>
      <c r="CM146" s="152">
        <f>SUM(AY146,BC146,BG146,BK146,BO146,BS146,BW146,CA146,CE146,CI146)+SUM(AZ146,BD146,BH146,BL146,BP146,BT146,BX146,CB146,CF146,CJ146)</f>
        <v/>
      </c>
      <c r="CN146" s="152">
        <f>SUM(BA146,BE146,BI146,BM146,BQ146,BU146,BY146,CC146,CG146,CK146)</f>
        <v/>
      </c>
      <c r="CO146" s="152">
        <f>IF(AW146&gt;CN$6,NA(),AW146)</f>
        <v/>
      </c>
      <c r="CP146" s="152">
        <f>IF(AW146&gt;CN$6,NA(),CN146)</f>
        <v/>
      </c>
    </row>
    <row r="147">
      <c r="B147" s="152" t="n">
        <v>136</v>
      </c>
      <c r="C147" s="152">
        <f>IF(F146&lt;=0.005,0,F146*(1+C$6))</f>
        <v/>
      </c>
      <c r="D147" s="152">
        <f>MIN(C147,C$7)</f>
        <v/>
      </c>
      <c r="E147" s="152">
        <f>MAX(0,MIN(C147-D147,AQ147))</f>
        <v/>
      </c>
      <c r="F147" s="152">
        <f>C147-D147-E147</f>
        <v/>
      </c>
      <c r="G147" s="152">
        <f>IF(J146&lt;=0.005,0,J146*(1+G$6))</f>
        <v/>
      </c>
      <c r="H147" s="152">
        <f>MIN(G147,G$7)</f>
        <v/>
      </c>
      <c r="I147" s="152">
        <f>MAX(0,MIN(G147-H147,AQ147-(E147)))</f>
        <v/>
      </c>
      <c r="J147" s="152">
        <f>G147-H147-I147</f>
        <v/>
      </c>
      <c r="K147" s="152">
        <f>IF(N146&lt;=0.005,0,N146*(1+K$6))</f>
        <v/>
      </c>
      <c r="L147" s="152">
        <f>MIN(K147,K$7)</f>
        <v/>
      </c>
      <c r="M147" s="152">
        <f>MAX(0,MIN(K147-L147,AQ147-(E147+I147)))</f>
        <v/>
      </c>
      <c r="N147" s="152">
        <f>K147-L147-M147</f>
        <v/>
      </c>
      <c r="O147" s="152">
        <f>IF(R146&lt;=0.005,0,R146*(1+O$6))</f>
        <v/>
      </c>
      <c r="P147" s="152">
        <f>MIN(O147,O$7)</f>
        <v/>
      </c>
      <c r="Q147" s="152">
        <f>MAX(0,MIN(O147-P147,AQ147-(E147+I147+M147)))</f>
        <v/>
      </c>
      <c r="R147" s="152">
        <f>O147-P147-Q147</f>
        <v/>
      </c>
      <c r="S147" s="152">
        <f>IF(V146&lt;=0.005,0,V146*(1+S$6))</f>
        <v/>
      </c>
      <c r="T147" s="152">
        <f>MIN(S147,S$7)</f>
        <v/>
      </c>
      <c r="U147" s="152">
        <f>MAX(0,MIN(S147-T147,AQ147-(E147+I147+M147+Q147)))</f>
        <v/>
      </c>
      <c r="V147" s="152">
        <f>S147-T147-U147</f>
        <v/>
      </c>
      <c r="W147" s="152">
        <f>IF(Z146&lt;=0.005,0,Z146*(1+W$6))</f>
        <v/>
      </c>
      <c r="X147" s="152">
        <f>MIN(W147,W$7)</f>
        <v/>
      </c>
      <c r="Y147" s="152">
        <f>MAX(0,MIN(W147-X147,AQ147-(E147+I147+M147+Q147+U147)))</f>
        <v/>
      </c>
      <c r="Z147" s="152">
        <f>W147-X147-Y147</f>
        <v/>
      </c>
      <c r="AA147" s="152">
        <f>IF(AD146&lt;=0.005,0,AD146*(1+AA$6))</f>
        <v/>
      </c>
      <c r="AB147" s="152">
        <f>MIN(AA147,AA$7)</f>
        <v/>
      </c>
      <c r="AC147" s="152">
        <f>MAX(0,MIN(AA147-AB147,AQ147-(E147+I147+M147+Q147+U147+Y147)))</f>
        <v/>
      </c>
      <c r="AD147" s="152">
        <f>AA147-AB147-AC147</f>
        <v/>
      </c>
      <c r="AE147" s="152">
        <f>IF(AH146&lt;=0.005,0,AH146*(1+AE$6))</f>
        <v/>
      </c>
      <c r="AF147" s="152">
        <f>MIN(AE147,AE$7)</f>
        <v/>
      </c>
      <c r="AG147" s="152">
        <f>MAX(0,MIN(AE147-AF147,AQ147-(E147+I147+M147+Q147+U147+Y147+AC147)))</f>
        <v/>
      </c>
      <c r="AH147" s="152">
        <f>AE147-AF147-AG147</f>
        <v/>
      </c>
      <c r="AI147" s="152">
        <f>IF(AL146&lt;=0.005,0,AL146*(1+AI$6))</f>
        <v/>
      </c>
      <c r="AJ147" s="152">
        <f>MIN(AI147,AI$7)</f>
        <v/>
      </c>
      <c r="AK147" s="152">
        <f>MAX(0,MIN(AI147-AJ147,AQ147-(E147+I147+M147+Q147+U147+Y147+AC147+AG147)))</f>
        <v/>
      </c>
      <c r="AL147" s="152">
        <f>AI147-AJ147-AK147</f>
        <v/>
      </c>
      <c r="AM147" s="152">
        <f>IF(AP146&lt;=0.005,0,AP146*(1+AM$6))</f>
        <v/>
      </c>
      <c r="AN147" s="152">
        <f>MIN(AM147,AM$7)</f>
        <v/>
      </c>
      <c r="AO147" s="152">
        <f>MAX(0,MIN(AM147-AN147,AQ147-(E147+I147+M147+Q147+U147+Y147+AC147+AG147+AK147)))</f>
        <v/>
      </c>
      <c r="AP147" s="152">
        <f>AM147-AN147-AO147</f>
        <v/>
      </c>
      <c r="AQ147" s="152">
        <f>'Debt Payoff'!$C$8-SUM(D147,H147,L147,P147,T147,X147,AB147,AF147,AJ147,AN147)</f>
        <v/>
      </c>
      <c r="AR147" s="152">
        <f>SUM(D147,H147,L147,P147,T147,X147,AB147,AF147,AJ147,AN147)+SUM(E147,I147,M147,Q147,U147,Y147,AC147,AG147,AK147,AO147)</f>
        <v/>
      </c>
      <c r="AS147" s="152">
        <f>SUM(F147,J147,N147,R147,V147,Z147,AD147,AH147,AL147,AP147)</f>
        <v/>
      </c>
      <c r="AT147" s="152">
        <f>IF(B147&gt;AS$6,NA(),B147)</f>
        <v/>
      </c>
      <c r="AU147" s="152">
        <f>IF(B147&gt;AS$6,NA(),AS147)</f>
        <v/>
      </c>
      <c r="AV147" s="152" t="n"/>
      <c r="AW147" s="152" t="n">
        <v>136</v>
      </c>
      <c r="AX147" s="152">
        <f>IF(BA146&lt;=0.005,0,BA146*(1+AX$6))</f>
        <v/>
      </c>
      <c r="AY147" s="152">
        <f>MIN(AX147,AX$7)</f>
        <v/>
      </c>
      <c r="AZ147" s="152">
        <f>MAX(0,MIN(AX147-AY147,CL147))</f>
        <v/>
      </c>
      <c r="BA147" s="152">
        <f>AX147-AY147-AZ147</f>
        <v/>
      </c>
      <c r="BB147" s="152">
        <f>IF(BE146&lt;=0.005,0,BE146*(1+BB$6))</f>
        <v/>
      </c>
      <c r="BC147" s="152">
        <f>MIN(BB147,BB$7)</f>
        <v/>
      </c>
      <c r="BD147" s="152">
        <f>MAX(0,MIN(BB147-BC147,CL147-(AZ147)))</f>
        <v/>
      </c>
      <c r="BE147" s="152">
        <f>BB147-BC147-BD147</f>
        <v/>
      </c>
      <c r="BF147" s="152">
        <f>IF(BI146&lt;=0.005,0,BI146*(1+BF$6))</f>
        <v/>
      </c>
      <c r="BG147" s="152">
        <f>MIN(BF147,BF$7)</f>
        <v/>
      </c>
      <c r="BH147" s="152">
        <f>MAX(0,MIN(BF147-BG147,CL147-(AZ147+BD147)))</f>
        <v/>
      </c>
      <c r="BI147" s="152">
        <f>BF147-BG147-BH147</f>
        <v/>
      </c>
      <c r="BJ147" s="152">
        <f>IF(BM146&lt;=0.005,0,BM146*(1+BJ$6))</f>
        <v/>
      </c>
      <c r="BK147" s="152">
        <f>MIN(BJ147,BJ$7)</f>
        <v/>
      </c>
      <c r="BL147" s="152">
        <f>MAX(0,MIN(BJ147-BK147,CL147-(AZ147+BD147+BH147)))</f>
        <v/>
      </c>
      <c r="BM147" s="152">
        <f>BJ147-BK147-BL147</f>
        <v/>
      </c>
      <c r="BN147" s="152">
        <f>IF(BQ146&lt;=0.005,0,BQ146*(1+BN$6))</f>
        <v/>
      </c>
      <c r="BO147" s="152">
        <f>MIN(BN147,BN$7)</f>
        <v/>
      </c>
      <c r="BP147" s="152">
        <f>MAX(0,MIN(BN147-BO147,CL147-(AZ147+BD147+BH147+BL147)))</f>
        <v/>
      </c>
      <c r="BQ147" s="152">
        <f>BN147-BO147-BP147</f>
        <v/>
      </c>
      <c r="BR147" s="152">
        <f>IF(BU146&lt;=0.005,0,BU146*(1+BR$6))</f>
        <v/>
      </c>
      <c r="BS147" s="152">
        <f>MIN(BR147,BR$7)</f>
        <v/>
      </c>
      <c r="BT147" s="152">
        <f>MAX(0,MIN(BR147-BS147,CL147-(AZ147+BD147+BH147+BL147+BP147)))</f>
        <v/>
      </c>
      <c r="BU147" s="152">
        <f>BR147-BS147-BT147</f>
        <v/>
      </c>
      <c r="BV147" s="152">
        <f>IF(BY146&lt;=0.005,0,BY146*(1+BV$6))</f>
        <v/>
      </c>
      <c r="BW147" s="152">
        <f>MIN(BV147,BV$7)</f>
        <v/>
      </c>
      <c r="BX147" s="152">
        <f>MAX(0,MIN(BV147-BW147,CL147-(AZ147+BD147+BH147+BL147+BP147+BT147)))</f>
        <v/>
      </c>
      <c r="BY147" s="152">
        <f>BV147-BW147-BX147</f>
        <v/>
      </c>
      <c r="BZ147" s="152">
        <f>IF(CC146&lt;=0.005,0,CC146*(1+BZ$6))</f>
        <v/>
      </c>
      <c r="CA147" s="152">
        <f>MIN(BZ147,BZ$7)</f>
        <v/>
      </c>
      <c r="CB147" s="152">
        <f>MAX(0,MIN(BZ147-CA147,CL147-(AZ147+BD147+BH147+BL147+BP147+BT147+BX147)))</f>
        <v/>
      </c>
      <c r="CC147" s="152">
        <f>BZ147-CA147-CB147</f>
        <v/>
      </c>
      <c r="CD147" s="152">
        <f>IF(CG146&lt;=0.005,0,CG146*(1+CD$6))</f>
        <v/>
      </c>
      <c r="CE147" s="152">
        <f>MIN(CD147,CD$7)</f>
        <v/>
      </c>
      <c r="CF147" s="152">
        <f>MAX(0,MIN(CD147-CE147,CL147-(AZ147+BD147+BH147+BL147+BP147+BT147+BX147+CB147)))</f>
        <v/>
      </c>
      <c r="CG147" s="152">
        <f>CD147-CE147-CF147</f>
        <v/>
      </c>
      <c r="CH147" s="152">
        <f>IF(CK146&lt;=0.005,0,CK146*(1+CH$6))</f>
        <v/>
      </c>
      <c r="CI147" s="152">
        <f>MIN(CH147,CH$7)</f>
        <v/>
      </c>
      <c r="CJ147" s="152">
        <f>MAX(0,MIN(CH147-CI147,CL147-(AZ147+BD147+BH147+BL147+BP147+BT147+BX147+CB147+CF147)))</f>
        <v/>
      </c>
      <c r="CK147" s="152">
        <f>CH147-CI147-CJ147</f>
        <v/>
      </c>
      <c r="CL147" s="152">
        <f>'Debt Payoff'!$C$8-SUM(AY147,BC147,BG147,BK147,BO147,BS147,BW147,CA147,CE147,CI147)</f>
        <v/>
      </c>
      <c r="CM147" s="152">
        <f>SUM(AY147,BC147,BG147,BK147,BO147,BS147,BW147,CA147,CE147,CI147)+SUM(AZ147,BD147,BH147,BL147,BP147,BT147,BX147,CB147,CF147,CJ147)</f>
        <v/>
      </c>
      <c r="CN147" s="152">
        <f>SUM(BA147,BE147,BI147,BM147,BQ147,BU147,BY147,CC147,CG147,CK147)</f>
        <v/>
      </c>
      <c r="CO147" s="152">
        <f>IF(AW147&gt;CN$6,NA(),AW147)</f>
        <v/>
      </c>
      <c r="CP147" s="152">
        <f>IF(AW147&gt;CN$6,NA(),CN147)</f>
        <v/>
      </c>
    </row>
    <row r="148">
      <c r="B148" s="152" t="n">
        <v>137</v>
      </c>
      <c r="C148" s="152">
        <f>IF(F147&lt;=0.005,0,F147*(1+C$6))</f>
        <v/>
      </c>
      <c r="D148" s="152">
        <f>MIN(C148,C$7)</f>
        <v/>
      </c>
      <c r="E148" s="152">
        <f>MAX(0,MIN(C148-D148,AQ148))</f>
        <v/>
      </c>
      <c r="F148" s="152">
        <f>C148-D148-E148</f>
        <v/>
      </c>
      <c r="G148" s="152">
        <f>IF(J147&lt;=0.005,0,J147*(1+G$6))</f>
        <v/>
      </c>
      <c r="H148" s="152">
        <f>MIN(G148,G$7)</f>
        <v/>
      </c>
      <c r="I148" s="152">
        <f>MAX(0,MIN(G148-H148,AQ148-(E148)))</f>
        <v/>
      </c>
      <c r="J148" s="152">
        <f>G148-H148-I148</f>
        <v/>
      </c>
      <c r="K148" s="152">
        <f>IF(N147&lt;=0.005,0,N147*(1+K$6))</f>
        <v/>
      </c>
      <c r="L148" s="152">
        <f>MIN(K148,K$7)</f>
        <v/>
      </c>
      <c r="M148" s="152">
        <f>MAX(0,MIN(K148-L148,AQ148-(E148+I148)))</f>
        <v/>
      </c>
      <c r="N148" s="152">
        <f>K148-L148-M148</f>
        <v/>
      </c>
      <c r="O148" s="152">
        <f>IF(R147&lt;=0.005,0,R147*(1+O$6))</f>
        <v/>
      </c>
      <c r="P148" s="152">
        <f>MIN(O148,O$7)</f>
        <v/>
      </c>
      <c r="Q148" s="152">
        <f>MAX(0,MIN(O148-P148,AQ148-(E148+I148+M148)))</f>
        <v/>
      </c>
      <c r="R148" s="152">
        <f>O148-P148-Q148</f>
        <v/>
      </c>
      <c r="S148" s="152">
        <f>IF(V147&lt;=0.005,0,V147*(1+S$6))</f>
        <v/>
      </c>
      <c r="T148" s="152">
        <f>MIN(S148,S$7)</f>
        <v/>
      </c>
      <c r="U148" s="152">
        <f>MAX(0,MIN(S148-T148,AQ148-(E148+I148+M148+Q148)))</f>
        <v/>
      </c>
      <c r="V148" s="152">
        <f>S148-T148-U148</f>
        <v/>
      </c>
      <c r="W148" s="152">
        <f>IF(Z147&lt;=0.005,0,Z147*(1+W$6))</f>
        <v/>
      </c>
      <c r="X148" s="152">
        <f>MIN(W148,W$7)</f>
        <v/>
      </c>
      <c r="Y148" s="152">
        <f>MAX(0,MIN(W148-X148,AQ148-(E148+I148+M148+Q148+U148)))</f>
        <v/>
      </c>
      <c r="Z148" s="152">
        <f>W148-X148-Y148</f>
        <v/>
      </c>
      <c r="AA148" s="152">
        <f>IF(AD147&lt;=0.005,0,AD147*(1+AA$6))</f>
        <v/>
      </c>
      <c r="AB148" s="152">
        <f>MIN(AA148,AA$7)</f>
        <v/>
      </c>
      <c r="AC148" s="152">
        <f>MAX(0,MIN(AA148-AB148,AQ148-(E148+I148+M148+Q148+U148+Y148)))</f>
        <v/>
      </c>
      <c r="AD148" s="152">
        <f>AA148-AB148-AC148</f>
        <v/>
      </c>
      <c r="AE148" s="152">
        <f>IF(AH147&lt;=0.005,0,AH147*(1+AE$6))</f>
        <v/>
      </c>
      <c r="AF148" s="152">
        <f>MIN(AE148,AE$7)</f>
        <v/>
      </c>
      <c r="AG148" s="152">
        <f>MAX(0,MIN(AE148-AF148,AQ148-(E148+I148+M148+Q148+U148+Y148+AC148)))</f>
        <v/>
      </c>
      <c r="AH148" s="152">
        <f>AE148-AF148-AG148</f>
        <v/>
      </c>
      <c r="AI148" s="152">
        <f>IF(AL147&lt;=0.005,0,AL147*(1+AI$6))</f>
        <v/>
      </c>
      <c r="AJ148" s="152">
        <f>MIN(AI148,AI$7)</f>
        <v/>
      </c>
      <c r="AK148" s="152">
        <f>MAX(0,MIN(AI148-AJ148,AQ148-(E148+I148+M148+Q148+U148+Y148+AC148+AG148)))</f>
        <v/>
      </c>
      <c r="AL148" s="152">
        <f>AI148-AJ148-AK148</f>
        <v/>
      </c>
      <c r="AM148" s="152">
        <f>IF(AP147&lt;=0.005,0,AP147*(1+AM$6))</f>
        <v/>
      </c>
      <c r="AN148" s="152">
        <f>MIN(AM148,AM$7)</f>
        <v/>
      </c>
      <c r="AO148" s="152">
        <f>MAX(0,MIN(AM148-AN148,AQ148-(E148+I148+M148+Q148+U148+Y148+AC148+AG148+AK148)))</f>
        <v/>
      </c>
      <c r="AP148" s="152">
        <f>AM148-AN148-AO148</f>
        <v/>
      </c>
      <c r="AQ148" s="152">
        <f>'Debt Payoff'!$C$8-SUM(D148,H148,L148,P148,T148,X148,AB148,AF148,AJ148,AN148)</f>
        <v/>
      </c>
      <c r="AR148" s="152">
        <f>SUM(D148,H148,L148,P148,T148,X148,AB148,AF148,AJ148,AN148)+SUM(E148,I148,M148,Q148,U148,Y148,AC148,AG148,AK148,AO148)</f>
        <v/>
      </c>
      <c r="AS148" s="152">
        <f>SUM(F148,J148,N148,R148,V148,Z148,AD148,AH148,AL148,AP148)</f>
        <v/>
      </c>
      <c r="AT148" s="152">
        <f>IF(B148&gt;AS$6,NA(),B148)</f>
        <v/>
      </c>
      <c r="AU148" s="152">
        <f>IF(B148&gt;AS$6,NA(),AS148)</f>
        <v/>
      </c>
      <c r="AV148" s="152" t="n"/>
      <c r="AW148" s="152" t="n">
        <v>137</v>
      </c>
      <c r="AX148" s="152">
        <f>IF(BA147&lt;=0.005,0,BA147*(1+AX$6))</f>
        <v/>
      </c>
      <c r="AY148" s="152">
        <f>MIN(AX148,AX$7)</f>
        <v/>
      </c>
      <c r="AZ148" s="152">
        <f>MAX(0,MIN(AX148-AY148,CL148))</f>
        <v/>
      </c>
      <c r="BA148" s="152">
        <f>AX148-AY148-AZ148</f>
        <v/>
      </c>
      <c r="BB148" s="152">
        <f>IF(BE147&lt;=0.005,0,BE147*(1+BB$6))</f>
        <v/>
      </c>
      <c r="BC148" s="152">
        <f>MIN(BB148,BB$7)</f>
        <v/>
      </c>
      <c r="BD148" s="152">
        <f>MAX(0,MIN(BB148-BC148,CL148-(AZ148)))</f>
        <v/>
      </c>
      <c r="BE148" s="152">
        <f>BB148-BC148-BD148</f>
        <v/>
      </c>
      <c r="BF148" s="152">
        <f>IF(BI147&lt;=0.005,0,BI147*(1+BF$6))</f>
        <v/>
      </c>
      <c r="BG148" s="152">
        <f>MIN(BF148,BF$7)</f>
        <v/>
      </c>
      <c r="BH148" s="152">
        <f>MAX(0,MIN(BF148-BG148,CL148-(AZ148+BD148)))</f>
        <v/>
      </c>
      <c r="BI148" s="152">
        <f>BF148-BG148-BH148</f>
        <v/>
      </c>
      <c r="BJ148" s="152">
        <f>IF(BM147&lt;=0.005,0,BM147*(1+BJ$6))</f>
        <v/>
      </c>
      <c r="BK148" s="152">
        <f>MIN(BJ148,BJ$7)</f>
        <v/>
      </c>
      <c r="BL148" s="152">
        <f>MAX(0,MIN(BJ148-BK148,CL148-(AZ148+BD148+BH148)))</f>
        <v/>
      </c>
      <c r="BM148" s="152">
        <f>BJ148-BK148-BL148</f>
        <v/>
      </c>
      <c r="BN148" s="152">
        <f>IF(BQ147&lt;=0.005,0,BQ147*(1+BN$6))</f>
        <v/>
      </c>
      <c r="BO148" s="152">
        <f>MIN(BN148,BN$7)</f>
        <v/>
      </c>
      <c r="BP148" s="152">
        <f>MAX(0,MIN(BN148-BO148,CL148-(AZ148+BD148+BH148+BL148)))</f>
        <v/>
      </c>
      <c r="BQ148" s="152">
        <f>BN148-BO148-BP148</f>
        <v/>
      </c>
      <c r="BR148" s="152">
        <f>IF(BU147&lt;=0.005,0,BU147*(1+BR$6))</f>
        <v/>
      </c>
      <c r="BS148" s="152">
        <f>MIN(BR148,BR$7)</f>
        <v/>
      </c>
      <c r="BT148" s="152">
        <f>MAX(0,MIN(BR148-BS148,CL148-(AZ148+BD148+BH148+BL148+BP148)))</f>
        <v/>
      </c>
      <c r="BU148" s="152">
        <f>BR148-BS148-BT148</f>
        <v/>
      </c>
      <c r="BV148" s="152">
        <f>IF(BY147&lt;=0.005,0,BY147*(1+BV$6))</f>
        <v/>
      </c>
      <c r="BW148" s="152">
        <f>MIN(BV148,BV$7)</f>
        <v/>
      </c>
      <c r="BX148" s="152">
        <f>MAX(0,MIN(BV148-BW148,CL148-(AZ148+BD148+BH148+BL148+BP148+BT148)))</f>
        <v/>
      </c>
      <c r="BY148" s="152">
        <f>BV148-BW148-BX148</f>
        <v/>
      </c>
      <c r="BZ148" s="152">
        <f>IF(CC147&lt;=0.005,0,CC147*(1+BZ$6))</f>
        <v/>
      </c>
      <c r="CA148" s="152">
        <f>MIN(BZ148,BZ$7)</f>
        <v/>
      </c>
      <c r="CB148" s="152">
        <f>MAX(0,MIN(BZ148-CA148,CL148-(AZ148+BD148+BH148+BL148+BP148+BT148+BX148)))</f>
        <v/>
      </c>
      <c r="CC148" s="152">
        <f>BZ148-CA148-CB148</f>
        <v/>
      </c>
      <c r="CD148" s="152">
        <f>IF(CG147&lt;=0.005,0,CG147*(1+CD$6))</f>
        <v/>
      </c>
      <c r="CE148" s="152">
        <f>MIN(CD148,CD$7)</f>
        <v/>
      </c>
      <c r="CF148" s="152">
        <f>MAX(0,MIN(CD148-CE148,CL148-(AZ148+BD148+BH148+BL148+BP148+BT148+BX148+CB148)))</f>
        <v/>
      </c>
      <c r="CG148" s="152">
        <f>CD148-CE148-CF148</f>
        <v/>
      </c>
      <c r="CH148" s="152">
        <f>IF(CK147&lt;=0.005,0,CK147*(1+CH$6))</f>
        <v/>
      </c>
      <c r="CI148" s="152">
        <f>MIN(CH148,CH$7)</f>
        <v/>
      </c>
      <c r="CJ148" s="152">
        <f>MAX(0,MIN(CH148-CI148,CL148-(AZ148+BD148+BH148+BL148+BP148+BT148+BX148+CB148+CF148)))</f>
        <v/>
      </c>
      <c r="CK148" s="152">
        <f>CH148-CI148-CJ148</f>
        <v/>
      </c>
      <c r="CL148" s="152">
        <f>'Debt Payoff'!$C$8-SUM(AY148,BC148,BG148,BK148,BO148,BS148,BW148,CA148,CE148,CI148)</f>
        <v/>
      </c>
      <c r="CM148" s="152">
        <f>SUM(AY148,BC148,BG148,BK148,BO148,BS148,BW148,CA148,CE148,CI148)+SUM(AZ148,BD148,BH148,BL148,BP148,BT148,BX148,CB148,CF148,CJ148)</f>
        <v/>
      </c>
      <c r="CN148" s="152">
        <f>SUM(BA148,BE148,BI148,BM148,BQ148,BU148,BY148,CC148,CG148,CK148)</f>
        <v/>
      </c>
      <c r="CO148" s="152">
        <f>IF(AW148&gt;CN$6,NA(),AW148)</f>
        <v/>
      </c>
      <c r="CP148" s="152">
        <f>IF(AW148&gt;CN$6,NA(),CN148)</f>
        <v/>
      </c>
    </row>
    <row r="149">
      <c r="B149" s="152" t="n">
        <v>138</v>
      </c>
      <c r="C149" s="152">
        <f>IF(F148&lt;=0.005,0,F148*(1+C$6))</f>
        <v/>
      </c>
      <c r="D149" s="152">
        <f>MIN(C149,C$7)</f>
        <v/>
      </c>
      <c r="E149" s="152">
        <f>MAX(0,MIN(C149-D149,AQ149))</f>
        <v/>
      </c>
      <c r="F149" s="152">
        <f>C149-D149-E149</f>
        <v/>
      </c>
      <c r="G149" s="152">
        <f>IF(J148&lt;=0.005,0,J148*(1+G$6))</f>
        <v/>
      </c>
      <c r="H149" s="152">
        <f>MIN(G149,G$7)</f>
        <v/>
      </c>
      <c r="I149" s="152">
        <f>MAX(0,MIN(G149-H149,AQ149-(E149)))</f>
        <v/>
      </c>
      <c r="J149" s="152">
        <f>G149-H149-I149</f>
        <v/>
      </c>
      <c r="K149" s="152">
        <f>IF(N148&lt;=0.005,0,N148*(1+K$6))</f>
        <v/>
      </c>
      <c r="L149" s="152">
        <f>MIN(K149,K$7)</f>
        <v/>
      </c>
      <c r="M149" s="152">
        <f>MAX(0,MIN(K149-L149,AQ149-(E149+I149)))</f>
        <v/>
      </c>
      <c r="N149" s="152">
        <f>K149-L149-M149</f>
        <v/>
      </c>
      <c r="O149" s="152">
        <f>IF(R148&lt;=0.005,0,R148*(1+O$6))</f>
        <v/>
      </c>
      <c r="P149" s="152">
        <f>MIN(O149,O$7)</f>
        <v/>
      </c>
      <c r="Q149" s="152">
        <f>MAX(0,MIN(O149-P149,AQ149-(E149+I149+M149)))</f>
        <v/>
      </c>
      <c r="R149" s="152">
        <f>O149-P149-Q149</f>
        <v/>
      </c>
      <c r="S149" s="152">
        <f>IF(V148&lt;=0.005,0,V148*(1+S$6))</f>
        <v/>
      </c>
      <c r="T149" s="152">
        <f>MIN(S149,S$7)</f>
        <v/>
      </c>
      <c r="U149" s="152">
        <f>MAX(0,MIN(S149-T149,AQ149-(E149+I149+M149+Q149)))</f>
        <v/>
      </c>
      <c r="V149" s="152">
        <f>S149-T149-U149</f>
        <v/>
      </c>
      <c r="W149" s="152">
        <f>IF(Z148&lt;=0.005,0,Z148*(1+W$6))</f>
        <v/>
      </c>
      <c r="X149" s="152">
        <f>MIN(W149,W$7)</f>
        <v/>
      </c>
      <c r="Y149" s="152">
        <f>MAX(0,MIN(W149-X149,AQ149-(E149+I149+M149+Q149+U149)))</f>
        <v/>
      </c>
      <c r="Z149" s="152">
        <f>W149-X149-Y149</f>
        <v/>
      </c>
      <c r="AA149" s="152">
        <f>IF(AD148&lt;=0.005,0,AD148*(1+AA$6))</f>
        <v/>
      </c>
      <c r="AB149" s="152">
        <f>MIN(AA149,AA$7)</f>
        <v/>
      </c>
      <c r="AC149" s="152">
        <f>MAX(0,MIN(AA149-AB149,AQ149-(E149+I149+M149+Q149+U149+Y149)))</f>
        <v/>
      </c>
      <c r="AD149" s="152">
        <f>AA149-AB149-AC149</f>
        <v/>
      </c>
      <c r="AE149" s="152">
        <f>IF(AH148&lt;=0.005,0,AH148*(1+AE$6))</f>
        <v/>
      </c>
      <c r="AF149" s="152">
        <f>MIN(AE149,AE$7)</f>
        <v/>
      </c>
      <c r="AG149" s="152">
        <f>MAX(0,MIN(AE149-AF149,AQ149-(E149+I149+M149+Q149+U149+Y149+AC149)))</f>
        <v/>
      </c>
      <c r="AH149" s="152">
        <f>AE149-AF149-AG149</f>
        <v/>
      </c>
      <c r="AI149" s="152">
        <f>IF(AL148&lt;=0.005,0,AL148*(1+AI$6))</f>
        <v/>
      </c>
      <c r="AJ149" s="152">
        <f>MIN(AI149,AI$7)</f>
        <v/>
      </c>
      <c r="AK149" s="152">
        <f>MAX(0,MIN(AI149-AJ149,AQ149-(E149+I149+M149+Q149+U149+Y149+AC149+AG149)))</f>
        <v/>
      </c>
      <c r="AL149" s="152">
        <f>AI149-AJ149-AK149</f>
        <v/>
      </c>
      <c r="AM149" s="152">
        <f>IF(AP148&lt;=0.005,0,AP148*(1+AM$6))</f>
        <v/>
      </c>
      <c r="AN149" s="152">
        <f>MIN(AM149,AM$7)</f>
        <v/>
      </c>
      <c r="AO149" s="152">
        <f>MAX(0,MIN(AM149-AN149,AQ149-(E149+I149+M149+Q149+U149+Y149+AC149+AG149+AK149)))</f>
        <v/>
      </c>
      <c r="AP149" s="152">
        <f>AM149-AN149-AO149</f>
        <v/>
      </c>
      <c r="AQ149" s="152">
        <f>'Debt Payoff'!$C$8-SUM(D149,H149,L149,P149,T149,X149,AB149,AF149,AJ149,AN149)</f>
        <v/>
      </c>
      <c r="AR149" s="152">
        <f>SUM(D149,H149,L149,P149,T149,X149,AB149,AF149,AJ149,AN149)+SUM(E149,I149,M149,Q149,U149,Y149,AC149,AG149,AK149,AO149)</f>
        <v/>
      </c>
      <c r="AS149" s="152">
        <f>SUM(F149,J149,N149,R149,V149,Z149,AD149,AH149,AL149,AP149)</f>
        <v/>
      </c>
      <c r="AT149" s="152">
        <f>IF(B149&gt;AS$6,NA(),B149)</f>
        <v/>
      </c>
      <c r="AU149" s="152">
        <f>IF(B149&gt;AS$6,NA(),AS149)</f>
        <v/>
      </c>
      <c r="AV149" s="152" t="n"/>
      <c r="AW149" s="152" t="n">
        <v>138</v>
      </c>
      <c r="AX149" s="152">
        <f>IF(BA148&lt;=0.005,0,BA148*(1+AX$6))</f>
        <v/>
      </c>
      <c r="AY149" s="152">
        <f>MIN(AX149,AX$7)</f>
        <v/>
      </c>
      <c r="AZ149" s="152">
        <f>MAX(0,MIN(AX149-AY149,CL149))</f>
        <v/>
      </c>
      <c r="BA149" s="152">
        <f>AX149-AY149-AZ149</f>
        <v/>
      </c>
      <c r="BB149" s="152">
        <f>IF(BE148&lt;=0.005,0,BE148*(1+BB$6))</f>
        <v/>
      </c>
      <c r="BC149" s="152">
        <f>MIN(BB149,BB$7)</f>
        <v/>
      </c>
      <c r="BD149" s="152">
        <f>MAX(0,MIN(BB149-BC149,CL149-(AZ149)))</f>
        <v/>
      </c>
      <c r="BE149" s="152">
        <f>BB149-BC149-BD149</f>
        <v/>
      </c>
      <c r="BF149" s="152">
        <f>IF(BI148&lt;=0.005,0,BI148*(1+BF$6))</f>
        <v/>
      </c>
      <c r="BG149" s="152">
        <f>MIN(BF149,BF$7)</f>
        <v/>
      </c>
      <c r="BH149" s="152">
        <f>MAX(0,MIN(BF149-BG149,CL149-(AZ149+BD149)))</f>
        <v/>
      </c>
      <c r="BI149" s="152">
        <f>BF149-BG149-BH149</f>
        <v/>
      </c>
      <c r="BJ149" s="152">
        <f>IF(BM148&lt;=0.005,0,BM148*(1+BJ$6))</f>
        <v/>
      </c>
      <c r="BK149" s="152">
        <f>MIN(BJ149,BJ$7)</f>
        <v/>
      </c>
      <c r="BL149" s="152">
        <f>MAX(0,MIN(BJ149-BK149,CL149-(AZ149+BD149+BH149)))</f>
        <v/>
      </c>
      <c r="BM149" s="152">
        <f>BJ149-BK149-BL149</f>
        <v/>
      </c>
      <c r="BN149" s="152">
        <f>IF(BQ148&lt;=0.005,0,BQ148*(1+BN$6))</f>
        <v/>
      </c>
      <c r="BO149" s="152">
        <f>MIN(BN149,BN$7)</f>
        <v/>
      </c>
      <c r="BP149" s="152">
        <f>MAX(0,MIN(BN149-BO149,CL149-(AZ149+BD149+BH149+BL149)))</f>
        <v/>
      </c>
      <c r="BQ149" s="152">
        <f>BN149-BO149-BP149</f>
        <v/>
      </c>
      <c r="BR149" s="152">
        <f>IF(BU148&lt;=0.005,0,BU148*(1+BR$6))</f>
        <v/>
      </c>
      <c r="BS149" s="152">
        <f>MIN(BR149,BR$7)</f>
        <v/>
      </c>
      <c r="BT149" s="152">
        <f>MAX(0,MIN(BR149-BS149,CL149-(AZ149+BD149+BH149+BL149+BP149)))</f>
        <v/>
      </c>
      <c r="BU149" s="152">
        <f>BR149-BS149-BT149</f>
        <v/>
      </c>
      <c r="BV149" s="152">
        <f>IF(BY148&lt;=0.005,0,BY148*(1+BV$6))</f>
        <v/>
      </c>
      <c r="BW149" s="152">
        <f>MIN(BV149,BV$7)</f>
        <v/>
      </c>
      <c r="BX149" s="152">
        <f>MAX(0,MIN(BV149-BW149,CL149-(AZ149+BD149+BH149+BL149+BP149+BT149)))</f>
        <v/>
      </c>
      <c r="BY149" s="152">
        <f>BV149-BW149-BX149</f>
        <v/>
      </c>
      <c r="BZ149" s="152">
        <f>IF(CC148&lt;=0.005,0,CC148*(1+BZ$6))</f>
        <v/>
      </c>
      <c r="CA149" s="152">
        <f>MIN(BZ149,BZ$7)</f>
        <v/>
      </c>
      <c r="CB149" s="152">
        <f>MAX(0,MIN(BZ149-CA149,CL149-(AZ149+BD149+BH149+BL149+BP149+BT149+BX149)))</f>
        <v/>
      </c>
      <c r="CC149" s="152">
        <f>BZ149-CA149-CB149</f>
        <v/>
      </c>
      <c r="CD149" s="152">
        <f>IF(CG148&lt;=0.005,0,CG148*(1+CD$6))</f>
        <v/>
      </c>
      <c r="CE149" s="152">
        <f>MIN(CD149,CD$7)</f>
        <v/>
      </c>
      <c r="CF149" s="152">
        <f>MAX(0,MIN(CD149-CE149,CL149-(AZ149+BD149+BH149+BL149+BP149+BT149+BX149+CB149)))</f>
        <v/>
      </c>
      <c r="CG149" s="152">
        <f>CD149-CE149-CF149</f>
        <v/>
      </c>
      <c r="CH149" s="152">
        <f>IF(CK148&lt;=0.005,0,CK148*(1+CH$6))</f>
        <v/>
      </c>
      <c r="CI149" s="152">
        <f>MIN(CH149,CH$7)</f>
        <v/>
      </c>
      <c r="CJ149" s="152">
        <f>MAX(0,MIN(CH149-CI149,CL149-(AZ149+BD149+BH149+BL149+BP149+BT149+BX149+CB149+CF149)))</f>
        <v/>
      </c>
      <c r="CK149" s="152">
        <f>CH149-CI149-CJ149</f>
        <v/>
      </c>
      <c r="CL149" s="152">
        <f>'Debt Payoff'!$C$8-SUM(AY149,BC149,BG149,BK149,BO149,BS149,BW149,CA149,CE149,CI149)</f>
        <v/>
      </c>
      <c r="CM149" s="152">
        <f>SUM(AY149,BC149,BG149,BK149,BO149,BS149,BW149,CA149,CE149,CI149)+SUM(AZ149,BD149,BH149,BL149,BP149,BT149,BX149,CB149,CF149,CJ149)</f>
        <v/>
      </c>
      <c r="CN149" s="152">
        <f>SUM(BA149,BE149,BI149,BM149,BQ149,BU149,BY149,CC149,CG149,CK149)</f>
        <v/>
      </c>
      <c r="CO149" s="152">
        <f>IF(AW149&gt;CN$6,NA(),AW149)</f>
        <v/>
      </c>
      <c r="CP149" s="152">
        <f>IF(AW149&gt;CN$6,NA(),CN149)</f>
        <v/>
      </c>
    </row>
    <row r="150">
      <c r="B150" s="152" t="n">
        <v>139</v>
      </c>
      <c r="C150" s="152">
        <f>IF(F149&lt;=0.005,0,F149*(1+C$6))</f>
        <v/>
      </c>
      <c r="D150" s="152">
        <f>MIN(C150,C$7)</f>
        <v/>
      </c>
      <c r="E150" s="152">
        <f>MAX(0,MIN(C150-D150,AQ150))</f>
        <v/>
      </c>
      <c r="F150" s="152">
        <f>C150-D150-E150</f>
        <v/>
      </c>
      <c r="G150" s="152">
        <f>IF(J149&lt;=0.005,0,J149*(1+G$6))</f>
        <v/>
      </c>
      <c r="H150" s="152">
        <f>MIN(G150,G$7)</f>
        <v/>
      </c>
      <c r="I150" s="152">
        <f>MAX(0,MIN(G150-H150,AQ150-(E150)))</f>
        <v/>
      </c>
      <c r="J150" s="152">
        <f>G150-H150-I150</f>
        <v/>
      </c>
      <c r="K150" s="152">
        <f>IF(N149&lt;=0.005,0,N149*(1+K$6))</f>
        <v/>
      </c>
      <c r="L150" s="152">
        <f>MIN(K150,K$7)</f>
        <v/>
      </c>
      <c r="M150" s="152">
        <f>MAX(0,MIN(K150-L150,AQ150-(E150+I150)))</f>
        <v/>
      </c>
      <c r="N150" s="152">
        <f>K150-L150-M150</f>
        <v/>
      </c>
      <c r="O150" s="152">
        <f>IF(R149&lt;=0.005,0,R149*(1+O$6))</f>
        <v/>
      </c>
      <c r="P150" s="152">
        <f>MIN(O150,O$7)</f>
        <v/>
      </c>
      <c r="Q150" s="152">
        <f>MAX(0,MIN(O150-P150,AQ150-(E150+I150+M150)))</f>
        <v/>
      </c>
      <c r="R150" s="152">
        <f>O150-P150-Q150</f>
        <v/>
      </c>
      <c r="S150" s="152">
        <f>IF(V149&lt;=0.005,0,V149*(1+S$6))</f>
        <v/>
      </c>
      <c r="T150" s="152">
        <f>MIN(S150,S$7)</f>
        <v/>
      </c>
      <c r="U150" s="152">
        <f>MAX(0,MIN(S150-T150,AQ150-(E150+I150+M150+Q150)))</f>
        <v/>
      </c>
      <c r="V150" s="152">
        <f>S150-T150-U150</f>
        <v/>
      </c>
      <c r="W150" s="152">
        <f>IF(Z149&lt;=0.005,0,Z149*(1+W$6))</f>
        <v/>
      </c>
      <c r="X150" s="152">
        <f>MIN(W150,W$7)</f>
        <v/>
      </c>
      <c r="Y150" s="152">
        <f>MAX(0,MIN(W150-X150,AQ150-(E150+I150+M150+Q150+U150)))</f>
        <v/>
      </c>
      <c r="Z150" s="152">
        <f>W150-X150-Y150</f>
        <v/>
      </c>
      <c r="AA150" s="152">
        <f>IF(AD149&lt;=0.005,0,AD149*(1+AA$6))</f>
        <v/>
      </c>
      <c r="AB150" s="152">
        <f>MIN(AA150,AA$7)</f>
        <v/>
      </c>
      <c r="AC150" s="152">
        <f>MAX(0,MIN(AA150-AB150,AQ150-(E150+I150+M150+Q150+U150+Y150)))</f>
        <v/>
      </c>
      <c r="AD150" s="152">
        <f>AA150-AB150-AC150</f>
        <v/>
      </c>
      <c r="AE150" s="152">
        <f>IF(AH149&lt;=0.005,0,AH149*(1+AE$6))</f>
        <v/>
      </c>
      <c r="AF150" s="152">
        <f>MIN(AE150,AE$7)</f>
        <v/>
      </c>
      <c r="AG150" s="152">
        <f>MAX(0,MIN(AE150-AF150,AQ150-(E150+I150+M150+Q150+U150+Y150+AC150)))</f>
        <v/>
      </c>
      <c r="AH150" s="152">
        <f>AE150-AF150-AG150</f>
        <v/>
      </c>
      <c r="AI150" s="152">
        <f>IF(AL149&lt;=0.005,0,AL149*(1+AI$6))</f>
        <v/>
      </c>
      <c r="AJ150" s="152">
        <f>MIN(AI150,AI$7)</f>
        <v/>
      </c>
      <c r="AK150" s="152">
        <f>MAX(0,MIN(AI150-AJ150,AQ150-(E150+I150+M150+Q150+U150+Y150+AC150+AG150)))</f>
        <v/>
      </c>
      <c r="AL150" s="152">
        <f>AI150-AJ150-AK150</f>
        <v/>
      </c>
      <c r="AM150" s="152">
        <f>IF(AP149&lt;=0.005,0,AP149*(1+AM$6))</f>
        <v/>
      </c>
      <c r="AN150" s="152">
        <f>MIN(AM150,AM$7)</f>
        <v/>
      </c>
      <c r="AO150" s="152">
        <f>MAX(0,MIN(AM150-AN150,AQ150-(E150+I150+M150+Q150+U150+Y150+AC150+AG150+AK150)))</f>
        <v/>
      </c>
      <c r="AP150" s="152">
        <f>AM150-AN150-AO150</f>
        <v/>
      </c>
      <c r="AQ150" s="152">
        <f>'Debt Payoff'!$C$8-SUM(D150,H150,L150,P150,T150,X150,AB150,AF150,AJ150,AN150)</f>
        <v/>
      </c>
      <c r="AR150" s="152">
        <f>SUM(D150,H150,L150,P150,T150,X150,AB150,AF150,AJ150,AN150)+SUM(E150,I150,M150,Q150,U150,Y150,AC150,AG150,AK150,AO150)</f>
        <v/>
      </c>
      <c r="AS150" s="152">
        <f>SUM(F150,J150,N150,R150,V150,Z150,AD150,AH150,AL150,AP150)</f>
        <v/>
      </c>
      <c r="AT150" s="152">
        <f>IF(B150&gt;AS$6,NA(),B150)</f>
        <v/>
      </c>
      <c r="AU150" s="152">
        <f>IF(B150&gt;AS$6,NA(),AS150)</f>
        <v/>
      </c>
      <c r="AV150" s="152" t="n"/>
      <c r="AW150" s="152" t="n">
        <v>139</v>
      </c>
      <c r="AX150" s="152">
        <f>IF(BA149&lt;=0.005,0,BA149*(1+AX$6))</f>
        <v/>
      </c>
      <c r="AY150" s="152">
        <f>MIN(AX150,AX$7)</f>
        <v/>
      </c>
      <c r="AZ150" s="152">
        <f>MAX(0,MIN(AX150-AY150,CL150))</f>
        <v/>
      </c>
      <c r="BA150" s="152">
        <f>AX150-AY150-AZ150</f>
        <v/>
      </c>
      <c r="BB150" s="152">
        <f>IF(BE149&lt;=0.005,0,BE149*(1+BB$6))</f>
        <v/>
      </c>
      <c r="BC150" s="152">
        <f>MIN(BB150,BB$7)</f>
        <v/>
      </c>
      <c r="BD150" s="152">
        <f>MAX(0,MIN(BB150-BC150,CL150-(AZ150)))</f>
        <v/>
      </c>
      <c r="BE150" s="152">
        <f>BB150-BC150-BD150</f>
        <v/>
      </c>
      <c r="BF150" s="152">
        <f>IF(BI149&lt;=0.005,0,BI149*(1+BF$6))</f>
        <v/>
      </c>
      <c r="BG150" s="152">
        <f>MIN(BF150,BF$7)</f>
        <v/>
      </c>
      <c r="BH150" s="152">
        <f>MAX(0,MIN(BF150-BG150,CL150-(AZ150+BD150)))</f>
        <v/>
      </c>
      <c r="BI150" s="152">
        <f>BF150-BG150-BH150</f>
        <v/>
      </c>
      <c r="BJ150" s="152">
        <f>IF(BM149&lt;=0.005,0,BM149*(1+BJ$6))</f>
        <v/>
      </c>
      <c r="BK150" s="152">
        <f>MIN(BJ150,BJ$7)</f>
        <v/>
      </c>
      <c r="BL150" s="152">
        <f>MAX(0,MIN(BJ150-BK150,CL150-(AZ150+BD150+BH150)))</f>
        <v/>
      </c>
      <c r="BM150" s="152">
        <f>BJ150-BK150-BL150</f>
        <v/>
      </c>
      <c r="BN150" s="152">
        <f>IF(BQ149&lt;=0.005,0,BQ149*(1+BN$6))</f>
        <v/>
      </c>
      <c r="BO150" s="152">
        <f>MIN(BN150,BN$7)</f>
        <v/>
      </c>
      <c r="BP150" s="152">
        <f>MAX(0,MIN(BN150-BO150,CL150-(AZ150+BD150+BH150+BL150)))</f>
        <v/>
      </c>
      <c r="BQ150" s="152">
        <f>BN150-BO150-BP150</f>
        <v/>
      </c>
      <c r="BR150" s="152">
        <f>IF(BU149&lt;=0.005,0,BU149*(1+BR$6))</f>
        <v/>
      </c>
      <c r="BS150" s="152">
        <f>MIN(BR150,BR$7)</f>
        <v/>
      </c>
      <c r="BT150" s="152">
        <f>MAX(0,MIN(BR150-BS150,CL150-(AZ150+BD150+BH150+BL150+BP150)))</f>
        <v/>
      </c>
      <c r="BU150" s="152">
        <f>BR150-BS150-BT150</f>
        <v/>
      </c>
      <c r="BV150" s="152">
        <f>IF(BY149&lt;=0.005,0,BY149*(1+BV$6))</f>
        <v/>
      </c>
      <c r="BW150" s="152">
        <f>MIN(BV150,BV$7)</f>
        <v/>
      </c>
      <c r="BX150" s="152">
        <f>MAX(0,MIN(BV150-BW150,CL150-(AZ150+BD150+BH150+BL150+BP150+BT150)))</f>
        <v/>
      </c>
      <c r="BY150" s="152">
        <f>BV150-BW150-BX150</f>
        <v/>
      </c>
      <c r="BZ150" s="152">
        <f>IF(CC149&lt;=0.005,0,CC149*(1+BZ$6))</f>
        <v/>
      </c>
      <c r="CA150" s="152">
        <f>MIN(BZ150,BZ$7)</f>
        <v/>
      </c>
      <c r="CB150" s="152">
        <f>MAX(0,MIN(BZ150-CA150,CL150-(AZ150+BD150+BH150+BL150+BP150+BT150+BX150)))</f>
        <v/>
      </c>
      <c r="CC150" s="152">
        <f>BZ150-CA150-CB150</f>
        <v/>
      </c>
      <c r="CD150" s="152">
        <f>IF(CG149&lt;=0.005,0,CG149*(1+CD$6))</f>
        <v/>
      </c>
      <c r="CE150" s="152">
        <f>MIN(CD150,CD$7)</f>
        <v/>
      </c>
      <c r="CF150" s="152">
        <f>MAX(0,MIN(CD150-CE150,CL150-(AZ150+BD150+BH150+BL150+BP150+BT150+BX150+CB150)))</f>
        <v/>
      </c>
      <c r="CG150" s="152">
        <f>CD150-CE150-CF150</f>
        <v/>
      </c>
      <c r="CH150" s="152">
        <f>IF(CK149&lt;=0.005,0,CK149*(1+CH$6))</f>
        <v/>
      </c>
      <c r="CI150" s="152">
        <f>MIN(CH150,CH$7)</f>
        <v/>
      </c>
      <c r="CJ150" s="152">
        <f>MAX(0,MIN(CH150-CI150,CL150-(AZ150+BD150+BH150+BL150+BP150+BT150+BX150+CB150+CF150)))</f>
        <v/>
      </c>
      <c r="CK150" s="152">
        <f>CH150-CI150-CJ150</f>
        <v/>
      </c>
      <c r="CL150" s="152">
        <f>'Debt Payoff'!$C$8-SUM(AY150,BC150,BG150,BK150,BO150,BS150,BW150,CA150,CE150,CI150)</f>
        <v/>
      </c>
      <c r="CM150" s="152">
        <f>SUM(AY150,BC150,BG150,BK150,BO150,BS150,BW150,CA150,CE150,CI150)+SUM(AZ150,BD150,BH150,BL150,BP150,BT150,BX150,CB150,CF150,CJ150)</f>
        <v/>
      </c>
      <c r="CN150" s="152">
        <f>SUM(BA150,BE150,BI150,BM150,BQ150,BU150,BY150,CC150,CG150,CK150)</f>
        <v/>
      </c>
      <c r="CO150" s="152">
        <f>IF(AW150&gt;CN$6,NA(),AW150)</f>
        <v/>
      </c>
      <c r="CP150" s="152">
        <f>IF(AW150&gt;CN$6,NA(),CN150)</f>
        <v/>
      </c>
    </row>
    <row r="151">
      <c r="B151" s="152" t="n">
        <v>140</v>
      </c>
      <c r="C151" s="152">
        <f>IF(F150&lt;=0.005,0,F150*(1+C$6))</f>
        <v/>
      </c>
      <c r="D151" s="152">
        <f>MIN(C151,C$7)</f>
        <v/>
      </c>
      <c r="E151" s="152">
        <f>MAX(0,MIN(C151-D151,AQ151))</f>
        <v/>
      </c>
      <c r="F151" s="152">
        <f>C151-D151-E151</f>
        <v/>
      </c>
      <c r="G151" s="152">
        <f>IF(J150&lt;=0.005,0,J150*(1+G$6))</f>
        <v/>
      </c>
      <c r="H151" s="152">
        <f>MIN(G151,G$7)</f>
        <v/>
      </c>
      <c r="I151" s="152">
        <f>MAX(0,MIN(G151-H151,AQ151-(E151)))</f>
        <v/>
      </c>
      <c r="J151" s="152">
        <f>G151-H151-I151</f>
        <v/>
      </c>
      <c r="K151" s="152">
        <f>IF(N150&lt;=0.005,0,N150*(1+K$6))</f>
        <v/>
      </c>
      <c r="L151" s="152">
        <f>MIN(K151,K$7)</f>
        <v/>
      </c>
      <c r="M151" s="152">
        <f>MAX(0,MIN(K151-L151,AQ151-(E151+I151)))</f>
        <v/>
      </c>
      <c r="N151" s="152">
        <f>K151-L151-M151</f>
        <v/>
      </c>
      <c r="O151" s="152">
        <f>IF(R150&lt;=0.005,0,R150*(1+O$6))</f>
        <v/>
      </c>
      <c r="P151" s="152">
        <f>MIN(O151,O$7)</f>
        <v/>
      </c>
      <c r="Q151" s="152">
        <f>MAX(0,MIN(O151-P151,AQ151-(E151+I151+M151)))</f>
        <v/>
      </c>
      <c r="R151" s="152">
        <f>O151-P151-Q151</f>
        <v/>
      </c>
      <c r="S151" s="152">
        <f>IF(V150&lt;=0.005,0,V150*(1+S$6))</f>
        <v/>
      </c>
      <c r="T151" s="152">
        <f>MIN(S151,S$7)</f>
        <v/>
      </c>
      <c r="U151" s="152">
        <f>MAX(0,MIN(S151-T151,AQ151-(E151+I151+M151+Q151)))</f>
        <v/>
      </c>
      <c r="V151" s="152">
        <f>S151-T151-U151</f>
        <v/>
      </c>
      <c r="W151" s="152">
        <f>IF(Z150&lt;=0.005,0,Z150*(1+W$6))</f>
        <v/>
      </c>
      <c r="X151" s="152">
        <f>MIN(W151,W$7)</f>
        <v/>
      </c>
      <c r="Y151" s="152">
        <f>MAX(0,MIN(W151-X151,AQ151-(E151+I151+M151+Q151+U151)))</f>
        <v/>
      </c>
      <c r="Z151" s="152">
        <f>W151-X151-Y151</f>
        <v/>
      </c>
      <c r="AA151" s="152">
        <f>IF(AD150&lt;=0.005,0,AD150*(1+AA$6))</f>
        <v/>
      </c>
      <c r="AB151" s="152">
        <f>MIN(AA151,AA$7)</f>
        <v/>
      </c>
      <c r="AC151" s="152">
        <f>MAX(0,MIN(AA151-AB151,AQ151-(E151+I151+M151+Q151+U151+Y151)))</f>
        <v/>
      </c>
      <c r="AD151" s="152">
        <f>AA151-AB151-AC151</f>
        <v/>
      </c>
      <c r="AE151" s="152">
        <f>IF(AH150&lt;=0.005,0,AH150*(1+AE$6))</f>
        <v/>
      </c>
      <c r="AF151" s="152">
        <f>MIN(AE151,AE$7)</f>
        <v/>
      </c>
      <c r="AG151" s="152">
        <f>MAX(0,MIN(AE151-AF151,AQ151-(E151+I151+M151+Q151+U151+Y151+AC151)))</f>
        <v/>
      </c>
      <c r="AH151" s="152">
        <f>AE151-AF151-AG151</f>
        <v/>
      </c>
      <c r="AI151" s="152">
        <f>IF(AL150&lt;=0.005,0,AL150*(1+AI$6))</f>
        <v/>
      </c>
      <c r="AJ151" s="152">
        <f>MIN(AI151,AI$7)</f>
        <v/>
      </c>
      <c r="AK151" s="152">
        <f>MAX(0,MIN(AI151-AJ151,AQ151-(E151+I151+M151+Q151+U151+Y151+AC151+AG151)))</f>
        <v/>
      </c>
      <c r="AL151" s="152">
        <f>AI151-AJ151-AK151</f>
        <v/>
      </c>
      <c r="AM151" s="152">
        <f>IF(AP150&lt;=0.005,0,AP150*(1+AM$6))</f>
        <v/>
      </c>
      <c r="AN151" s="152">
        <f>MIN(AM151,AM$7)</f>
        <v/>
      </c>
      <c r="AO151" s="152">
        <f>MAX(0,MIN(AM151-AN151,AQ151-(E151+I151+M151+Q151+U151+Y151+AC151+AG151+AK151)))</f>
        <v/>
      </c>
      <c r="AP151" s="152">
        <f>AM151-AN151-AO151</f>
        <v/>
      </c>
      <c r="AQ151" s="152">
        <f>'Debt Payoff'!$C$8-SUM(D151,H151,L151,P151,T151,X151,AB151,AF151,AJ151,AN151)</f>
        <v/>
      </c>
      <c r="AR151" s="152">
        <f>SUM(D151,H151,L151,P151,T151,X151,AB151,AF151,AJ151,AN151)+SUM(E151,I151,M151,Q151,U151,Y151,AC151,AG151,AK151,AO151)</f>
        <v/>
      </c>
      <c r="AS151" s="152">
        <f>SUM(F151,J151,N151,R151,V151,Z151,AD151,AH151,AL151,AP151)</f>
        <v/>
      </c>
      <c r="AT151" s="152">
        <f>IF(B151&gt;AS$6,NA(),B151)</f>
        <v/>
      </c>
      <c r="AU151" s="152">
        <f>IF(B151&gt;AS$6,NA(),AS151)</f>
        <v/>
      </c>
      <c r="AV151" s="152" t="n"/>
      <c r="AW151" s="152" t="n">
        <v>140</v>
      </c>
      <c r="AX151" s="152">
        <f>IF(BA150&lt;=0.005,0,BA150*(1+AX$6))</f>
        <v/>
      </c>
      <c r="AY151" s="152">
        <f>MIN(AX151,AX$7)</f>
        <v/>
      </c>
      <c r="AZ151" s="152">
        <f>MAX(0,MIN(AX151-AY151,CL151))</f>
        <v/>
      </c>
      <c r="BA151" s="152">
        <f>AX151-AY151-AZ151</f>
        <v/>
      </c>
      <c r="BB151" s="152">
        <f>IF(BE150&lt;=0.005,0,BE150*(1+BB$6))</f>
        <v/>
      </c>
      <c r="BC151" s="152">
        <f>MIN(BB151,BB$7)</f>
        <v/>
      </c>
      <c r="BD151" s="152">
        <f>MAX(0,MIN(BB151-BC151,CL151-(AZ151)))</f>
        <v/>
      </c>
      <c r="BE151" s="152">
        <f>BB151-BC151-BD151</f>
        <v/>
      </c>
      <c r="BF151" s="152">
        <f>IF(BI150&lt;=0.005,0,BI150*(1+BF$6))</f>
        <v/>
      </c>
      <c r="BG151" s="152">
        <f>MIN(BF151,BF$7)</f>
        <v/>
      </c>
      <c r="BH151" s="152">
        <f>MAX(0,MIN(BF151-BG151,CL151-(AZ151+BD151)))</f>
        <v/>
      </c>
      <c r="BI151" s="152">
        <f>BF151-BG151-BH151</f>
        <v/>
      </c>
      <c r="BJ151" s="152">
        <f>IF(BM150&lt;=0.005,0,BM150*(1+BJ$6))</f>
        <v/>
      </c>
      <c r="BK151" s="152">
        <f>MIN(BJ151,BJ$7)</f>
        <v/>
      </c>
      <c r="BL151" s="152">
        <f>MAX(0,MIN(BJ151-BK151,CL151-(AZ151+BD151+BH151)))</f>
        <v/>
      </c>
      <c r="BM151" s="152">
        <f>BJ151-BK151-BL151</f>
        <v/>
      </c>
      <c r="BN151" s="152">
        <f>IF(BQ150&lt;=0.005,0,BQ150*(1+BN$6))</f>
        <v/>
      </c>
      <c r="BO151" s="152">
        <f>MIN(BN151,BN$7)</f>
        <v/>
      </c>
      <c r="BP151" s="152">
        <f>MAX(0,MIN(BN151-BO151,CL151-(AZ151+BD151+BH151+BL151)))</f>
        <v/>
      </c>
      <c r="BQ151" s="152">
        <f>BN151-BO151-BP151</f>
        <v/>
      </c>
      <c r="BR151" s="152">
        <f>IF(BU150&lt;=0.005,0,BU150*(1+BR$6))</f>
        <v/>
      </c>
      <c r="BS151" s="152">
        <f>MIN(BR151,BR$7)</f>
        <v/>
      </c>
      <c r="BT151" s="152">
        <f>MAX(0,MIN(BR151-BS151,CL151-(AZ151+BD151+BH151+BL151+BP151)))</f>
        <v/>
      </c>
      <c r="BU151" s="152">
        <f>BR151-BS151-BT151</f>
        <v/>
      </c>
      <c r="BV151" s="152">
        <f>IF(BY150&lt;=0.005,0,BY150*(1+BV$6))</f>
        <v/>
      </c>
      <c r="BW151" s="152">
        <f>MIN(BV151,BV$7)</f>
        <v/>
      </c>
      <c r="BX151" s="152">
        <f>MAX(0,MIN(BV151-BW151,CL151-(AZ151+BD151+BH151+BL151+BP151+BT151)))</f>
        <v/>
      </c>
      <c r="BY151" s="152">
        <f>BV151-BW151-BX151</f>
        <v/>
      </c>
      <c r="BZ151" s="152">
        <f>IF(CC150&lt;=0.005,0,CC150*(1+BZ$6))</f>
        <v/>
      </c>
      <c r="CA151" s="152">
        <f>MIN(BZ151,BZ$7)</f>
        <v/>
      </c>
      <c r="CB151" s="152">
        <f>MAX(0,MIN(BZ151-CA151,CL151-(AZ151+BD151+BH151+BL151+BP151+BT151+BX151)))</f>
        <v/>
      </c>
      <c r="CC151" s="152">
        <f>BZ151-CA151-CB151</f>
        <v/>
      </c>
      <c r="CD151" s="152">
        <f>IF(CG150&lt;=0.005,0,CG150*(1+CD$6))</f>
        <v/>
      </c>
      <c r="CE151" s="152">
        <f>MIN(CD151,CD$7)</f>
        <v/>
      </c>
      <c r="CF151" s="152">
        <f>MAX(0,MIN(CD151-CE151,CL151-(AZ151+BD151+BH151+BL151+BP151+BT151+BX151+CB151)))</f>
        <v/>
      </c>
      <c r="CG151" s="152">
        <f>CD151-CE151-CF151</f>
        <v/>
      </c>
      <c r="CH151" s="152">
        <f>IF(CK150&lt;=0.005,0,CK150*(1+CH$6))</f>
        <v/>
      </c>
      <c r="CI151" s="152">
        <f>MIN(CH151,CH$7)</f>
        <v/>
      </c>
      <c r="CJ151" s="152">
        <f>MAX(0,MIN(CH151-CI151,CL151-(AZ151+BD151+BH151+BL151+BP151+BT151+BX151+CB151+CF151)))</f>
        <v/>
      </c>
      <c r="CK151" s="152">
        <f>CH151-CI151-CJ151</f>
        <v/>
      </c>
      <c r="CL151" s="152">
        <f>'Debt Payoff'!$C$8-SUM(AY151,BC151,BG151,BK151,BO151,BS151,BW151,CA151,CE151,CI151)</f>
        <v/>
      </c>
      <c r="CM151" s="152">
        <f>SUM(AY151,BC151,BG151,BK151,BO151,BS151,BW151,CA151,CE151,CI151)+SUM(AZ151,BD151,BH151,BL151,BP151,BT151,BX151,CB151,CF151,CJ151)</f>
        <v/>
      </c>
      <c r="CN151" s="152">
        <f>SUM(BA151,BE151,BI151,BM151,BQ151,BU151,BY151,CC151,CG151,CK151)</f>
        <v/>
      </c>
      <c r="CO151" s="152">
        <f>IF(AW151&gt;CN$6,NA(),AW151)</f>
        <v/>
      </c>
      <c r="CP151" s="152">
        <f>IF(AW151&gt;CN$6,NA(),CN151)</f>
        <v/>
      </c>
    </row>
    <row r="152">
      <c r="B152" s="152" t="n">
        <v>141</v>
      </c>
      <c r="C152" s="152">
        <f>IF(F151&lt;=0.005,0,F151*(1+C$6))</f>
        <v/>
      </c>
      <c r="D152" s="152">
        <f>MIN(C152,C$7)</f>
        <v/>
      </c>
      <c r="E152" s="152">
        <f>MAX(0,MIN(C152-D152,AQ152))</f>
        <v/>
      </c>
      <c r="F152" s="152">
        <f>C152-D152-E152</f>
        <v/>
      </c>
      <c r="G152" s="152">
        <f>IF(J151&lt;=0.005,0,J151*(1+G$6))</f>
        <v/>
      </c>
      <c r="H152" s="152">
        <f>MIN(G152,G$7)</f>
        <v/>
      </c>
      <c r="I152" s="152">
        <f>MAX(0,MIN(G152-H152,AQ152-(E152)))</f>
        <v/>
      </c>
      <c r="J152" s="152">
        <f>G152-H152-I152</f>
        <v/>
      </c>
      <c r="K152" s="152">
        <f>IF(N151&lt;=0.005,0,N151*(1+K$6))</f>
        <v/>
      </c>
      <c r="L152" s="152">
        <f>MIN(K152,K$7)</f>
        <v/>
      </c>
      <c r="M152" s="152">
        <f>MAX(0,MIN(K152-L152,AQ152-(E152+I152)))</f>
        <v/>
      </c>
      <c r="N152" s="152">
        <f>K152-L152-M152</f>
        <v/>
      </c>
      <c r="O152" s="152">
        <f>IF(R151&lt;=0.005,0,R151*(1+O$6))</f>
        <v/>
      </c>
      <c r="P152" s="152">
        <f>MIN(O152,O$7)</f>
        <v/>
      </c>
      <c r="Q152" s="152">
        <f>MAX(0,MIN(O152-P152,AQ152-(E152+I152+M152)))</f>
        <v/>
      </c>
      <c r="R152" s="152">
        <f>O152-P152-Q152</f>
        <v/>
      </c>
      <c r="S152" s="152">
        <f>IF(V151&lt;=0.005,0,V151*(1+S$6))</f>
        <v/>
      </c>
      <c r="T152" s="152">
        <f>MIN(S152,S$7)</f>
        <v/>
      </c>
      <c r="U152" s="152">
        <f>MAX(0,MIN(S152-T152,AQ152-(E152+I152+M152+Q152)))</f>
        <v/>
      </c>
      <c r="V152" s="152">
        <f>S152-T152-U152</f>
        <v/>
      </c>
      <c r="W152" s="152">
        <f>IF(Z151&lt;=0.005,0,Z151*(1+W$6))</f>
        <v/>
      </c>
      <c r="X152" s="152">
        <f>MIN(W152,W$7)</f>
        <v/>
      </c>
      <c r="Y152" s="152">
        <f>MAX(0,MIN(W152-X152,AQ152-(E152+I152+M152+Q152+U152)))</f>
        <v/>
      </c>
      <c r="Z152" s="152">
        <f>W152-X152-Y152</f>
        <v/>
      </c>
      <c r="AA152" s="152">
        <f>IF(AD151&lt;=0.005,0,AD151*(1+AA$6))</f>
        <v/>
      </c>
      <c r="AB152" s="152">
        <f>MIN(AA152,AA$7)</f>
        <v/>
      </c>
      <c r="AC152" s="152">
        <f>MAX(0,MIN(AA152-AB152,AQ152-(E152+I152+M152+Q152+U152+Y152)))</f>
        <v/>
      </c>
      <c r="AD152" s="152">
        <f>AA152-AB152-AC152</f>
        <v/>
      </c>
      <c r="AE152" s="152">
        <f>IF(AH151&lt;=0.005,0,AH151*(1+AE$6))</f>
        <v/>
      </c>
      <c r="AF152" s="152">
        <f>MIN(AE152,AE$7)</f>
        <v/>
      </c>
      <c r="AG152" s="152">
        <f>MAX(0,MIN(AE152-AF152,AQ152-(E152+I152+M152+Q152+U152+Y152+AC152)))</f>
        <v/>
      </c>
      <c r="AH152" s="152">
        <f>AE152-AF152-AG152</f>
        <v/>
      </c>
      <c r="AI152" s="152">
        <f>IF(AL151&lt;=0.005,0,AL151*(1+AI$6))</f>
        <v/>
      </c>
      <c r="AJ152" s="152">
        <f>MIN(AI152,AI$7)</f>
        <v/>
      </c>
      <c r="AK152" s="152">
        <f>MAX(0,MIN(AI152-AJ152,AQ152-(E152+I152+M152+Q152+U152+Y152+AC152+AG152)))</f>
        <v/>
      </c>
      <c r="AL152" s="152">
        <f>AI152-AJ152-AK152</f>
        <v/>
      </c>
      <c r="AM152" s="152">
        <f>IF(AP151&lt;=0.005,0,AP151*(1+AM$6))</f>
        <v/>
      </c>
      <c r="AN152" s="152">
        <f>MIN(AM152,AM$7)</f>
        <v/>
      </c>
      <c r="AO152" s="152">
        <f>MAX(0,MIN(AM152-AN152,AQ152-(E152+I152+M152+Q152+U152+Y152+AC152+AG152+AK152)))</f>
        <v/>
      </c>
      <c r="AP152" s="152">
        <f>AM152-AN152-AO152</f>
        <v/>
      </c>
      <c r="AQ152" s="152">
        <f>'Debt Payoff'!$C$8-SUM(D152,H152,L152,P152,T152,X152,AB152,AF152,AJ152,AN152)</f>
        <v/>
      </c>
      <c r="AR152" s="152">
        <f>SUM(D152,H152,L152,P152,T152,X152,AB152,AF152,AJ152,AN152)+SUM(E152,I152,M152,Q152,U152,Y152,AC152,AG152,AK152,AO152)</f>
        <v/>
      </c>
      <c r="AS152" s="152">
        <f>SUM(F152,J152,N152,R152,V152,Z152,AD152,AH152,AL152,AP152)</f>
        <v/>
      </c>
      <c r="AT152" s="152">
        <f>IF(B152&gt;AS$6,NA(),B152)</f>
        <v/>
      </c>
      <c r="AU152" s="152">
        <f>IF(B152&gt;AS$6,NA(),AS152)</f>
        <v/>
      </c>
      <c r="AV152" s="152" t="n"/>
      <c r="AW152" s="152" t="n">
        <v>141</v>
      </c>
      <c r="AX152" s="152">
        <f>IF(BA151&lt;=0.005,0,BA151*(1+AX$6))</f>
        <v/>
      </c>
      <c r="AY152" s="152">
        <f>MIN(AX152,AX$7)</f>
        <v/>
      </c>
      <c r="AZ152" s="152">
        <f>MAX(0,MIN(AX152-AY152,CL152))</f>
        <v/>
      </c>
      <c r="BA152" s="152">
        <f>AX152-AY152-AZ152</f>
        <v/>
      </c>
      <c r="BB152" s="152">
        <f>IF(BE151&lt;=0.005,0,BE151*(1+BB$6))</f>
        <v/>
      </c>
      <c r="BC152" s="152">
        <f>MIN(BB152,BB$7)</f>
        <v/>
      </c>
      <c r="BD152" s="152">
        <f>MAX(0,MIN(BB152-BC152,CL152-(AZ152)))</f>
        <v/>
      </c>
      <c r="BE152" s="152">
        <f>BB152-BC152-BD152</f>
        <v/>
      </c>
      <c r="BF152" s="152">
        <f>IF(BI151&lt;=0.005,0,BI151*(1+BF$6))</f>
        <v/>
      </c>
      <c r="BG152" s="152">
        <f>MIN(BF152,BF$7)</f>
        <v/>
      </c>
      <c r="BH152" s="152">
        <f>MAX(0,MIN(BF152-BG152,CL152-(AZ152+BD152)))</f>
        <v/>
      </c>
      <c r="BI152" s="152">
        <f>BF152-BG152-BH152</f>
        <v/>
      </c>
      <c r="BJ152" s="152">
        <f>IF(BM151&lt;=0.005,0,BM151*(1+BJ$6))</f>
        <v/>
      </c>
      <c r="BK152" s="152">
        <f>MIN(BJ152,BJ$7)</f>
        <v/>
      </c>
      <c r="BL152" s="152">
        <f>MAX(0,MIN(BJ152-BK152,CL152-(AZ152+BD152+BH152)))</f>
        <v/>
      </c>
      <c r="BM152" s="152">
        <f>BJ152-BK152-BL152</f>
        <v/>
      </c>
      <c r="BN152" s="152">
        <f>IF(BQ151&lt;=0.005,0,BQ151*(1+BN$6))</f>
        <v/>
      </c>
      <c r="BO152" s="152">
        <f>MIN(BN152,BN$7)</f>
        <v/>
      </c>
      <c r="BP152" s="152">
        <f>MAX(0,MIN(BN152-BO152,CL152-(AZ152+BD152+BH152+BL152)))</f>
        <v/>
      </c>
      <c r="BQ152" s="152">
        <f>BN152-BO152-BP152</f>
        <v/>
      </c>
      <c r="BR152" s="152">
        <f>IF(BU151&lt;=0.005,0,BU151*(1+BR$6))</f>
        <v/>
      </c>
      <c r="BS152" s="152">
        <f>MIN(BR152,BR$7)</f>
        <v/>
      </c>
      <c r="BT152" s="152">
        <f>MAX(0,MIN(BR152-BS152,CL152-(AZ152+BD152+BH152+BL152+BP152)))</f>
        <v/>
      </c>
      <c r="BU152" s="152">
        <f>BR152-BS152-BT152</f>
        <v/>
      </c>
      <c r="BV152" s="152">
        <f>IF(BY151&lt;=0.005,0,BY151*(1+BV$6))</f>
        <v/>
      </c>
      <c r="BW152" s="152">
        <f>MIN(BV152,BV$7)</f>
        <v/>
      </c>
      <c r="BX152" s="152">
        <f>MAX(0,MIN(BV152-BW152,CL152-(AZ152+BD152+BH152+BL152+BP152+BT152)))</f>
        <v/>
      </c>
      <c r="BY152" s="152">
        <f>BV152-BW152-BX152</f>
        <v/>
      </c>
      <c r="BZ152" s="152">
        <f>IF(CC151&lt;=0.005,0,CC151*(1+BZ$6))</f>
        <v/>
      </c>
      <c r="CA152" s="152">
        <f>MIN(BZ152,BZ$7)</f>
        <v/>
      </c>
      <c r="CB152" s="152">
        <f>MAX(0,MIN(BZ152-CA152,CL152-(AZ152+BD152+BH152+BL152+BP152+BT152+BX152)))</f>
        <v/>
      </c>
      <c r="CC152" s="152">
        <f>BZ152-CA152-CB152</f>
        <v/>
      </c>
      <c r="CD152" s="152">
        <f>IF(CG151&lt;=0.005,0,CG151*(1+CD$6))</f>
        <v/>
      </c>
      <c r="CE152" s="152">
        <f>MIN(CD152,CD$7)</f>
        <v/>
      </c>
      <c r="CF152" s="152">
        <f>MAX(0,MIN(CD152-CE152,CL152-(AZ152+BD152+BH152+BL152+BP152+BT152+BX152+CB152)))</f>
        <v/>
      </c>
      <c r="CG152" s="152">
        <f>CD152-CE152-CF152</f>
        <v/>
      </c>
      <c r="CH152" s="152">
        <f>IF(CK151&lt;=0.005,0,CK151*(1+CH$6))</f>
        <v/>
      </c>
      <c r="CI152" s="152">
        <f>MIN(CH152,CH$7)</f>
        <v/>
      </c>
      <c r="CJ152" s="152">
        <f>MAX(0,MIN(CH152-CI152,CL152-(AZ152+BD152+BH152+BL152+BP152+BT152+BX152+CB152+CF152)))</f>
        <v/>
      </c>
      <c r="CK152" s="152">
        <f>CH152-CI152-CJ152</f>
        <v/>
      </c>
      <c r="CL152" s="152">
        <f>'Debt Payoff'!$C$8-SUM(AY152,BC152,BG152,BK152,BO152,BS152,BW152,CA152,CE152,CI152)</f>
        <v/>
      </c>
      <c r="CM152" s="152">
        <f>SUM(AY152,BC152,BG152,BK152,BO152,BS152,BW152,CA152,CE152,CI152)+SUM(AZ152,BD152,BH152,BL152,BP152,BT152,BX152,CB152,CF152,CJ152)</f>
        <v/>
      </c>
      <c r="CN152" s="152">
        <f>SUM(BA152,BE152,BI152,BM152,BQ152,BU152,BY152,CC152,CG152,CK152)</f>
        <v/>
      </c>
      <c r="CO152" s="152">
        <f>IF(AW152&gt;CN$6,NA(),AW152)</f>
        <v/>
      </c>
      <c r="CP152" s="152">
        <f>IF(AW152&gt;CN$6,NA(),CN152)</f>
        <v/>
      </c>
    </row>
    <row r="153">
      <c r="B153" s="152" t="n">
        <v>142</v>
      </c>
      <c r="C153" s="152">
        <f>IF(F152&lt;=0.005,0,F152*(1+C$6))</f>
        <v/>
      </c>
      <c r="D153" s="152">
        <f>MIN(C153,C$7)</f>
        <v/>
      </c>
      <c r="E153" s="152">
        <f>MAX(0,MIN(C153-D153,AQ153))</f>
        <v/>
      </c>
      <c r="F153" s="152">
        <f>C153-D153-E153</f>
        <v/>
      </c>
      <c r="G153" s="152">
        <f>IF(J152&lt;=0.005,0,J152*(1+G$6))</f>
        <v/>
      </c>
      <c r="H153" s="152">
        <f>MIN(G153,G$7)</f>
        <v/>
      </c>
      <c r="I153" s="152">
        <f>MAX(0,MIN(G153-H153,AQ153-(E153)))</f>
        <v/>
      </c>
      <c r="J153" s="152">
        <f>G153-H153-I153</f>
        <v/>
      </c>
      <c r="K153" s="152">
        <f>IF(N152&lt;=0.005,0,N152*(1+K$6))</f>
        <v/>
      </c>
      <c r="L153" s="152">
        <f>MIN(K153,K$7)</f>
        <v/>
      </c>
      <c r="M153" s="152">
        <f>MAX(0,MIN(K153-L153,AQ153-(E153+I153)))</f>
        <v/>
      </c>
      <c r="N153" s="152">
        <f>K153-L153-M153</f>
        <v/>
      </c>
      <c r="O153" s="152">
        <f>IF(R152&lt;=0.005,0,R152*(1+O$6))</f>
        <v/>
      </c>
      <c r="P153" s="152">
        <f>MIN(O153,O$7)</f>
        <v/>
      </c>
      <c r="Q153" s="152">
        <f>MAX(0,MIN(O153-P153,AQ153-(E153+I153+M153)))</f>
        <v/>
      </c>
      <c r="R153" s="152">
        <f>O153-P153-Q153</f>
        <v/>
      </c>
      <c r="S153" s="152">
        <f>IF(V152&lt;=0.005,0,V152*(1+S$6))</f>
        <v/>
      </c>
      <c r="T153" s="152">
        <f>MIN(S153,S$7)</f>
        <v/>
      </c>
      <c r="U153" s="152">
        <f>MAX(0,MIN(S153-T153,AQ153-(E153+I153+M153+Q153)))</f>
        <v/>
      </c>
      <c r="V153" s="152">
        <f>S153-T153-U153</f>
        <v/>
      </c>
      <c r="W153" s="152">
        <f>IF(Z152&lt;=0.005,0,Z152*(1+W$6))</f>
        <v/>
      </c>
      <c r="X153" s="152">
        <f>MIN(W153,W$7)</f>
        <v/>
      </c>
      <c r="Y153" s="152">
        <f>MAX(0,MIN(W153-X153,AQ153-(E153+I153+M153+Q153+U153)))</f>
        <v/>
      </c>
      <c r="Z153" s="152">
        <f>W153-X153-Y153</f>
        <v/>
      </c>
      <c r="AA153" s="152">
        <f>IF(AD152&lt;=0.005,0,AD152*(1+AA$6))</f>
        <v/>
      </c>
      <c r="AB153" s="152">
        <f>MIN(AA153,AA$7)</f>
        <v/>
      </c>
      <c r="AC153" s="152">
        <f>MAX(0,MIN(AA153-AB153,AQ153-(E153+I153+M153+Q153+U153+Y153)))</f>
        <v/>
      </c>
      <c r="AD153" s="152">
        <f>AA153-AB153-AC153</f>
        <v/>
      </c>
      <c r="AE153" s="152">
        <f>IF(AH152&lt;=0.005,0,AH152*(1+AE$6))</f>
        <v/>
      </c>
      <c r="AF153" s="152">
        <f>MIN(AE153,AE$7)</f>
        <v/>
      </c>
      <c r="AG153" s="152">
        <f>MAX(0,MIN(AE153-AF153,AQ153-(E153+I153+M153+Q153+U153+Y153+AC153)))</f>
        <v/>
      </c>
      <c r="AH153" s="152">
        <f>AE153-AF153-AG153</f>
        <v/>
      </c>
      <c r="AI153" s="152">
        <f>IF(AL152&lt;=0.005,0,AL152*(1+AI$6))</f>
        <v/>
      </c>
      <c r="AJ153" s="152">
        <f>MIN(AI153,AI$7)</f>
        <v/>
      </c>
      <c r="AK153" s="152">
        <f>MAX(0,MIN(AI153-AJ153,AQ153-(E153+I153+M153+Q153+U153+Y153+AC153+AG153)))</f>
        <v/>
      </c>
      <c r="AL153" s="152">
        <f>AI153-AJ153-AK153</f>
        <v/>
      </c>
      <c r="AM153" s="152">
        <f>IF(AP152&lt;=0.005,0,AP152*(1+AM$6))</f>
        <v/>
      </c>
      <c r="AN153" s="152">
        <f>MIN(AM153,AM$7)</f>
        <v/>
      </c>
      <c r="AO153" s="152">
        <f>MAX(0,MIN(AM153-AN153,AQ153-(E153+I153+M153+Q153+U153+Y153+AC153+AG153+AK153)))</f>
        <v/>
      </c>
      <c r="AP153" s="152">
        <f>AM153-AN153-AO153</f>
        <v/>
      </c>
      <c r="AQ153" s="152">
        <f>'Debt Payoff'!$C$8-SUM(D153,H153,L153,P153,T153,X153,AB153,AF153,AJ153,AN153)</f>
        <v/>
      </c>
      <c r="AR153" s="152">
        <f>SUM(D153,H153,L153,P153,T153,X153,AB153,AF153,AJ153,AN153)+SUM(E153,I153,M153,Q153,U153,Y153,AC153,AG153,AK153,AO153)</f>
        <v/>
      </c>
      <c r="AS153" s="152">
        <f>SUM(F153,J153,N153,R153,V153,Z153,AD153,AH153,AL153,AP153)</f>
        <v/>
      </c>
      <c r="AT153" s="152">
        <f>IF(B153&gt;AS$6,NA(),B153)</f>
        <v/>
      </c>
      <c r="AU153" s="152">
        <f>IF(B153&gt;AS$6,NA(),AS153)</f>
        <v/>
      </c>
      <c r="AV153" s="152" t="n"/>
      <c r="AW153" s="152" t="n">
        <v>142</v>
      </c>
      <c r="AX153" s="152">
        <f>IF(BA152&lt;=0.005,0,BA152*(1+AX$6))</f>
        <v/>
      </c>
      <c r="AY153" s="152">
        <f>MIN(AX153,AX$7)</f>
        <v/>
      </c>
      <c r="AZ153" s="152">
        <f>MAX(0,MIN(AX153-AY153,CL153))</f>
        <v/>
      </c>
      <c r="BA153" s="152">
        <f>AX153-AY153-AZ153</f>
        <v/>
      </c>
      <c r="BB153" s="152">
        <f>IF(BE152&lt;=0.005,0,BE152*(1+BB$6))</f>
        <v/>
      </c>
      <c r="BC153" s="152">
        <f>MIN(BB153,BB$7)</f>
        <v/>
      </c>
      <c r="BD153" s="152">
        <f>MAX(0,MIN(BB153-BC153,CL153-(AZ153)))</f>
        <v/>
      </c>
      <c r="BE153" s="152">
        <f>BB153-BC153-BD153</f>
        <v/>
      </c>
      <c r="BF153" s="152">
        <f>IF(BI152&lt;=0.005,0,BI152*(1+BF$6))</f>
        <v/>
      </c>
      <c r="BG153" s="152">
        <f>MIN(BF153,BF$7)</f>
        <v/>
      </c>
      <c r="BH153" s="152">
        <f>MAX(0,MIN(BF153-BG153,CL153-(AZ153+BD153)))</f>
        <v/>
      </c>
      <c r="BI153" s="152">
        <f>BF153-BG153-BH153</f>
        <v/>
      </c>
      <c r="BJ153" s="152">
        <f>IF(BM152&lt;=0.005,0,BM152*(1+BJ$6))</f>
        <v/>
      </c>
      <c r="BK153" s="152">
        <f>MIN(BJ153,BJ$7)</f>
        <v/>
      </c>
      <c r="BL153" s="152">
        <f>MAX(0,MIN(BJ153-BK153,CL153-(AZ153+BD153+BH153)))</f>
        <v/>
      </c>
      <c r="BM153" s="152">
        <f>BJ153-BK153-BL153</f>
        <v/>
      </c>
      <c r="BN153" s="152">
        <f>IF(BQ152&lt;=0.005,0,BQ152*(1+BN$6))</f>
        <v/>
      </c>
      <c r="BO153" s="152">
        <f>MIN(BN153,BN$7)</f>
        <v/>
      </c>
      <c r="BP153" s="152">
        <f>MAX(0,MIN(BN153-BO153,CL153-(AZ153+BD153+BH153+BL153)))</f>
        <v/>
      </c>
      <c r="BQ153" s="152">
        <f>BN153-BO153-BP153</f>
        <v/>
      </c>
      <c r="BR153" s="152">
        <f>IF(BU152&lt;=0.005,0,BU152*(1+BR$6))</f>
        <v/>
      </c>
      <c r="BS153" s="152">
        <f>MIN(BR153,BR$7)</f>
        <v/>
      </c>
      <c r="BT153" s="152">
        <f>MAX(0,MIN(BR153-BS153,CL153-(AZ153+BD153+BH153+BL153+BP153)))</f>
        <v/>
      </c>
      <c r="BU153" s="152">
        <f>BR153-BS153-BT153</f>
        <v/>
      </c>
      <c r="BV153" s="152">
        <f>IF(BY152&lt;=0.005,0,BY152*(1+BV$6))</f>
        <v/>
      </c>
      <c r="BW153" s="152">
        <f>MIN(BV153,BV$7)</f>
        <v/>
      </c>
      <c r="BX153" s="152">
        <f>MAX(0,MIN(BV153-BW153,CL153-(AZ153+BD153+BH153+BL153+BP153+BT153)))</f>
        <v/>
      </c>
      <c r="BY153" s="152">
        <f>BV153-BW153-BX153</f>
        <v/>
      </c>
      <c r="BZ153" s="152">
        <f>IF(CC152&lt;=0.005,0,CC152*(1+BZ$6))</f>
        <v/>
      </c>
      <c r="CA153" s="152">
        <f>MIN(BZ153,BZ$7)</f>
        <v/>
      </c>
      <c r="CB153" s="152">
        <f>MAX(0,MIN(BZ153-CA153,CL153-(AZ153+BD153+BH153+BL153+BP153+BT153+BX153)))</f>
        <v/>
      </c>
      <c r="CC153" s="152">
        <f>BZ153-CA153-CB153</f>
        <v/>
      </c>
      <c r="CD153" s="152">
        <f>IF(CG152&lt;=0.005,0,CG152*(1+CD$6))</f>
        <v/>
      </c>
      <c r="CE153" s="152">
        <f>MIN(CD153,CD$7)</f>
        <v/>
      </c>
      <c r="CF153" s="152">
        <f>MAX(0,MIN(CD153-CE153,CL153-(AZ153+BD153+BH153+BL153+BP153+BT153+BX153+CB153)))</f>
        <v/>
      </c>
      <c r="CG153" s="152">
        <f>CD153-CE153-CF153</f>
        <v/>
      </c>
      <c r="CH153" s="152">
        <f>IF(CK152&lt;=0.005,0,CK152*(1+CH$6))</f>
        <v/>
      </c>
      <c r="CI153" s="152">
        <f>MIN(CH153,CH$7)</f>
        <v/>
      </c>
      <c r="CJ153" s="152">
        <f>MAX(0,MIN(CH153-CI153,CL153-(AZ153+BD153+BH153+BL153+BP153+BT153+BX153+CB153+CF153)))</f>
        <v/>
      </c>
      <c r="CK153" s="152">
        <f>CH153-CI153-CJ153</f>
        <v/>
      </c>
      <c r="CL153" s="152">
        <f>'Debt Payoff'!$C$8-SUM(AY153,BC153,BG153,BK153,BO153,BS153,BW153,CA153,CE153,CI153)</f>
        <v/>
      </c>
      <c r="CM153" s="152">
        <f>SUM(AY153,BC153,BG153,BK153,BO153,BS153,BW153,CA153,CE153,CI153)+SUM(AZ153,BD153,BH153,BL153,BP153,BT153,BX153,CB153,CF153,CJ153)</f>
        <v/>
      </c>
      <c r="CN153" s="152">
        <f>SUM(BA153,BE153,BI153,BM153,BQ153,BU153,BY153,CC153,CG153,CK153)</f>
        <v/>
      </c>
      <c r="CO153" s="152">
        <f>IF(AW153&gt;CN$6,NA(),AW153)</f>
        <v/>
      </c>
      <c r="CP153" s="152">
        <f>IF(AW153&gt;CN$6,NA(),CN153)</f>
        <v/>
      </c>
    </row>
    <row r="154">
      <c r="B154" s="152" t="n">
        <v>143</v>
      </c>
      <c r="C154" s="152">
        <f>IF(F153&lt;=0.005,0,F153*(1+C$6))</f>
        <v/>
      </c>
      <c r="D154" s="152">
        <f>MIN(C154,C$7)</f>
        <v/>
      </c>
      <c r="E154" s="152">
        <f>MAX(0,MIN(C154-D154,AQ154))</f>
        <v/>
      </c>
      <c r="F154" s="152">
        <f>C154-D154-E154</f>
        <v/>
      </c>
      <c r="G154" s="152">
        <f>IF(J153&lt;=0.005,0,J153*(1+G$6))</f>
        <v/>
      </c>
      <c r="H154" s="152">
        <f>MIN(G154,G$7)</f>
        <v/>
      </c>
      <c r="I154" s="152">
        <f>MAX(0,MIN(G154-H154,AQ154-(E154)))</f>
        <v/>
      </c>
      <c r="J154" s="152">
        <f>G154-H154-I154</f>
        <v/>
      </c>
      <c r="K154" s="152">
        <f>IF(N153&lt;=0.005,0,N153*(1+K$6))</f>
        <v/>
      </c>
      <c r="L154" s="152">
        <f>MIN(K154,K$7)</f>
        <v/>
      </c>
      <c r="M154" s="152">
        <f>MAX(0,MIN(K154-L154,AQ154-(E154+I154)))</f>
        <v/>
      </c>
      <c r="N154" s="152">
        <f>K154-L154-M154</f>
        <v/>
      </c>
      <c r="O154" s="152">
        <f>IF(R153&lt;=0.005,0,R153*(1+O$6))</f>
        <v/>
      </c>
      <c r="P154" s="152">
        <f>MIN(O154,O$7)</f>
        <v/>
      </c>
      <c r="Q154" s="152">
        <f>MAX(0,MIN(O154-P154,AQ154-(E154+I154+M154)))</f>
        <v/>
      </c>
      <c r="R154" s="152">
        <f>O154-P154-Q154</f>
        <v/>
      </c>
      <c r="S154" s="152">
        <f>IF(V153&lt;=0.005,0,V153*(1+S$6))</f>
        <v/>
      </c>
      <c r="T154" s="152">
        <f>MIN(S154,S$7)</f>
        <v/>
      </c>
      <c r="U154" s="152">
        <f>MAX(0,MIN(S154-T154,AQ154-(E154+I154+M154+Q154)))</f>
        <v/>
      </c>
      <c r="V154" s="152">
        <f>S154-T154-U154</f>
        <v/>
      </c>
      <c r="W154" s="152">
        <f>IF(Z153&lt;=0.005,0,Z153*(1+W$6))</f>
        <v/>
      </c>
      <c r="X154" s="152">
        <f>MIN(W154,W$7)</f>
        <v/>
      </c>
      <c r="Y154" s="152">
        <f>MAX(0,MIN(W154-X154,AQ154-(E154+I154+M154+Q154+U154)))</f>
        <v/>
      </c>
      <c r="Z154" s="152">
        <f>W154-X154-Y154</f>
        <v/>
      </c>
      <c r="AA154" s="152">
        <f>IF(AD153&lt;=0.005,0,AD153*(1+AA$6))</f>
        <v/>
      </c>
      <c r="AB154" s="152">
        <f>MIN(AA154,AA$7)</f>
        <v/>
      </c>
      <c r="AC154" s="152">
        <f>MAX(0,MIN(AA154-AB154,AQ154-(E154+I154+M154+Q154+U154+Y154)))</f>
        <v/>
      </c>
      <c r="AD154" s="152">
        <f>AA154-AB154-AC154</f>
        <v/>
      </c>
      <c r="AE154" s="152">
        <f>IF(AH153&lt;=0.005,0,AH153*(1+AE$6))</f>
        <v/>
      </c>
      <c r="AF154" s="152">
        <f>MIN(AE154,AE$7)</f>
        <v/>
      </c>
      <c r="AG154" s="152">
        <f>MAX(0,MIN(AE154-AF154,AQ154-(E154+I154+M154+Q154+U154+Y154+AC154)))</f>
        <v/>
      </c>
      <c r="AH154" s="152">
        <f>AE154-AF154-AG154</f>
        <v/>
      </c>
      <c r="AI154" s="152">
        <f>IF(AL153&lt;=0.005,0,AL153*(1+AI$6))</f>
        <v/>
      </c>
      <c r="AJ154" s="152">
        <f>MIN(AI154,AI$7)</f>
        <v/>
      </c>
      <c r="AK154" s="152">
        <f>MAX(0,MIN(AI154-AJ154,AQ154-(E154+I154+M154+Q154+U154+Y154+AC154+AG154)))</f>
        <v/>
      </c>
      <c r="AL154" s="152">
        <f>AI154-AJ154-AK154</f>
        <v/>
      </c>
      <c r="AM154" s="152">
        <f>IF(AP153&lt;=0.005,0,AP153*(1+AM$6))</f>
        <v/>
      </c>
      <c r="AN154" s="152">
        <f>MIN(AM154,AM$7)</f>
        <v/>
      </c>
      <c r="AO154" s="152">
        <f>MAX(0,MIN(AM154-AN154,AQ154-(E154+I154+M154+Q154+U154+Y154+AC154+AG154+AK154)))</f>
        <v/>
      </c>
      <c r="AP154" s="152">
        <f>AM154-AN154-AO154</f>
        <v/>
      </c>
      <c r="AQ154" s="152">
        <f>'Debt Payoff'!$C$8-SUM(D154,H154,L154,P154,T154,X154,AB154,AF154,AJ154,AN154)</f>
        <v/>
      </c>
      <c r="AR154" s="152">
        <f>SUM(D154,H154,L154,P154,T154,X154,AB154,AF154,AJ154,AN154)+SUM(E154,I154,M154,Q154,U154,Y154,AC154,AG154,AK154,AO154)</f>
        <v/>
      </c>
      <c r="AS154" s="152">
        <f>SUM(F154,J154,N154,R154,V154,Z154,AD154,AH154,AL154,AP154)</f>
        <v/>
      </c>
      <c r="AT154" s="152">
        <f>IF(B154&gt;AS$6,NA(),B154)</f>
        <v/>
      </c>
      <c r="AU154" s="152">
        <f>IF(B154&gt;AS$6,NA(),AS154)</f>
        <v/>
      </c>
      <c r="AV154" s="152" t="n"/>
      <c r="AW154" s="152" t="n">
        <v>143</v>
      </c>
      <c r="AX154" s="152">
        <f>IF(BA153&lt;=0.005,0,BA153*(1+AX$6))</f>
        <v/>
      </c>
      <c r="AY154" s="152">
        <f>MIN(AX154,AX$7)</f>
        <v/>
      </c>
      <c r="AZ154" s="152">
        <f>MAX(0,MIN(AX154-AY154,CL154))</f>
        <v/>
      </c>
      <c r="BA154" s="152">
        <f>AX154-AY154-AZ154</f>
        <v/>
      </c>
      <c r="BB154" s="152">
        <f>IF(BE153&lt;=0.005,0,BE153*(1+BB$6))</f>
        <v/>
      </c>
      <c r="BC154" s="152">
        <f>MIN(BB154,BB$7)</f>
        <v/>
      </c>
      <c r="BD154" s="152">
        <f>MAX(0,MIN(BB154-BC154,CL154-(AZ154)))</f>
        <v/>
      </c>
      <c r="BE154" s="152">
        <f>BB154-BC154-BD154</f>
        <v/>
      </c>
      <c r="BF154" s="152">
        <f>IF(BI153&lt;=0.005,0,BI153*(1+BF$6))</f>
        <v/>
      </c>
      <c r="BG154" s="152">
        <f>MIN(BF154,BF$7)</f>
        <v/>
      </c>
      <c r="BH154" s="152">
        <f>MAX(0,MIN(BF154-BG154,CL154-(AZ154+BD154)))</f>
        <v/>
      </c>
      <c r="BI154" s="152">
        <f>BF154-BG154-BH154</f>
        <v/>
      </c>
      <c r="BJ154" s="152">
        <f>IF(BM153&lt;=0.005,0,BM153*(1+BJ$6))</f>
        <v/>
      </c>
      <c r="BK154" s="152">
        <f>MIN(BJ154,BJ$7)</f>
        <v/>
      </c>
      <c r="BL154" s="152">
        <f>MAX(0,MIN(BJ154-BK154,CL154-(AZ154+BD154+BH154)))</f>
        <v/>
      </c>
      <c r="BM154" s="152">
        <f>BJ154-BK154-BL154</f>
        <v/>
      </c>
      <c r="BN154" s="152">
        <f>IF(BQ153&lt;=0.005,0,BQ153*(1+BN$6))</f>
        <v/>
      </c>
      <c r="BO154" s="152">
        <f>MIN(BN154,BN$7)</f>
        <v/>
      </c>
      <c r="BP154" s="152">
        <f>MAX(0,MIN(BN154-BO154,CL154-(AZ154+BD154+BH154+BL154)))</f>
        <v/>
      </c>
      <c r="BQ154" s="152">
        <f>BN154-BO154-BP154</f>
        <v/>
      </c>
      <c r="BR154" s="152">
        <f>IF(BU153&lt;=0.005,0,BU153*(1+BR$6))</f>
        <v/>
      </c>
      <c r="BS154" s="152">
        <f>MIN(BR154,BR$7)</f>
        <v/>
      </c>
      <c r="BT154" s="152">
        <f>MAX(0,MIN(BR154-BS154,CL154-(AZ154+BD154+BH154+BL154+BP154)))</f>
        <v/>
      </c>
      <c r="BU154" s="152">
        <f>BR154-BS154-BT154</f>
        <v/>
      </c>
      <c r="BV154" s="152">
        <f>IF(BY153&lt;=0.005,0,BY153*(1+BV$6))</f>
        <v/>
      </c>
      <c r="BW154" s="152">
        <f>MIN(BV154,BV$7)</f>
        <v/>
      </c>
      <c r="BX154" s="152">
        <f>MAX(0,MIN(BV154-BW154,CL154-(AZ154+BD154+BH154+BL154+BP154+BT154)))</f>
        <v/>
      </c>
      <c r="BY154" s="152">
        <f>BV154-BW154-BX154</f>
        <v/>
      </c>
      <c r="BZ154" s="152">
        <f>IF(CC153&lt;=0.005,0,CC153*(1+BZ$6))</f>
        <v/>
      </c>
      <c r="CA154" s="152">
        <f>MIN(BZ154,BZ$7)</f>
        <v/>
      </c>
      <c r="CB154" s="152">
        <f>MAX(0,MIN(BZ154-CA154,CL154-(AZ154+BD154+BH154+BL154+BP154+BT154+BX154)))</f>
        <v/>
      </c>
      <c r="CC154" s="152">
        <f>BZ154-CA154-CB154</f>
        <v/>
      </c>
      <c r="CD154" s="152">
        <f>IF(CG153&lt;=0.005,0,CG153*(1+CD$6))</f>
        <v/>
      </c>
      <c r="CE154" s="152">
        <f>MIN(CD154,CD$7)</f>
        <v/>
      </c>
      <c r="CF154" s="152">
        <f>MAX(0,MIN(CD154-CE154,CL154-(AZ154+BD154+BH154+BL154+BP154+BT154+BX154+CB154)))</f>
        <v/>
      </c>
      <c r="CG154" s="152">
        <f>CD154-CE154-CF154</f>
        <v/>
      </c>
      <c r="CH154" s="152">
        <f>IF(CK153&lt;=0.005,0,CK153*(1+CH$6))</f>
        <v/>
      </c>
      <c r="CI154" s="152">
        <f>MIN(CH154,CH$7)</f>
        <v/>
      </c>
      <c r="CJ154" s="152">
        <f>MAX(0,MIN(CH154-CI154,CL154-(AZ154+BD154+BH154+BL154+BP154+BT154+BX154+CB154+CF154)))</f>
        <v/>
      </c>
      <c r="CK154" s="152">
        <f>CH154-CI154-CJ154</f>
        <v/>
      </c>
      <c r="CL154" s="152">
        <f>'Debt Payoff'!$C$8-SUM(AY154,BC154,BG154,BK154,BO154,BS154,BW154,CA154,CE154,CI154)</f>
        <v/>
      </c>
      <c r="CM154" s="152">
        <f>SUM(AY154,BC154,BG154,BK154,BO154,BS154,BW154,CA154,CE154,CI154)+SUM(AZ154,BD154,BH154,BL154,BP154,BT154,BX154,CB154,CF154,CJ154)</f>
        <v/>
      </c>
      <c r="CN154" s="152">
        <f>SUM(BA154,BE154,BI154,BM154,BQ154,BU154,BY154,CC154,CG154,CK154)</f>
        <v/>
      </c>
      <c r="CO154" s="152">
        <f>IF(AW154&gt;CN$6,NA(),AW154)</f>
        <v/>
      </c>
      <c r="CP154" s="152">
        <f>IF(AW154&gt;CN$6,NA(),CN154)</f>
        <v/>
      </c>
    </row>
    <row r="155">
      <c r="B155" s="152" t="n">
        <v>144</v>
      </c>
      <c r="C155" s="152">
        <f>IF(F154&lt;=0.005,0,F154*(1+C$6))</f>
        <v/>
      </c>
      <c r="D155" s="152">
        <f>MIN(C155,C$7)</f>
        <v/>
      </c>
      <c r="E155" s="152">
        <f>MAX(0,MIN(C155-D155,AQ155))</f>
        <v/>
      </c>
      <c r="F155" s="152">
        <f>C155-D155-E155</f>
        <v/>
      </c>
      <c r="G155" s="152">
        <f>IF(J154&lt;=0.005,0,J154*(1+G$6))</f>
        <v/>
      </c>
      <c r="H155" s="152">
        <f>MIN(G155,G$7)</f>
        <v/>
      </c>
      <c r="I155" s="152">
        <f>MAX(0,MIN(G155-H155,AQ155-(E155)))</f>
        <v/>
      </c>
      <c r="J155" s="152">
        <f>G155-H155-I155</f>
        <v/>
      </c>
      <c r="K155" s="152">
        <f>IF(N154&lt;=0.005,0,N154*(1+K$6))</f>
        <v/>
      </c>
      <c r="L155" s="152">
        <f>MIN(K155,K$7)</f>
        <v/>
      </c>
      <c r="M155" s="152">
        <f>MAX(0,MIN(K155-L155,AQ155-(E155+I155)))</f>
        <v/>
      </c>
      <c r="N155" s="152">
        <f>K155-L155-M155</f>
        <v/>
      </c>
      <c r="O155" s="152">
        <f>IF(R154&lt;=0.005,0,R154*(1+O$6))</f>
        <v/>
      </c>
      <c r="P155" s="152">
        <f>MIN(O155,O$7)</f>
        <v/>
      </c>
      <c r="Q155" s="152">
        <f>MAX(0,MIN(O155-P155,AQ155-(E155+I155+M155)))</f>
        <v/>
      </c>
      <c r="R155" s="152">
        <f>O155-P155-Q155</f>
        <v/>
      </c>
      <c r="S155" s="152">
        <f>IF(V154&lt;=0.005,0,V154*(1+S$6))</f>
        <v/>
      </c>
      <c r="T155" s="152">
        <f>MIN(S155,S$7)</f>
        <v/>
      </c>
      <c r="U155" s="152">
        <f>MAX(0,MIN(S155-T155,AQ155-(E155+I155+M155+Q155)))</f>
        <v/>
      </c>
      <c r="V155" s="152">
        <f>S155-T155-U155</f>
        <v/>
      </c>
      <c r="W155" s="152">
        <f>IF(Z154&lt;=0.005,0,Z154*(1+W$6))</f>
        <v/>
      </c>
      <c r="X155" s="152">
        <f>MIN(W155,W$7)</f>
        <v/>
      </c>
      <c r="Y155" s="152">
        <f>MAX(0,MIN(W155-X155,AQ155-(E155+I155+M155+Q155+U155)))</f>
        <v/>
      </c>
      <c r="Z155" s="152">
        <f>W155-X155-Y155</f>
        <v/>
      </c>
      <c r="AA155" s="152">
        <f>IF(AD154&lt;=0.005,0,AD154*(1+AA$6))</f>
        <v/>
      </c>
      <c r="AB155" s="152">
        <f>MIN(AA155,AA$7)</f>
        <v/>
      </c>
      <c r="AC155" s="152">
        <f>MAX(0,MIN(AA155-AB155,AQ155-(E155+I155+M155+Q155+U155+Y155)))</f>
        <v/>
      </c>
      <c r="AD155" s="152">
        <f>AA155-AB155-AC155</f>
        <v/>
      </c>
      <c r="AE155" s="152">
        <f>IF(AH154&lt;=0.005,0,AH154*(1+AE$6))</f>
        <v/>
      </c>
      <c r="AF155" s="152">
        <f>MIN(AE155,AE$7)</f>
        <v/>
      </c>
      <c r="AG155" s="152">
        <f>MAX(0,MIN(AE155-AF155,AQ155-(E155+I155+M155+Q155+U155+Y155+AC155)))</f>
        <v/>
      </c>
      <c r="AH155" s="152">
        <f>AE155-AF155-AG155</f>
        <v/>
      </c>
      <c r="AI155" s="152">
        <f>IF(AL154&lt;=0.005,0,AL154*(1+AI$6))</f>
        <v/>
      </c>
      <c r="AJ155" s="152">
        <f>MIN(AI155,AI$7)</f>
        <v/>
      </c>
      <c r="AK155" s="152">
        <f>MAX(0,MIN(AI155-AJ155,AQ155-(E155+I155+M155+Q155+U155+Y155+AC155+AG155)))</f>
        <v/>
      </c>
      <c r="AL155" s="152">
        <f>AI155-AJ155-AK155</f>
        <v/>
      </c>
      <c r="AM155" s="152">
        <f>IF(AP154&lt;=0.005,0,AP154*(1+AM$6))</f>
        <v/>
      </c>
      <c r="AN155" s="152">
        <f>MIN(AM155,AM$7)</f>
        <v/>
      </c>
      <c r="AO155" s="152">
        <f>MAX(0,MIN(AM155-AN155,AQ155-(E155+I155+M155+Q155+U155+Y155+AC155+AG155+AK155)))</f>
        <v/>
      </c>
      <c r="AP155" s="152">
        <f>AM155-AN155-AO155</f>
        <v/>
      </c>
      <c r="AQ155" s="152">
        <f>'Debt Payoff'!$C$8-SUM(D155,H155,L155,P155,T155,X155,AB155,AF155,AJ155,AN155)</f>
        <v/>
      </c>
      <c r="AR155" s="152">
        <f>SUM(D155,H155,L155,P155,T155,X155,AB155,AF155,AJ155,AN155)+SUM(E155,I155,M155,Q155,U155,Y155,AC155,AG155,AK155,AO155)</f>
        <v/>
      </c>
      <c r="AS155" s="152">
        <f>SUM(F155,J155,N155,R155,V155,Z155,AD155,AH155,AL155,AP155)</f>
        <v/>
      </c>
      <c r="AT155" s="152">
        <f>IF(B155&gt;AS$6,NA(),B155)</f>
        <v/>
      </c>
      <c r="AU155" s="152">
        <f>IF(B155&gt;AS$6,NA(),AS155)</f>
        <v/>
      </c>
      <c r="AV155" s="152" t="n"/>
      <c r="AW155" s="152" t="n">
        <v>144</v>
      </c>
      <c r="AX155" s="152">
        <f>IF(BA154&lt;=0.005,0,BA154*(1+AX$6))</f>
        <v/>
      </c>
      <c r="AY155" s="152">
        <f>MIN(AX155,AX$7)</f>
        <v/>
      </c>
      <c r="AZ155" s="152">
        <f>MAX(0,MIN(AX155-AY155,CL155))</f>
        <v/>
      </c>
      <c r="BA155" s="152">
        <f>AX155-AY155-AZ155</f>
        <v/>
      </c>
      <c r="BB155" s="152">
        <f>IF(BE154&lt;=0.005,0,BE154*(1+BB$6))</f>
        <v/>
      </c>
      <c r="BC155" s="152">
        <f>MIN(BB155,BB$7)</f>
        <v/>
      </c>
      <c r="BD155" s="152">
        <f>MAX(0,MIN(BB155-BC155,CL155-(AZ155)))</f>
        <v/>
      </c>
      <c r="BE155" s="152">
        <f>BB155-BC155-BD155</f>
        <v/>
      </c>
      <c r="BF155" s="152">
        <f>IF(BI154&lt;=0.005,0,BI154*(1+BF$6))</f>
        <v/>
      </c>
      <c r="BG155" s="152">
        <f>MIN(BF155,BF$7)</f>
        <v/>
      </c>
      <c r="BH155" s="152">
        <f>MAX(0,MIN(BF155-BG155,CL155-(AZ155+BD155)))</f>
        <v/>
      </c>
      <c r="BI155" s="152">
        <f>BF155-BG155-BH155</f>
        <v/>
      </c>
      <c r="BJ155" s="152">
        <f>IF(BM154&lt;=0.005,0,BM154*(1+BJ$6))</f>
        <v/>
      </c>
      <c r="BK155" s="152">
        <f>MIN(BJ155,BJ$7)</f>
        <v/>
      </c>
      <c r="BL155" s="152">
        <f>MAX(0,MIN(BJ155-BK155,CL155-(AZ155+BD155+BH155)))</f>
        <v/>
      </c>
      <c r="BM155" s="152">
        <f>BJ155-BK155-BL155</f>
        <v/>
      </c>
      <c r="BN155" s="152">
        <f>IF(BQ154&lt;=0.005,0,BQ154*(1+BN$6))</f>
        <v/>
      </c>
      <c r="BO155" s="152">
        <f>MIN(BN155,BN$7)</f>
        <v/>
      </c>
      <c r="BP155" s="152">
        <f>MAX(0,MIN(BN155-BO155,CL155-(AZ155+BD155+BH155+BL155)))</f>
        <v/>
      </c>
      <c r="BQ155" s="152">
        <f>BN155-BO155-BP155</f>
        <v/>
      </c>
      <c r="BR155" s="152">
        <f>IF(BU154&lt;=0.005,0,BU154*(1+BR$6))</f>
        <v/>
      </c>
      <c r="BS155" s="152">
        <f>MIN(BR155,BR$7)</f>
        <v/>
      </c>
      <c r="BT155" s="152">
        <f>MAX(0,MIN(BR155-BS155,CL155-(AZ155+BD155+BH155+BL155+BP155)))</f>
        <v/>
      </c>
      <c r="BU155" s="152">
        <f>BR155-BS155-BT155</f>
        <v/>
      </c>
      <c r="BV155" s="152">
        <f>IF(BY154&lt;=0.005,0,BY154*(1+BV$6))</f>
        <v/>
      </c>
      <c r="BW155" s="152">
        <f>MIN(BV155,BV$7)</f>
        <v/>
      </c>
      <c r="BX155" s="152">
        <f>MAX(0,MIN(BV155-BW155,CL155-(AZ155+BD155+BH155+BL155+BP155+BT155)))</f>
        <v/>
      </c>
      <c r="BY155" s="152">
        <f>BV155-BW155-BX155</f>
        <v/>
      </c>
      <c r="BZ155" s="152">
        <f>IF(CC154&lt;=0.005,0,CC154*(1+BZ$6))</f>
        <v/>
      </c>
      <c r="CA155" s="152">
        <f>MIN(BZ155,BZ$7)</f>
        <v/>
      </c>
      <c r="CB155" s="152">
        <f>MAX(0,MIN(BZ155-CA155,CL155-(AZ155+BD155+BH155+BL155+BP155+BT155+BX155)))</f>
        <v/>
      </c>
      <c r="CC155" s="152">
        <f>BZ155-CA155-CB155</f>
        <v/>
      </c>
      <c r="CD155" s="152">
        <f>IF(CG154&lt;=0.005,0,CG154*(1+CD$6))</f>
        <v/>
      </c>
      <c r="CE155" s="152">
        <f>MIN(CD155,CD$7)</f>
        <v/>
      </c>
      <c r="CF155" s="152">
        <f>MAX(0,MIN(CD155-CE155,CL155-(AZ155+BD155+BH155+BL155+BP155+BT155+BX155+CB155)))</f>
        <v/>
      </c>
      <c r="CG155" s="152">
        <f>CD155-CE155-CF155</f>
        <v/>
      </c>
      <c r="CH155" s="152">
        <f>IF(CK154&lt;=0.005,0,CK154*(1+CH$6))</f>
        <v/>
      </c>
      <c r="CI155" s="152">
        <f>MIN(CH155,CH$7)</f>
        <v/>
      </c>
      <c r="CJ155" s="152">
        <f>MAX(0,MIN(CH155-CI155,CL155-(AZ155+BD155+BH155+BL155+BP155+BT155+BX155+CB155+CF155)))</f>
        <v/>
      </c>
      <c r="CK155" s="152">
        <f>CH155-CI155-CJ155</f>
        <v/>
      </c>
      <c r="CL155" s="152">
        <f>'Debt Payoff'!$C$8-SUM(AY155,BC155,BG155,BK155,BO155,BS155,BW155,CA155,CE155,CI155)</f>
        <v/>
      </c>
      <c r="CM155" s="152">
        <f>SUM(AY155,BC155,BG155,BK155,BO155,BS155,BW155,CA155,CE155,CI155)+SUM(AZ155,BD155,BH155,BL155,BP155,BT155,BX155,CB155,CF155,CJ155)</f>
        <v/>
      </c>
      <c r="CN155" s="152">
        <f>SUM(BA155,BE155,BI155,BM155,BQ155,BU155,BY155,CC155,CG155,CK155)</f>
        <v/>
      </c>
      <c r="CO155" s="152">
        <f>IF(AW155&gt;CN$6,NA(),AW155)</f>
        <v/>
      </c>
      <c r="CP155" s="152">
        <f>IF(AW155&gt;CN$6,NA(),CN155)</f>
        <v/>
      </c>
    </row>
    <row r="156">
      <c r="B156" s="152" t="n">
        <v>145</v>
      </c>
      <c r="C156" s="152">
        <f>IF(F155&lt;=0.005,0,F155*(1+C$6))</f>
        <v/>
      </c>
      <c r="D156" s="152">
        <f>MIN(C156,C$7)</f>
        <v/>
      </c>
      <c r="E156" s="152">
        <f>MAX(0,MIN(C156-D156,AQ156))</f>
        <v/>
      </c>
      <c r="F156" s="152">
        <f>C156-D156-E156</f>
        <v/>
      </c>
      <c r="G156" s="152">
        <f>IF(J155&lt;=0.005,0,J155*(1+G$6))</f>
        <v/>
      </c>
      <c r="H156" s="152">
        <f>MIN(G156,G$7)</f>
        <v/>
      </c>
      <c r="I156" s="152">
        <f>MAX(0,MIN(G156-H156,AQ156-(E156)))</f>
        <v/>
      </c>
      <c r="J156" s="152">
        <f>G156-H156-I156</f>
        <v/>
      </c>
      <c r="K156" s="152">
        <f>IF(N155&lt;=0.005,0,N155*(1+K$6))</f>
        <v/>
      </c>
      <c r="L156" s="152">
        <f>MIN(K156,K$7)</f>
        <v/>
      </c>
      <c r="M156" s="152">
        <f>MAX(0,MIN(K156-L156,AQ156-(E156+I156)))</f>
        <v/>
      </c>
      <c r="N156" s="152">
        <f>K156-L156-M156</f>
        <v/>
      </c>
      <c r="O156" s="152">
        <f>IF(R155&lt;=0.005,0,R155*(1+O$6))</f>
        <v/>
      </c>
      <c r="P156" s="152">
        <f>MIN(O156,O$7)</f>
        <v/>
      </c>
      <c r="Q156" s="152">
        <f>MAX(0,MIN(O156-P156,AQ156-(E156+I156+M156)))</f>
        <v/>
      </c>
      <c r="R156" s="152">
        <f>O156-P156-Q156</f>
        <v/>
      </c>
      <c r="S156" s="152">
        <f>IF(V155&lt;=0.005,0,V155*(1+S$6))</f>
        <v/>
      </c>
      <c r="T156" s="152">
        <f>MIN(S156,S$7)</f>
        <v/>
      </c>
      <c r="U156" s="152">
        <f>MAX(0,MIN(S156-T156,AQ156-(E156+I156+M156+Q156)))</f>
        <v/>
      </c>
      <c r="V156" s="152">
        <f>S156-T156-U156</f>
        <v/>
      </c>
      <c r="W156" s="152">
        <f>IF(Z155&lt;=0.005,0,Z155*(1+W$6))</f>
        <v/>
      </c>
      <c r="X156" s="152">
        <f>MIN(W156,W$7)</f>
        <v/>
      </c>
      <c r="Y156" s="152">
        <f>MAX(0,MIN(W156-X156,AQ156-(E156+I156+M156+Q156+U156)))</f>
        <v/>
      </c>
      <c r="Z156" s="152">
        <f>W156-X156-Y156</f>
        <v/>
      </c>
      <c r="AA156" s="152">
        <f>IF(AD155&lt;=0.005,0,AD155*(1+AA$6))</f>
        <v/>
      </c>
      <c r="AB156" s="152">
        <f>MIN(AA156,AA$7)</f>
        <v/>
      </c>
      <c r="AC156" s="152">
        <f>MAX(0,MIN(AA156-AB156,AQ156-(E156+I156+M156+Q156+U156+Y156)))</f>
        <v/>
      </c>
      <c r="AD156" s="152">
        <f>AA156-AB156-AC156</f>
        <v/>
      </c>
      <c r="AE156" s="152">
        <f>IF(AH155&lt;=0.005,0,AH155*(1+AE$6))</f>
        <v/>
      </c>
      <c r="AF156" s="152">
        <f>MIN(AE156,AE$7)</f>
        <v/>
      </c>
      <c r="AG156" s="152">
        <f>MAX(0,MIN(AE156-AF156,AQ156-(E156+I156+M156+Q156+U156+Y156+AC156)))</f>
        <v/>
      </c>
      <c r="AH156" s="152">
        <f>AE156-AF156-AG156</f>
        <v/>
      </c>
      <c r="AI156" s="152">
        <f>IF(AL155&lt;=0.005,0,AL155*(1+AI$6))</f>
        <v/>
      </c>
      <c r="AJ156" s="152">
        <f>MIN(AI156,AI$7)</f>
        <v/>
      </c>
      <c r="AK156" s="152">
        <f>MAX(0,MIN(AI156-AJ156,AQ156-(E156+I156+M156+Q156+U156+Y156+AC156+AG156)))</f>
        <v/>
      </c>
      <c r="AL156" s="152">
        <f>AI156-AJ156-AK156</f>
        <v/>
      </c>
      <c r="AM156" s="152">
        <f>IF(AP155&lt;=0.005,0,AP155*(1+AM$6))</f>
        <v/>
      </c>
      <c r="AN156" s="152">
        <f>MIN(AM156,AM$7)</f>
        <v/>
      </c>
      <c r="AO156" s="152">
        <f>MAX(0,MIN(AM156-AN156,AQ156-(E156+I156+M156+Q156+U156+Y156+AC156+AG156+AK156)))</f>
        <v/>
      </c>
      <c r="AP156" s="152">
        <f>AM156-AN156-AO156</f>
        <v/>
      </c>
      <c r="AQ156" s="152">
        <f>'Debt Payoff'!$C$8-SUM(D156,H156,L156,P156,T156,X156,AB156,AF156,AJ156,AN156)</f>
        <v/>
      </c>
      <c r="AR156" s="152">
        <f>SUM(D156,H156,L156,P156,T156,X156,AB156,AF156,AJ156,AN156)+SUM(E156,I156,M156,Q156,U156,Y156,AC156,AG156,AK156,AO156)</f>
        <v/>
      </c>
      <c r="AS156" s="152">
        <f>SUM(F156,J156,N156,R156,V156,Z156,AD156,AH156,AL156,AP156)</f>
        <v/>
      </c>
      <c r="AT156" s="152">
        <f>IF(B156&gt;AS$6,NA(),B156)</f>
        <v/>
      </c>
      <c r="AU156" s="152">
        <f>IF(B156&gt;AS$6,NA(),AS156)</f>
        <v/>
      </c>
      <c r="AV156" s="152" t="n"/>
      <c r="AW156" s="152" t="n">
        <v>145</v>
      </c>
      <c r="AX156" s="152">
        <f>IF(BA155&lt;=0.005,0,BA155*(1+AX$6))</f>
        <v/>
      </c>
      <c r="AY156" s="152">
        <f>MIN(AX156,AX$7)</f>
        <v/>
      </c>
      <c r="AZ156" s="152">
        <f>MAX(0,MIN(AX156-AY156,CL156))</f>
        <v/>
      </c>
      <c r="BA156" s="152">
        <f>AX156-AY156-AZ156</f>
        <v/>
      </c>
      <c r="BB156" s="152">
        <f>IF(BE155&lt;=0.005,0,BE155*(1+BB$6))</f>
        <v/>
      </c>
      <c r="BC156" s="152">
        <f>MIN(BB156,BB$7)</f>
        <v/>
      </c>
      <c r="BD156" s="152">
        <f>MAX(0,MIN(BB156-BC156,CL156-(AZ156)))</f>
        <v/>
      </c>
      <c r="BE156" s="152">
        <f>BB156-BC156-BD156</f>
        <v/>
      </c>
      <c r="BF156" s="152">
        <f>IF(BI155&lt;=0.005,0,BI155*(1+BF$6))</f>
        <v/>
      </c>
      <c r="BG156" s="152">
        <f>MIN(BF156,BF$7)</f>
        <v/>
      </c>
      <c r="BH156" s="152">
        <f>MAX(0,MIN(BF156-BG156,CL156-(AZ156+BD156)))</f>
        <v/>
      </c>
      <c r="BI156" s="152">
        <f>BF156-BG156-BH156</f>
        <v/>
      </c>
      <c r="BJ156" s="152">
        <f>IF(BM155&lt;=0.005,0,BM155*(1+BJ$6))</f>
        <v/>
      </c>
      <c r="BK156" s="152">
        <f>MIN(BJ156,BJ$7)</f>
        <v/>
      </c>
      <c r="BL156" s="152">
        <f>MAX(0,MIN(BJ156-BK156,CL156-(AZ156+BD156+BH156)))</f>
        <v/>
      </c>
      <c r="BM156" s="152">
        <f>BJ156-BK156-BL156</f>
        <v/>
      </c>
      <c r="BN156" s="152">
        <f>IF(BQ155&lt;=0.005,0,BQ155*(1+BN$6))</f>
        <v/>
      </c>
      <c r="BO156" s="152">
        <f>MIN(BN156,BN$7)</f>
        <v/>
      </c>
      <c r="BP156" s="152">
        <f>MAX(0,MIN(BN156-BO156,CL156-(AZ156+BD156+BH156+BL156)))</f>
        <v/>
      </c>
      <c r="BQ156" s="152">
        <f>BN156-BO156-BP156</f>
        <v/>
      </c>
      <c r="BR156" s="152">
        <f>IF(BU155&lt;=0.005,0,BU155*(1+BR$6))</f>
        <v/>
      </c>
      <c r="BS156" s="152">
        <f>MIN(BR156,BR$7)</f>
        <v/>
      </c>
      <c r="BT156" s="152">
        <f>MAX(0,MIN(BR156-BS156,CL156-(AZ156+BD156+BH156+BL156+BP156)))</f>
        <v/>
      </c>
      <c r="BU156" s="152">
        <f>BR156-BS156-BT156</f>
        <v/>
      </c>
      <c r="BV156" s="152">
        <f>IF(BY155&lt;=0.005,0,BY155*(1+BV$6))</f>
        <v/>
      </c>
      <c r="BW156" s="152">
        <f>MIN(BV156,BV$7)</f>
        <v/>
      </c>
      <c r="BX156" s="152">
        <f>MAX(0,MIN(BV156-BW156,CL156-(AZ156+BD156+BH156+BL156+BP156+BT156)))</f>
        <v/>
      </c>
      <c r="BY156" s="152">
        <f>BV156-BW156-BX156</f>
        <v/>
      </c>
      <c r="BZ156" s="152">
        <f>IF(CC155&lt;=0.005,0,CC155*(1+BZ$6))</f>
        <v/>
      </c>
      <c r="CA156" s="152">
        <f>MIN(BZ156,BZ$7)</f>
        <v/>
      </c>
      <c r="CB156" s="152">
        <f>MAX(0,MIN(BZ156-CA156,CL156-(AZ156+BD156+BH156+BL156+BP156+BT156+BX156)))</f>
        <v/>
      </c>
      <c r="CC156" s="152">
        <f>BZ156-CA156-CB156</f>
        <v/>
      </c>
      <c r="CD156" s="152">
        <f>IF(CG155&lt;=0.005,0,CG155*(1+CD$6))</f>
        <v/>
      </c>
      <c r="CE156" s="152">
        <f>MIN(CD156,CD$7)</f>
        <v/>
      </c>
      <c r="CF156" s="152">
        <f>MAX(0,MIN(CD156-CE156,CL156-(AZ156+BD156+BH156+BL156+BP156+BT156+BX156+CB156)))</f>
        <v/>
      </c>
      <c r="CG156" s="152">
        <f>CD156-CE156-CF156</f>
        <v/>
      </c>
      <c r="CH156" s="152">
        <f>IF(CK155&lt;=0.005,0,CK155*(1+CH$6))</f>
        <v/>
      </c>
      <c r="CI156" s="152">
        <f>MIN(CH156,CH$7)</f>
        <v/>
      </c>
      <c r="CJ156" s="152">
        <f>MAX(0,MIN(CH156-CI156,CL156-(AZ156+BD156+BH156+BL156+BP156+BT156+BX156+CB156+CF156)))</f>
        <v/>
      </c>
      <c r="CK156" s="152">
        <f>CH156-CI156-CJ156</f>
        <v/>
      </c>
      <c r="CL156" s="152">
        <f>'Debt Payoff'!$C$8-SUM(AY156,BC156,BG156,BK156,BO156,BS156,BW156,CA156,CE156,CI156)</f>
        <v/>
      </c>
      <c r="CM156" s="152">
        <f>SUM(AY156,BC156,BG156,BK156,BO156,BS156,BW156,CA156,CE156,CI156)+SUM(AZ156,BD156,BH156,BL156,BP156,BT156,BX156,CB156,CF156,CJ156)</f>
        <v/>
      </c>
      <c r="CN156" s="152">
        <f>SUM(BA156,BE156,BI156,BM156,BQ156,BU156,BY156,CC156,CG156,CK156)</f>
        <v/>
      </c>
      <c r="CO156" s="152">
        <f>IF(AW156&gt;CN$6,NA(),AW156)</f>
        <v/>
      </c>
      <c r="CP156" s="152">
        <f>IF(AW156&gt;CN$6,NA(),CN156)</f>
        <v/>
      </c>
    </row>
    <row r="157">
      <c r="B157" s="152" t="n">
        <v>146</v>
      </c>
      <c r="C157" s="152">
        <f>IF(F156&lt;=0.005,0,F156*(1+C$6))</f>
        <v/>
      </c>
      <c r="D157" s="152">
        <f>MIN(C157,C$7)</f>
        <v/>
      </c>
      <c r="E157" s="152">
        <f>MAX(0,MIN(C157-D157,AQ157))</f>
        <v/>
      </c>
      <c r="F157" s="152">
        <f>C157-D157-E157</f>
        <v/>
      </c>
      <c r="G157" s="152">
        <f>IF(J156&lt;=0.005,0,J156*(1+G$6))</f>
        <v/>
      </c>
      <c r="H157" s="152">
        <f>MIN(G157,G$7)</f>
        <v/>
      </c>
      <c r="I157" s="152">
        <f>MAX(0,MIN(G157-H157,AQ157-(E157)))</f>
        <v/>
      </c>
      <c r="J157" s="152">
        <f>G157-H157-I157</f>
        <v/>
      </c>
      <c r="K157" s="152">
        <f>IF(N156&lt;=0.005,0,N156*(1+K$6))</f>
        <v/>
      </c>
      <c r="L157" s="152">
        <f>MIN(K157,K$7)</f>
        <v/>
      </c>
      <c r="M157" s="152">
        <f>MAX(0,MIN(K157-L157,AQ157-(E157+I157)))</f>
        <v/>
      </c>
      <c r="N157" s="152">
        <f>K157-L157-M157</f>
        <v/>
      </c>
      <c r="O157" s="152">
        <f>IF(R156&lt;=0.005,0,R156*(1+O$6))</f>
        <v/>
      </c>
      <c r="P157" s="152">
        <f>MIN(O157,O$7)</f>
        <v/>
      </c>
      <c r="Q157" s="152">
        <f>MAX(0,MIN(O157-P157,AQ157-(E157+I157+M157)))</f>
        <v/>
      </c>
      <c r="R157" s="152">
        <f>O157-P157-Q157</f>
        <v/>
      </c>
      <c r="S157" s="152">
        <f>IF(V156&lt;=0.005,0,V156*(1+S$6))</f>
        <v/>
      </c>
      <c r="T157" s="152">
        <f>MIN(S157,S$7)</f>
        <v/>
      </c>
      <c r="U157" s="152">
        <f>MAX(0,MIN(S157-T157,AQ157-(E157+I157+M157+Q157)))</f>
        <v/>
      </c>
      <c r="V157" s="152">
        <f>S157-T157-U157</f>
        <v/>
      </c>
      <c r="W157" s="152">
        <f>IF(Z156&lt;=0.005,0,Z156*(1+W$6))</f>
        <v/>
      </c>
      <c r="X157" s="152">
        <f>MIN(W157,W$7)</f>
        <v/>
      </c>
      <c r="Y157" s="152">
        <f>MAX(0,MIN(W157-X157,AQ157-(E157+I157+M157+Q157+U157)))</f>
        <v/>
      </c>
      <c r="Z157" s="152">
        <f>W157-X157-Y157</f>
        <v/>
      </c>
      <c r="AA157" s="152">
        <f>IF(AD156&lt;=0.005,0,AD156*(1+AA$6))</f>
        <v/>
      </c>
      <c r="AB157" s="152">
        <f>MIN(AA157,AA$7)</f>
        <v/>
      </c>
      <c r="AC157" s="152">
        <f>MAX(0,MIN(AA157-AB157,AQ157-(E157+I157+M157+Q157+U157+Y157)))</f>
        <v/>
      </c>
      <c r="AD157" s="152">
        <f>AA157-AB157-AC157</f>
        <v/>
      </c>
      <c r="AE157" s="152">
        <f>IF(AH156&lt;=0.005,0,AH156*(1+AE$6))</f>
        <v/>
      </c>
      <c r="AF157" s="152">
        <f>MIN(AE157,AE$7)</f>
        <v/>
      </c>
      <c r="AG157" s="152">
        <f>MAX(0,MIN(AE157-AF157,AQ157-(E157+I157+M157+Q157+U157+Y157+AC157)))</f>
        <v/>
      </c>
      <c r="AH157" s="152">
        <f>AE157-AF157-AG157</f>
        <v/>
      </c>
      <c r="AI157" s="152">
        <f>IF(AL156&lt;=0.005,0,AL156*(1+AI$6))</f>
        <v/>
      </c>
      <c r="AJ157" s="152">
        <f>MIN(AI157,AI$7)</f>
        <v/>
      </c>
      <c r="AK157" s="152">
        <f>MAX(0,MIN(AI157-AJ157,AQ157-(E157+I157+M157+Q157+U157+Y157+AC157+AG157)))</f>
        <v/>
      </c>
      <c r="AL157" s="152">
        <f>AI157-AJ157-AK157</f>
        <v/>
      </c>
      <c r="AM157" s="152">
        <f>IF(AP156&lt;=0.005,0,AP156*(1+AM$6))</f>
        <v/>
      </c>
      <c r="AN157" s="152">
        <f>MIN(AM157,AM$7)</f>
        <v/>
      </c>
      <c r="AO157" s="152">
        <f>MAX(0,MIN(AM157-AN157,AQ157-(E157+I157+M157+Q157+U157+Y157+AC157+AG157+AK157)))</f>
        <v/>
      </c>
      <c r="AP157" s="152">
        <f>AM157-AN157-AO157</f>
        <v/>
      </c>
      <c r="AQ157" s="152">
        <f>'Debt Payoff'!$C$8-SUM(D157,H157,L157,P157,T157,X157,AB157,AF157,AJ157,AN157)</f>
        <v/>
      </c>
      <c r="AR157" s="152">
        <f>SUM(D157,H157,L157,P157,T157,X157,AB157,AF157,AJ157,AN157)+SUM(E157,I157,M157,Q157,U157,Y157,AC157,AG157,AK157,AO157)</f>
        <v/>
      </c>
      <c r="AS157" s="152">
        <f>SUM(F157,J157,N157,R157,V157,Z157,AD157,AH157,AL157,AP157)</f>
        <v/>
      </c>
      <c r="AT157" s="152">
        <f>IF(B157&gt;AS$6,NA(),B157)</f>
        <v/>
      </c>
      <c r="AU157" s="152">
        <f>IF(B157&gt;AS$6,NA(),AS157)</f>
        <v/>
      </c>
      <c r="AV157" s="152" t="n"/>
      <c r="AW157" s="152" t="n">
        <v>146</v>
      </c>
      <c r="AX157" s="152">
        <f>IF(BA156&lt;=0.005,0,BA156*(1+AX$6))</f>
        <v/>
      </c>
      <c r="AY157" s="152">
        <f>MIN(AX157,AX$7)</f>
        <v/>
      </c>
      <c r="AZ157" s="152">
        <f>MAX(0,MIN(AX157-AY157,CL157))</f>
        <v/>
      </c>
      <c r="BA157" s="152">
        <f>AX157-AY157-AZ157</f>
        <v/>
      </c>
      <c r="BB157" s="152">
        <f>IF(BE156&lt;=0.005,0,BE156*(1+BB$6))</f>
        <v/>
      </c>
      <c r="BC157" s="152">
        <f>MIN(BB157,BB$7)</f>
        <v/>
      </c>
      <c r="BD157" s="152">
        <f>MAX(0,MIN(BB157-BC157,CL157-(AZ157)))</f>
        <v/>
      </c>
      <c r="BE157" s="152">
        <f>BB157-BC157-BD157</f>
        <v/>
      </c>
      <c r="BF157" s="152">
        <f>IF(BI156&lt;=0.005,0,BI156*(1+BF$6))</f>
        <v/>
      </c>
      <c r="BG157" s="152">
        <f>MIN(BF157,BF$7)</f>
        <v/>
      </c>
      <c r="BH157" s="152">
        <f>MAX(0,MIN(BF157-BG157,CL157-(AZ157+BD157)))</f>
        <v/>
      </c>
      <c r="BI157" s="152">
        <f>BF157-BG157-BH157</f>
        <v/>
      </c>
      <c r="BJ157" s="152">
        <f>IF(BM156&lt;=0.005,0,BM156*(1+BJ$6))</f>
        <v/>
      </c>
      <c r="BK157" s="152">
        <f>MIN(BJ157,BJ$7)</f>
        <v/>
      </c>
      <c r="BL157" s="152">
        <f>MAX(0,MIN(BJ157-BK157,CL157-(AZ157+BD157+BH157)))</f>
        <v/>
      </c>
      <c r="BM157" s="152">
        <f>BJ157-BK157-BL157</f>
        <v/>
      </c>
      <c r="BN157" s="152">
        <f>IF(BQ156&lt;=0.005,0,BQ156*(1+BN$6))</f>
        <v/>
      </c>
      <c r="BO157" s="152">
        <f>MIN(BN157,BN$7)</f>
        <v/>
      </c>
      <c r="BP157" s="152">
        <f>MAX(0,MIN(BN157-BO157,CL157-(AZ157+BD157+BH157+BL157)))</f>
        <v/>
      </c>
      <c r="BQ157" s="152">
        <f>BN157-BO157-BP157</f>
        <v/>
      </c>
      <c r="BR157" s="152">
        <f>IF(BU156&lt;=0.005,0,BU156*(1+BR$6))</f>
        <v/>
      </c>
      <c r="BS157" s="152">
        <f>MIN(BR157,BR$7)</f>
        <v/>
      </c>
      <c r="BT157" s="152">
        <f>MAX(0,MIN(BR157-BS157,CL157-(AZ157+BD157+BH157+BL157+BP157)))</f>
        <v/>
      </c>
      <c r="BU157" s="152">
        <f>BR157-BS157-BT157</f>
        <v/>
      </c>
      <c r="BV157" s="152">
        <f>IF(BY156&lt;=0.005,0,BY156*(1+BV$6))</f>
        <v/>
      </c>
      <c r="BW157" s="152">
        <f>MIN(BV157,BV$7)</f>
        <v/>
      </c>
      <c r="BX157" s="152">
        <f>MAX(0,MIN(BV157-BW157,CL157-(AZ157+BD157+BH157+BL157+BP157+BT157)))</f>
        <v/>
      </c>
      <c r="BY157" s="152">
        <f>BV157-BW157-BX157</f>
        <v/>
      </c>
      <c r="BZ157" s="152">
        <f>IF(CC156&lt;=0.005,0,CC156*(1+BZ$6))</f>
        <v/>
      </c>
      <c r="CA157" s="152">
        <f>MIN(BZ157,BZ$7)</f>
        <v/>
      </c>
      <c r="CB157" s="152">
        <f>MAX(0,MIN(BZ157-CA157,CL157-(AZ157+BD157+BH157+BL157+BP157+BT157+BX157)))</f>
        <v/>
      </c>
      <c r="CC157" s="152">
        <f>BZ157-CA157-CB157</f>
        <v/>
      </c>
      <c r="CD157" s="152">
        <f>IF(CG156&lt;=0.005,0,CG156*(1+CD$6))</f>
        <v/>
      </c>
      <c r="CE157" s="152">
        <f>MIN(CD157,CD$7)</f>
        <v/>
      </c>
      <c r="CF157" s="152">
        <f>MAX(0,MIN(CD157-CE157,CL157-(AZ157+BD157+BH157+BL157+BP157+BT157+BX157+CB157)))</f>
        <v/>
      </c>
      <c r="CG157" s="152">
        <f>CD157-CE157-CF157</f>
        <v/>
      </c>
      <c r="CH157" s="152">
        <f>IF(CK156&lt;=0.005,0,CK156*(1+CH$6))</f>
        <v/>
      </c>
      <c r="CI157" s="152">
        <f>MIN(CH157,CH$7)</f>
        <v/>
      </c>
      <c r="CJ157" s="152">
        <f>MAX(0,MIN(CH157-CI157,CL157-(AZ157+BD157+BH157+BL157+BP157+BT157+BX157+CB157+CF157)))</f>
        <v/>
      </c>
      <c r="CK157" s="152">
        <f>CH157-CI157-CJ157</f>
        <v/>
      </c>
      <c r="CL157" s="152">
        <f>'Debt Payoff'!$C$8-SUM(AY157,BC157,BG157,BK157,BO157,BS157,BW157,CA157,CE157,CI157)</f>
        <v/>
      </c>
      <c r="CM157" s="152">
        <f>SUM(AY157,BC157,BG157,BK157,BO157,BS157,BW157,CA157,CE157,CI157)+SUM(AZ157,BD157,BH157,BL157,BP157,BT157,BX157,CB157,CF157,CJ157)</f>
        <v/>
      </c>
      <c r="CN157" s="152">
        <f>SUM(BA157,BE157,BI157,BM157,BQ157,BU157,BY157,CC157,CG157,CK157)</f>
        <v/>
      </c>
      <c r="CO157" s="152">
        <f>IF(AW157&gt;CN$6,NA(),AW157)</f>
        <v/>
      </c>
      <c r="CP157" s="152">
        <f>IF(AW157&gt;CN$6,NA(),CN157)</f>
        <v/>
      </c>
    </row>
    <row r="158">
      <c r="B158" s="152" t="n">
        <v>147</v>
      </c>
      <c r="C158" s="152">
        <f>IF(F157&lt;=0.005,0,F157*(1+C$6))</f>
        <v/>
      </c>
      <c r="D158" s="152">
        <f>MIN(C158,C$7)</f>
        <v/>
      </c>
      <c r="E158" s="152">
        <f>MAX(0,MIN(C158-D158,AQ158))</f>
        <v/>
      </c>
      <c r="F158" s="152">
        <f>C158-D158-E158</f>
        <v/>
      </c>
      <c r="G158" s="152">
        <f>IF(J157&lt;=0.005,0,J157*(1+G$6))</f>
        <v/>
      </c>
      <c r="H158" s="152">
        <f>MIN(G158,G$7)</f>
        <v/>
      </c>
      <c r="I158" s="152">
        <f>MAX(0,MIN(G158-H158,AQ158-(E158)))</f>
        <v/>
      </c>
      <c r="J158" s="152">
        <f>G158-H158-I158</f>
        <v/>
      </c>
      <c r="K158" s="152">
        <f>IF(N157&lt;=0.005,0,N157*(1+K$6))</f>
        <v/>
      </c>
      <c r="L158" s="152">
        <f>MIN(K158,K$7)</f>
        <v/>
      </c>
      <c r="M158" s="152">
        <f>MAX(0,MIN(K158-L158,AQ158-(E158+I158)))</f>
        <v/>
      </c>
      <c r="N158" s="152">
        <f>K158-L158-M158</f>
        <v/>
      </c>
      <c r="O158" s="152">
        <f>IF(R157&lt;=0.005,0,R157*(1+O$6))</f>
        <v/>
      </c>
      <c r="P158" s="152">
        <f>MIN(O158,O$7)</f>
        <v/>
      </c>
      <c r="Q158" s="152">
        <f>MAX(0,MIN(O158-P158,AQ158-(E158+I158+M158)))</f>
        <v/>
      </c>
      <c r="R158" s="152">
        <f>O158-P158-Q158</f>
        <v/>
      </c>
      <c r="S158" s="152">
        <f>IF(V157&lt;=0.005,0,V157*(1+S$6))</f>
        <v/>
      </c>
      <c r="T158" s="152">
        <f>MIN(S158,S$7)</f>
        <v/>
      </c>
      <c r="U158" s="152">
        <f>MAX(0,MIN(S158-T158,AQ158-(E158+I158+M158+Q158)))</f>
        <v/>
      </c>
      <c r="V158" s="152">
        <f>S158-T158-U158</f>
        <v/>
      </c>
      <c r="W158" s="152">
        <f>IF(Z157&lt;=0.005,0,Z157*(1+W$6))</f>
        <v/>
      </c>
      <c r="X158" s="152">
        <f>MIN(W158,W$7)</f>
        <v/>
      </c>
      <c r="Y158" s="152">
        <f>MAX(0,MIN(W158-X158,AQ158-(E158+I158+M158+Q158+U158)))</f>
        <v/>
      </c>
      <c r="Z158" s="152">
        <f>W158-X158-Y158</f>
        <v/>
      </c>
      <c r="AA158" s="152">
        <f>IF(AD157&lt;=0.005,0,AD157*(1+AA$6))</f>
        <v/>
      </c>
      <c r="AB158" s="152">
        <f>MIN(AA158,AA$7)</f>
        <v/>
      </c>
      <c r="AC158" s="152">
        <f>MAX(0,MIN(AA158-AB158,AQ158-(E158+I158+M158+Q158+U158+Y158)))</f>
        <v/>
      </c>
      <c r="AD158" s="152">
        <f>AA158-AB158-AC158</f>
        <v/>
      </c>
      <c r="AE158" s="152">
        <f>IF(AH157&lt;=0.005,0,AH157*(1+AE$6))</f>
        <v/>
      </c>
      <c r="AF158" s="152">
        <f>MIN(AE158,AE$7)</f>
        <v/>
      </c>
      <c r="AG158" s="152">
        <f>MAX(0,MIN(AE158-AF158,AQ158-(E158+I158+M158+Q158+U158+Y158+AC158)))</f>
        <v/>
      </c>
      <c r="AH158" s="152">
        <f>AE158-AF158-AG158</f>
        <v/>
      </c>
      <c r="AI158" s="152">
        <f>IF(AL157&lt;=0.005,0,AL157*(1+AI$6))</f>
        <v/>
      </c>
      <c r="AJ158" s="152">
        <f>MIN(AI158,AI$7)</f>
        <v/>
      </c>
      <c r="AK158" s="152">
        <f>MAX(0,MIN(AI158-AJ158,AQ158-(E158+I158+M158+Q158+U158+Y158+AC158+AG158)))</f>
        <v/>
      </c>
      <c r="AL158" s="152">
        <f>AI158-AJ158-AK158</f>
        <v/>
      </c>
      <c r="AM158" s="152">
        <f>IF(AP157&lt;=0.005,0,AP157*(1+AM$6))</f>
        <v/>
      </c>
      <c r="AN158" s="152">
        <f>MIN(AM158,AM$7)</f>
        <v/>
      </c>
      <c r="AO158" s="152">
        <f>MAX(0,MIN(AM158-AN158,AQ158-(E158+I158+M158+Q158+U158+Y158+AC158+AG158+AK158)))</f>
        <v/>
      </c>
      <c r="AP158" s="152">
        <f>AM158-AN158-AO158</f>
        <v/>
      </c>
      <c r="AQ158" s="152">
        <f>'Debt Payoff'!$C$8-SUM(D158,H158,L158,P158,T158,X158,AB158,AF158,AJ158,AN158)</f>
        <v/>
      </c>
      <c r="AR158" s="152">
        <f>SUM(D158,H158,L158,P158,T158,X158,AB158,AF158,AJ158,AN158)+SUM(E158,I158,M158,Q158,U158,Y158,AC158,AG158,AK158,AO158)</f>
        <v/>
      </c>
      <c r="AS158" s="152">
        <f>SUM(F158,J158,N158,R158,V158,Z158,AD158,AH158,AL158,AP158)</f>
        <v/>
      </c>
      <c r="AT158" s="152">
        <f>IF(B158&gt;AS$6,NA(),B158)</f>
        <v/>
      </c>
      <c r="AU158" s="152">
        <f>IF(B158&gt;AS$6,NA(),AS158)</f>
        <v/>
      </c>
      <c r="AV158" s="152" t="n"/>
      <c r="AW158" s="152" t="n">
        <v>147</v>
      </c>
      <c r="AX158" s="152">
        <f>IF(BA157&lt;=0.005,0,BA157*(1+AX$6))</f>
        <v/>
      </c>
      <c r="AY158" s="152">
        <f>MIN(AX158,AX$7)</f>
        <v/>
      </c>
      <c r="AZ158" s="152">
        <f>MAX(0,MIN(AX158-AY158,CL158))</f>
        <v/>
      </c>
      <c r="BA158" s="152">
        <f>AX158-AY158-AZ158</f>
        <v/>
      </c>
      <c r="BB158" s="152">
        <f>IF(BE157&lt;=0.005,0,BE157*(1+BB$6))</f>
        <v/>
      </c>
      <c r="BC158" s="152">
        <f>MIN(BB158,BB$7)</f>
        <v/>
      </c>
      <c r="BD158" s="152">
        <f>MAX(0,MIN(BB158-BC158,CL158-(AZ158)))</f>
        <v/>
      </c>
      <c r="BE158" s="152">
        <f>BB158-BC158-BD158</f>
        <v/>
      </c>
      <c r="BF158" s="152">
        <f>IF(BI157&lt;=0.005,0,BI157*(1+BF$6))</f>
        <v/>
      </c>
      <c r="BG158" s="152">
        <f>MIN(BF158,BF$7)</f>
        <v/>
      </c>
      <c r="BH158" s="152">
        <f>MAX(0,MIN(BF158-BG158,CL158-(AZ158+BD158)))</f>
        <v/>
      </c>
      <c r="BI158" s="152">
        <f>BF158-BG158-BH158</f>
        <v/>
      </c>
      <c r="BJ158" s="152">
        <f>IF(BM157&lt;=0.005,0,BM157*(1+BJ$6))</f>
        <v/>
      </c>
      <c r="BK158" s="152">
        <f>MIN(BJ158,BJ$7)</f>
        <v/>
      </c>
      <c r="BL158" s="152">
        <f>MAX(0,MIN(BJ158-BK158,CL158-(AZ158+BD158+BH158)))</f>
        <v/>
      </c>
      <c r="BM158" s="152">
        <f>BJ158-BK158-BL158</f>
        <v/>
      </c>
      <c r="BN158" s="152">
        <f>IF(BQ157&lt;=0.005,0,BQ157*(1+BN$6))</f>
        <v/>
      </c>
      <c r="BO158" s="152">
        <f>MIN(BN158,BN$7)</f>
        <v/>
      </c>
      <c r="BP158" s="152">
        <f>MAX(0,MIN(BN158-BO158,CL158-(AZ158+BD158+BH158+BL158)))</f>
        <v/>
      </c>
      <c r="BQ158" s="152">
        <f>BN158-BO158-BP158</f>
        <v/>
      </c>
      <c r="BR158" s="152">
        <f>IF(BU157&lt;=0.005,0,BU157*(1+BR$6))</f>
        <v/>
      </c>
      <c r="BS158" s="152">
        <f>MIN(BR158,BR$7)</f>
        <v/>
      </c>
      <c r="BT158" s="152">
        <f>MAX(0,MIN(BR158-BS158,CL158-(AZ158+BD158+BH158+BL158+BP158)))</f>
        <v/>
      </c>
      <c r="BU158" s="152">
        <f>BR158-BS158-BT158</f>
        <v/>
      </c>
      <c r="BV158" s="152">
        <f>IF(BY157&lt;=0.005,0,BY157*(1+BV$6))</f>
        <v/>
      </c>
      <c r="BW158" s="152">
        <f>MIN(BV158,BV$7)</f>
        <v/>
      </c>
      <c r="BX158" s="152">
        <f>MAX(0,MIN(BV158-BW158,CL158-(AZ158+BD158+BH158+BL158+BP158+BT158)))</f>
        <v/>
      </c>
      <c r="BY158" s="152">
        <f>BV158-BW158-BX158</f>
        <v/>
      </c>
      <c r="BZ158" s="152">
        <f>IF(CC157&lt;=0.005,0,CC157*(1+BZ$6))</f>
        <v/>
      </c>
      <c r="CA158" s="152">
        <f>MIN(BZ158,BZ$7)</f>
        <v/>
      </c>
      <c r="CB158" s="152">
        <f>MAX(0,MIN(BZ158-CA158,CL158-(AZ158+BD158+BH158+BL158+BP158+BT158+BX158)))</f>
        <v/>
      </c>
      <c r="CC158" s="152">
        <f>BZ158-CA158-CB158</f>
        <v/>
      </c>
      <c r="CD158" s="152">
        <f>IF(CG157&lt;=0.005,0,CG157*(1+CD$6))</f>
        <v/>
      </c>
      <c r="CE158" s="152">
        <f>MIN(CD158,CD$7)</f>
        <v/>
      </c>
      <c r="CF158" s="152">
        <f>MAX(0,MIN(CD158-CE158,CL158-(AZ158+BD158+BH158+BL158+BP158+BT158+BX158+CB158)))</f>
        <v/>
      </c>
      <c r="CG158" s="152">
        <f>CD158-CE158-CF158</f>
        <v/>
      </c>
      <c r="CH158" s="152">
        <f>IF(CK157&lt;=0.005,0,CK157*(1+CH$6))</f>
        <v/>
      </c>
      <c r="CI158" s="152">
        <f>MIN(CH158,CH$7)</f>
        <v/>
      </c>
      <c r="CJ158" s="152">
        <f>MAX(0,MIN(CH158-CI158,CL158-(AZ158+BD158+BH158+BL158+BP158+BT158+BX158+CB158+CF158)))</f>
        <v/>
      </c>
      <c r="CK158" s="152">
        <f>CH158-CI158-CJ158</f>
        <v/>
      </c>
      <c r="CL158" s="152">
        <f>'Debt Payoff'!$C$8-SUM(AY158,BC158,BG158,BK158,BO158,BS158,BW158,CA158,CE158,CI158)</f>
        <v/>
      </c>
      <c r="CM158" s="152">
        <f>SUM(AY158,BC158,BG158,BK158,BO158,BS158,BW158,CA158,CE158,CI158)+SUM(AZ158,BD158,BH158,BL158,BP158,BT158,BX158,CB158,CF158,CJ158)</f>
        <v/>
      </c>
      <c r="CN158" s="152">
        <f>SUM(BA158,BE158,BI158,BM158,BQ158,BU158,BY158,CC158,CG158,CK158)</f>
        <v/>
      </c>
      <c r="CO158" s="152">
        <f>IF(AW158&gt;CN$6,NA(),AW158)</f>
        <v/>
      </c>
      <c r="CP158" s="152">
        <f>IF(AW158&gt;CN$6,NA(),CN158)</f>
        <v/>
      </c>
    </row>
    <row r="159">
      <c r="B159" s="152" t="n">
        <v>148</v>
      </c>
      <c r="C159" s="152">
        <f>IF(F158&lt;=0.005,0,F158*(1+C$6))</f>
        <v/>
      </c>
      <c r="D159" s="152">
        <f>MIN(C159,C$7)</f>
        <v/>
      </c>
      <c r="E159" s="152">
        <f>MAX(0,MIN(C159-D159,AQ159))</f>
        <v/>
      </c>
      <c r="F159" s="152">
        <f>C159-D159-E159</f>
        <v/>
      </c>
      <c r="G159" s="152">
        <f>IF(J158&lt;=0.005,0,J158*(1+G$6))</f>
        <v/>
      </c>
      <c r="H159" s="152">
        <f>MIN(G159,G$7)</f>
        <v/>
      </c>
      <c r="I159" s="152">
        <f>MAX(0,MIN(G159-H159,AQ159-(E159)))</f>
        <v/>
      </c>
      <c r="J159" s="152">
        <f>G159-H159-I159</f>
        <v/>
      </c>
      <c r="K159" s="152">
        <f>IF(N158&lt;=0.005,0,N158*(1+K$6))</f>
        <v/>
      </c>
      <c r="L159" s="152">
        <f>MIN(K159,K$7)</f>
        <v/>
      </c>
      <c r="M159" s="152">
        <f>MAX(0,MIN(K159-L159,AQ159-(E159+I159)))</f>
        <v/>
      </c>
      <c r="N159" s="152">
        <f>K159-L159-M159</f>
        <v/>
      </c>
      <c r="O159" s="152">
        <f>IF(R158&lt;=0.005,0,R158*(1+O$6))</f>
        <v/>
      </c>
      <c r="P159" s="152">
        <f>MIN(O159,O$7)</f>
        <v/>
      </c>
      <c r="Q159" s="152">
        <f>MAX(0,MIN(O159-P159,AQ159-(E159+I159+M159)))</f>
        <v/>
      </c>
      <c r="R159" s="152">
        <f>O159-P159-Q159</f>
        <v/>
      </c>
      <c r="S159" s="152">
        <f>IF(V158&lt;=0.005,0,V158*(1+S$6))</f>
        <v/>
      </c>
      <c r="T159" s="152">
        <f>MIN(S159,S$7)</f>
        <v/>
      </c>
      <c r="U159" s="152">
        <f>MAX(0,MIN(S159-T159,AQ159-(E159+I159+M159+Q159)))</f>
        <v/>
      </c>
      <c r="V159" s="152">
        <f>S159-T159-U159</f>
        <v/>
      </c>
      <c r="W159" s="152">
        <f>IF(Z158&lt;=0.005,0,Z158*(1+W$6))</f>
        <v/>
      </c>
      <c r="X159" s="152">
        <f>MIN(W159,W$7)</f>
        <v/>
      </c>
      <c r="Y159" s="152">
        <f>MAX(0,MIN(W159-X159,AQ159-(E159+I159+M159+Q159+U159)))</f>
        <v/>
      </c>
      <c r="Z159" s="152">
        <f>W159-X159-Y159</f>
        <v/>
      </c>
      <c r="AA159" s="152">
        <f>IF(AD158&lt;=0.005,0,AD158*(1+AA$6))</f>
        <v/>
      </c>
      <c r="AB159" s="152">
        <f>MIN(AA159,AA$7)</f>
        <v/>
      </c>
      <c r="AC159" s="152">
        <f>MAX(0,MIN(AA159-AB159,AQ159-(E159+I159+M159+Q159+U159+Y159)))</f>
        <v/>
      </c>
      <c r="AD159" s="152">
        <f>AA159-AB159-AC159</f>
        <v/>
      </c>
      <c r="AE159" s="152">
        <f>IF(AH158&lt;=0.005,0,AH158*(1+AE$6))</f>
        <v/>
      </c>
      <c r="AF159" s="152">
        <f>MIN(AE159,AE$7)</f>
        <v/>
      </c>
      <c r="AG159" s="152">
        <f>MAX(0,MIN(AE159-AF159,AQ159-(E159+I159+M159+Q159+U159+Y159+AC159)))</f>
        <v/>
      </c>
      <c r="AH159" s="152">
        <f>AE159-AF159-AG159</f>
        <v/>
      </c>
      <c r="AI159" s="152">
        <f>IF(AL158&lt;=0.005,0,AL158*(1+AI$6))</f>
        <v/>
      </c>
      <c r="AJ159" s="152">
        <f>MIN(AI159,AI$7)</f>
        <v/>
      </c>
      <c r="AK159" s="152">
        <f>MAX(0,MIN(AI159-AJ159,AQ159-(E159+I159+M159+Q159+U159+Y159+AC159+AG159)))</f>
        <v/>
      </c>
      <c r="AL159" s="152">
        <f>AI159-AJ159-AK159</f>
        <v/>
      </c>
      <c r="AM159" s="152">
        <f>IF(AP158&lt;=0.005,0,AP158*(1+AM$6))</f>
        <v/>
      </c>
      <c r="AN159" s="152">
        <f>MIN(AM159,AM$7)</f>
        <v/>
      </c>
      <c r="AO159" s="152">
        <f>MAX(0,MIN(AM159-AN159,AQ159-(E159+I159+M159+Q159+U159+Y159+AC159+AG159+AK159)))</f>
        <v/>
      </c>
      <c r="AP159" s="152">
        <f>AM159-AN159-AO159</f>
        <v/>
      </c>
      <c r="AQ159" s="152">
        <f>'Debt Payoff'!$C$8-SUM(D159,H159,L159,P159,T159,X159,AB159,AF159,AJ159,AN159)</f>
        <v/>
      </c>
      <c r="AR159" s="152">
        <f>SUM(D159,H159,L159,P159,T159,X159,AB159,AF159,AJ159,AN159)+SUM(E159,I159,M159,Q159,U159,Y159,AC159,AG159,AK159,AO159)</f>
        <v/>
      </c>
      <c r="AS159" s="152">
        <f>SUM(F159,J159,N159,R159,V159,Z159,AD159,AH159,AL159,AP159)</f>
        <v/>
      </c>
      <c r="AT159" s="152">
        <f>IF(B159&gt;AS$6,NA(),B159)</f>
        <v/>
      </c>
      <c r="AU159" s="152">
        <f>IF(B159&gt;AS$6,NA(),AS159)</f>
        <v/>
      </c>
      <c r="AV159" s="152" t="n"/>
      <c r="AW159" s="152" t="n">
        <v>148</v>
      </c>
      <c r="AX159" s="152">
        <f>IF(BA158&lt;=0.005,0,BA158*(1+AX$6))</f>
        <v/>
      </c>
      <c r="AY159" s="152">
        <f>MIN(AX159,AX$7)</f>
        <v/>
      </c>
      <c r="AZ159" s="152">
        <f>MAX(0,MIN(AX159-AY159,CL159))</f>
        <v/>
      </c>
      <c r="BA159" s="152">
        <f>AX159-AY159-AZ159</f>
        <v/>
      </c>
      <c r="BB159" s="152">
        <f>IF(BE158&lt;=0.005,0,BE158*(1+BB$6))</f>
        <v/>
      </c>
      <c r="BC159" s="152">
        <f>MIN(BB159,BB$7)</f>
        <v/>
      </c>
      <c r="BD159" s="152">
        <f>MAX(0,MIN(BB159-BC159,CL159-(AZ159)))</f>
        <v/>
      </c>
      <c r="BE159" s="152">
        <f>BB159-BC159-BD159</f>
        <v/>
      </c>
      <c r="BF159" s="152">
        <f>IF(BI158&lt;=0.005,0,BI158*(1+BF$6))</f>
        <v/>
      </c>
      <c r="BG159" s="152">
        <f>MIN(BF159,BF$7)</f>
        <v/>
      </c>
      <c r="BH159" s="152">
        <f>MAX(0,MIN(BF159-BG159,CL159-(AZ159+BD159)))</f>
        <v/>
      </c>
      <c r="BI159" s="152">
        <f>BF159-BG159-BH159</f>
        <v/>
      </c>
      <c r="BJ159" s="152">
        <f>IF(BM158&lt;=0.005,0,BM158*(1+BJ$6))</f>
        <v/>
      </c>
      <c r="BK159" s="152">
        <f>MIN(BJ159,BJ$7)</f>
        <v/>
      </c>
      <c r="BL159" s="152">
        <f>MAX(0,MIN(BJ159-BK159,CL159-(AZ159+BD159+BH159)))</f>
        <v/>
      </c>
      <c r="BM159" s="152">
        <f>BJ159-BK159-BL159</f>
        <v/>
      </c>
      <c r="BN159" s="152">
        <f>IF(BQ158&lt;=0.005,0,BQ158*(1+BN$6))</f>
        <v/>
      </c>
      <c r="BO159" s="152">
        <f>MIN(BN159,BN$7)</f>
        <v/>
      </c>
      <c r="BP159" s="152">
        <f>MAX(0,MIN(BN159-BO159,CL159-(AZ159+BD159+BH159+BL159)))</f>
        <v/>
      </c>
      <c r="BQ159" s="152">
        <f>BN159-BO159-BP159</f>
        <v/>
      </c>
      <c r="BR159" s="152">
        <f>IF(BU158&lt;=0.005,0,BU158*(1+BR$6))</f>
        <v/>
      </c>
      <c r="BS159" s="152">
        <f>MIN(BR159,BR$7)</f>
        <v/>
      </c>
      <c r="BT159" s="152">
        <f>MAX(0,MIN(BR159-BS159,CL159-(AZ159+BD159+BH159+BL159+BP159)))</f>
        <v/>
      </c>
      <c r="BU159" s="152">
        <f>BR159-BS159-BT159</f>
        <v/>
      </c>
      <c r="BV159" s="152">
        <f>IF(BY158&lt;=0.005,0,BY158*(1+BV$6))</f>
        <v/>
      </c>
      <c r="BW159" s="152">
        <f>MIN(BV159,BV$7)</f>
        <v/>
      </c>
      <c r="BX159" s="152">
        <f>MAX(0,MIN(BV159-BW159,CL159-(AZ159+BD159+BH159+BL159+BP159+BT159)))</f>
        <v/>
      </c>
      <c r="BY159" s="152">
        <f>BV159-BW159-BX159</f>
        <v/>
      </c>
      <c r="BZ159" s="152">
        <f>IF(CC158&lt;=0.005,0,CC158*(1+BZ$6))</f>
        <v/>
      </c>
      <c r="CA159" s="152">
        <f>MIN(BZ159,BZ$7)</f>
        <v/>
      </c>
      <c r="CB159" s="152">
        <f>MAX(0,MIN(BZ159-CA159,CL159-(AZ159+BD159+BH159+BL159+BP159+BT159+BX159)))</f>
        <v/>
      </c>
      <c r="CC159" s="152">
        <f>BZ159-CA159-CB159</f>
        <v/>
      </c>
      <c r="CD159" s="152">
        <f>IF(CG158&lt;=0.005,0,CG158*(1+CD$6))</f>
        <v/>
      </c>
      <c r="CE159" s="152">
        <f>MIN(CD159,CD$7)</f>
        <v/>
      </c>
      <c r="CF159" s="152">
        <f>MAX(0,MIN(CD159-CE159,CL159-(AZ159+BD159+BH159+BL159+BP159+BT159+BX159+CB159)))</f>
        <v/>
      </c>
      <c r="CG159" s="152">
        <f>CD159-CE159-CF159</f>
        <v/>
      </c>
      <c r="CH159" s="152">
        <f>IF(CK158&lt;=0.005,0,CK158*(1+CH$6))</f>
        <v/>
      </c>
      <c r="CI159" s="152">
        <f>MIN(CH159,CH$7)</f>
        <v/>
      </c>
      <c r="CJ159" s="152">
        <f>MAX(0,MIN(CH159-CI159,CL159-(AZ159+BD159+BH159+BL159+BP159+BT159+BX159+CB159+CF159)))</f>
        <v/>
      </c>
      <c r="CK159" s="152">
        <f>CH159-CI159-CJ159</f>
        <v/>
      </c>
      <c r="CL159" s="152">
        <f>'Debt Payoff'!$C$8-SUM(AY159,BC159,BG159,BK159,BO159,BS159,BW159,CA159,CE159,CI159)</f>
        <v/>
      </c>
      <c r="CM159" s="152">
        <f>SUM(AY159,BC159,BG159,BK159,BO159,BS159,BW159,CA159,CE159,CI159)+SUM(AZ159,BD159,BH159,BL159,BP159,BT159,BX159,CB159,CF159,CJ159)</f>
        <v/>
      </c>
      <c r="CN159" s="152">
        <f>SUM(BA159,BE159,BI159,BM159,BQ159,BU159,BY159,CC159,CG159,CK159)</f>
        <v/>
      </c>
      <c r="CO159" s="152">
        <f>IF(AW159&gt;CN$6,NA(),AW159)</f>
        <v/>
      </c>
      <c r="CP159" s="152">
        <f>IF(AW159&gt;CN$6,NA(),CN159)</f>
        <v/>
      </c>
    </row>
    <row r="160">
      <c r="B160" s="152" t="n">
        <v>149</v>
      </c>
      <c r="C160" s="152">
        <f>IF(F159&lt;=0.005,0,F159*(1+C$6))</f>
        <v/>
      </c>
      <c r="D160" s="152">
        <f>MIN(C160,C$7)</f>
        <v/>
      </c>
      <c r="E160" s="152">
        <f>MAX(0,MIN(C160-D160,AQ160))</f>
        <v/>
      </c>
      <c r="F160" s="152">
        <f>C160-D160-E160</f>
        <v/>
      </c>
      <c r="G160" s="152">
        <f>IF(J159&lt;=0.005,0,J159*(1+G$6))</f>
        <v/>
      </c>
      <c r="H160" s="152">
        <f>MIN(G160,G$7)</f>
        <v/>
      </c>
      <c r="I160" s="152">
        <f>MAX(0,MIN(G160-H160,AQ160-(E160)))</f>
        <v/>
      </c>
      <c r="J160" s="152">
        <f>G160-H160-I160</f>
        <v/>
      </c>
      <c r="K160" s="152">
        <f>IF(N159&lt;=0.005,0,N159*(1+K$6))</f>
        <v/>
      </c>
      <c r="L160" s="152">
        <f>MIN(K160,K$7)</f>
        <v/>
      </c>
      <c r="M160" s="152">
        <f>MAX(0,MIN(K160-L160,AQ160-(E160+I160)))</f>
        <v/>
      </c>
      <c r="N160" s="152">
        <f>K160-L160-M160</f>
        <v/>
      </c>
      <c r="O160" s="152">
        <f>IF(R159&lt;=0.005,0,R159*(1+O$6))</f>
        <v/>
      </c>
      <c r="P160" s="152">
        <f>MIN(O160,O$7)</f>
        <v/>
      </c>
      <c r="Q160" s="152">
        <f>MAX(0,MIN(O160-P160,AQ160-(E160+I160+M160)))</f>
        <v/>
      </c>
      <c r="R160" s="152">
        <f>O160-P160-Q160</f>
        <v/>
      </c>
      <c r="S160" s="152">
        <f>IF(V159&lt;=0.005,0,V159*(1+S$6))</f>
        <v/>
      </c>
      <c r="T160" s="152">
        <f>MIN(S160,S$7)</f>
        <v/>
      </c>
      <c r="U160" s="152">
        <f>MAX(0,MIN(S160-T160,AQ160-(E160+I160+M160+Q160)))</f>
        <v/>
      </c>
      <c r="V160" s="152">
        <f>S160-T160-U160</f>
        <v/>
      </c>
      <c r="W160" s="152">
        <f>IF(Z159&lt;=0.005,0,Z159*(1+W$6))</f>
        <v/>
      </c>
      <c r="X160" s="152">
        <f>MIN(W160,W$7)</f>
        <v/>
      </c>
      <c r="Y160" s="152">
        <f>MAX(0,MIN(W160-X160,AQ160-(E160+I160+M160+Q160+U160)))</f>
        <v/>
      </c>
      <c r="Z160" s="152">
        <f>W160-X160-Y160</f>
        <v/>
      </c>
      <c r="AA160" s="152">
        <f>IF(AD159&lt;=0.005,0,AD159*(1+AA$6))</f>
        <v/>
      </c>
      <c r="AB160" s="152">
        <f>MIN(AA160,AA$7)</f>
        <v/>
      </c>
      <c r="AC160" s="152">
        <f>MAX(0,MIN(AA160-AB160,AQ160-(E160+I160+M160+Q160+U160+Y160)))</f>
        <v/>
      </c>
      <c r="AD160" s="152">
        <f>AA160-AB160-AC160</f>
        <v/>
      </c>
      <c r="AE160" s="152">
        <f>IF(AH159&lt;=0.005,0,AH159*(1+AE$6))</f>
        <v/>
      </c>
      <c r="AF160" s="152">
        <f>MIN(AE160,AE$7)</f>
        <v/>
      </c>
      <c r="AG160" s="152">
        <f>MAX(0,MIN(AE160-AF160,AQ160-(E160+I160+M160+Q160+U160+Y160+AC160)))</f>
        <v/>
      </c>
      <c r="AH160" s="152">
        <f>AE160-AF160-AG160</f>
        <v/>
      </c>
      <c r="AI160" s="152">
        <f>IF(AL159&lt;=0.005,0,AL159*(1+AI$6))</f>
        <v/>
      </c>
      <c r="AJ160" s="152">
        <f>MIN(AI160,AI$7)</f>
        <v/>
      </c>
      <c r="AK160" s="152">
        <f>MAX(0,MIN(AI160-AJ160,AQ160-(E160+I160+M160+Q160+U160+Y160+AC160+AG160)))</f>
        <v/>
      </c>
      <c r="AL160" s="152">
        <f>AI160-AJ160-AK160</f>
        <v/>
      </c>
      <c r="AM160" s="152">
        <f>IF(AP159&lt;=0.005,0,AP159*(1+AM$6))</f>
        <v/>
      </c>
      <c r="AN160" s="152">
        <f>MIN(AM160,AM$7)</f>
        <v/>
      </c>
      <c r="AO160" s="152">
        <f>MAX(0,MIN(AM160-AN160,AQ160-(E160+I160+M160+Q160+U160+Y160+AC160+AG160+AK160)))</f>
        <v/>
      </c>
      <c r="AP160" s="152">
        <f>AM160-AN160-AO160</f>
        <v/>
      </c>
      <c r="AQ160" s="152">
        <f>'Debt Payoff'!$C$8-SUM(D160,H160,L160,P160,T160,X160,AB160,AF160,AJ160,AN160)</f>
        <v/>
      </c>
      <c r="AR160" s="152">
        <f>SUM(D160,H160,L160,P160,T160,X160,AB160,AF160,AJ160,AN160)+SUM(E160,I160,M160,Q160,U160,Y160,AC160,AG160,AK160,AO160)</f>
        <v/>
      </c>
      <c r="AS160" s="152">
        <f>SUM(F160,J160,N160,R160,V160,Z160,AD160,AH160,AL160,AP160)</f>
        <v/>
      </c>
      <c r="AT160" s="152">
        <f>IF(B160&gt;AS$6,NA(),B160)</f>
        <v/>
      </c>
      <c r="AU160" s="152">
        <f>IF(B160&gt;AS$6,NA(),AS160)</f>
        <v/>
      </c>
      <c r="AV160" s="152" t="n"/>
      <c r="AW160" s="152" t="n">
        <v>149</v>
      </c>
      <c r="AX160" s="152">
        <f>IF(BA159&lt;=0.005,0,BA159*(1+AX$6))</f>
        <v/>
      </c>
      <c r="AY160" s="152">
        <f>MIN(AX160,AX$7)</f>
        <v/>
      </c>
      <c r="AZ160" s="152">
        <f>MAX(0,MIN(AX160-AY160,CL160))</f>
        <v/>
      </c>
      <c r="BA160" s="152">
        <f>AX160-AY160-AZ160</f>
        <v/>
      </c>
      <c r="BB160" s="152">
        <f>IF(BE159&lt;=0.005,0,BE159*(1+BB$6))</f>
        <v/>
      </c>
      <c r="BC160" s="152">
        <f>MIN(BB160,BB$7)</f>
        <v/>
      </c>
      <c r="BD160" s="152">
        <f>MAX(0,MIN(BB160-BC160,CL160-(AZ160)))</f>
        <v/>
      </c>
      <c r="BE160" s="152">
        <f>BB160-BC160-BD160</f>
        <v/>
      </c>
      <c r="BF160" s="152">
        <f>IF(BI159&lt;=0.005,0,BI159*(1+BF$6))</f>
        <v/>
      </c>
      <c r="BG160" s="152">
        <f>MIN(BF160,BF$7)</f>
        <v/>
      </c>
      <c r="BH160" s="152">
        <f>MAX(0,MIN(BF160-BG160,CL160-(AZ160+BD160)))</f>
        <v/>
      </c>
      <c r="BI160" s="152">
        <f>BF160-BG160-BH160</f>
        <v/>
      </c>
      <c r="BJ160" s="152">
        <f>IF(BM159&lt;=0.005,0,BM159*(1+BJ$6))</f>
        <v/>
      </c>
      <c r="BK160" s="152">
        <f>MIN(BJ160,BJ$7)</f>
        <v/>
      </c>
      <c r="BL160" s="152">
        <f>MAX(0,MIN(BJ160-BK160,CL160-(AZ160+BD160+BH160)))</f>
        <v/>
      </c>
      <c r="BM160" s="152">
        <f>BJ160-BK160-BL160</f>
        <v/>
      </c>
      <c r="BN160" s="152">
        <f>IF(BQ159&lt;=0.005,0,BQ159*(1+BN$6))</f>
        <v/>
      </c>
      <c r="BO160" s="152">
        <f>MIN(BN160,BN$7)</f>
        <v/>
      </c>
      <c r="BP160" s="152">
        <f>MAX(0,MIN(BN160-BO160,CL160-(AZ160+BD160+BH160+BL160)))</f>
        <v/>
      </c>
      <c r="BQ160" s="152">
        <f>BN160-BO160-BP160</f>
        <v/>
      </c>
      <c r="BR160" s="152">
        <f>IF(BU159&lt;=0.005,0,BU159*(1+BR$6))</f>
        <v/>
      </c>
      <c r="BS160" s="152">
        <f>MIN(BR160,BR$7)</f>
        <v/>
      </c>
      <c r="BT160" s="152">
        <f>MAX(0,MIN(BR160-BS160,CL160-(AZ160+BD160+BH160+BL160+BP160)))</f>
        <v/>
      </c>
      <c r="BU160" s="152">
        <f>BR160-BS160-BT160</f>
        <v/>
      </c>
      <c r="BV160" s="152">
        <f>IF(BY159&lt;=0.005,0,BY159*(1+BV$6))</f>
        <v/>
      </c>
      <c r="BW160" s="152">
        <f>MIN(BV160,BV$7)</f>
        <v/>
      </c>
      <c r="BX160" s="152">
        <f>MAX(0,MIN(BV160-BW160,CL160-(AZ160+BD160+BH160+BL160+BP160+BT160)))</f>
        <v/>
      </c>
      <c r="BY160" s="152">
        <f>BV160-BW160-BX160</f>
        <v/>
      </c>
      <c r="BZ160" s="152">
        <f>IF(CC159&lt;=0.005,0,CC159*(1+BZ$6))</f>
        <v/>
      </c>
      <c r="CA160" s="152">
        <f>MIN(BZ160,BZ$7)</f>
        <v/>
      </c>
      <c r="CB160" s="152">
        <f>MAX(0,MIN(BZ160-CA160,CL160-(AZ160+BD160+BH160+BL160+BP160+BT160+BX160)))</f>
        <v/>
      </c>
      <c r="CC160" s="152">
        <f>BZ160-CA160-CB160</f>
        <v/>
      </c>
      <c r="CD160" s="152">
        <f>IF(CG159&lt;=0.005,0,CG159*(1+CD$6))</f>
        <v/>
      </c>
      <c r="CE160" s="152">
        <f>MIN(CD160,CD$7)</f>
        <v/>
      </c>
      <c r="CF160" s="152">
        <f>MAX(0,MIN(CD160-CE160,CL160-(AZ160+BD160+BH160+BL160+BP160+BT160+BX160+CB160)))</f>
        <v/>
      </c>
      <c r="CG160" s="152">
        <f>CD160-CE160-CF160</f>
        <v/>
      </c>
      <c r="CH160" s="152">
        <f>IF(CK159&lt;=0.005,0,CK159*(1+CH$6))</f>
        <v/>
      </c>
      <c r="CI160" s="152">
        <f>MIN(CH160,CH$7)</f>
        <v/>
      </c>
      <c r="CJ160" s="152">
        <f>MAX(0,MIN(CH160-CI160,CL160-(AZ160+BD160+BH160+BL160+BP160+BT160+BX160+CB160+CF160)))</f>
        <v/>
      </c>
      <c r="CK160" s="152">
        <f>CH160-CI160-CJ160</f>
        <v/>
      </c>
      <c r="CL160" s="152">
        <f>'Debt Payoff'!$C$8-SUM(AY160,BC160,BG160,BK160,BO160,BS160,BW160,CA160,CE160,CI160)</f>
        <v/>
      </c>
      <c r="CM160" s="152">
        <f>SUM(AY160,BC160,BG160,BK160,BO160,BS160,BW160,CA160,CE160,CI160)+SUM(AZ160,BD160,BH160,BL160,BP160,BT160,BX160,CB160,CF160,CJ160)</f>
        <v/>
      </c>
      <c r="CN160" s="152">
        <f>SUM(BA160,BE160,BI160,BM160,BQ160,BU160,BY160,CC160,CG160,CK160)</f>
        <v/>
      </c>
      <c r="CO160" s="152">
        <f>IF(AW160&gt;CN$6,NA(),AW160)</f>
        <v/>
      </c>
      <c r="CP160" s="152">
        <f>IF(AW160&gt;CN$6,NA(),CN160)</f>
        <v/>
      </c>
    </row>
    <row r="161">
      <c r="B161" s="152" t="n">
        <v>150</v>
      </c>
      <c r="C161" s="152">
        <f>IF(F160&lt;=0.005,0,F160*(1+C$6))</f>
        <v/>
      </c>
      <c r="D161" s="152">
        <f>MIN(C161,C$7)</f>
        <v/>
      </c>
      <c r="E161" s="152">
        <f>MAX(0,MIN(C161-D161,AQ161))</f>
        <v/>
      </c>
      <c r="F161" s="152">
        <f>C161-D161-E161</f>
        <v/>
      </c>
      <c r="G161" s="152">
        <f>IF(J160&lt;=0.005,0,J160*(1+G$6))</f>
        <v/>
      </c>
      <c r="H161" s="152">
        <f>MIN(G161,G$7)</f>
        <v/>
      </c>
      <c r="I161" s="152">
        <f>MAX(0,MIN(G161-H161,AQ161-(E161)))</f>
        <v/>
      </c>
      <c r="J161" s="152">
        <f>G161-H161-I161</f>
        <v/>
      </c>
      <c r="K161" s="152">
        <f>IF(N160&lt;=0.005,0,N160*(1+K$6))</f>
        <v/>
      </c>
      <c r="L161" s="152">
        <f>MIN(K161,K$7)</f>
        <v/>
      </c>
      <c r="M161" s="152">
        <f>MAX(0,MIN(K161-L161,AQ161-(E161+I161)))</f>
        <v/>
      </c>
      <c r="N161" s="152">
        <f>K161-L161-M161</f>
        <v/>
      </c>
      <c r="O161" s="152">
        <f>IF(R160&lt;=0.005,0,R160*(1+O$6))</f>
        <v/>
      </c>
      <c r="P161" s="152">
        <f>MIN(O161,O$7)</f>
        <v/>
      </c>
      <c r="Q161" s="152">
        <f>MAX(0,MIN(O161-P161,AQ161-(E161+I161+M161)))</f>
        <v/>
      </c>
      <c r="R161" s="152">
        <f>O161-P161-Q161</f>
        <v/>
      </c>
      <c r="S161" s="152">
        <f>IF(V160&lt;=0.005,0,V160*(1+S$6))</f>
        <v/>
      </c>
      <c r="T161" s="152">
        <f>MIN(S161,S$7)</f>
        <v/>
      </c>
      <c r="U161" s="152">
        <f>MAX(0,MIN(S161-T161,AQ161-(E161+I161+M161+Q161)))</f>
        <v/>
      </c>
      <c r="V161" s="152">
        <f>S161-T161-U161</f>
        <v/>
      </c>
      <c r="W161" s="152">
        <f>IF(Z160&lt;=0.005,0,Z160*(1+W$6))</f>
        <v/>
      </c>
      <c r="X161" s="152">
        <f>MIN(W161,W$7)</f>
        <v/>
      </c>
      <c r="Y161" s="152">
        <f>MAX(0,MIN(W161-X161,AQ161-(E161+I161+M161+Q161+U161)))</f>
        <v/>
      </c>
      <c r="Z161" s="152">
        <f>W161-X161-Y161</f>
        <v/>
      </c>
      <c r="AA161" s="152">
        <f>IF(AD160&lt;=0.005,0,AD160*(1+AA$6))</f>
        <v/>
      </c>
      <c r="AB161" s="152">
        <f>MIN(AA161,AA$7)</f>
        <v/>
      </c>
      <c r="AC161" s="152">
        <f>MAX(0,MIN(AA161-AB161,AQ161-(E161+I161+M161+Q161+U161+Y161)))</f>
        <v/>
      </c>
      <c r="AD161" s="152">
        <f>AA161-AB161-AC161</f>
        <v/>
      </c>
      <c r="AE161" s="152">
        <f>IF(AH160&lt;=0.005,0,AH160*(1+AE$6))</f>
        <v/>
      </c>
      <c r="AF161" s="152">
        <f>MIN(AE161,AE$7)</f>
        <v/>
      </c>
      <c r="AG161" s="152">
        <f>MAX(0,MIN(AE161-AF161,AQ161-(E161+I161+M161+Q161+U161+Y161+AC161)))</f>
        <v/>
      </c>
      <c r="AH161" s="152">
        <f>AE161-AF161-AG161</f>
        <v/>
      </c>
      <c r="AI161" s="152">
        <f>IF(AL160&lt;=0.005,0,AL160*(1+AI$6))</f>
        <v/>
      </c>
      <c r="AJ161" s="152">
        <f>MIN(AI161,AI$7)</f>
        <v/>
      </c>
      <c r="AK161" s="152">
        <f>MAX(0,MIN(AI161-AJ161,AQ161-(E161+I161+M161+Q161+U161+Y161+AC161+AG161)))</f>
        <v/>
      </c>
      <c r="AL161" s="152">
        <f>AI161-AJ161-AK161</f>
        <v/>
      </c>
      <c r="AM161" s="152">
        <f>IF(AP160&lt;=0.005,0,AP160*(1+AM$6))</f>
        <v/>
      </c>
      <c r="AN161" s="152">
        <f>MIN(AM161,AM$7)</f>
        <v/>
      </c>
      <c r="AO161" s="152">
        <f>MAX(0,MIN(AM161-AN161,AQ161-(E161+I161+M161+Q161+U161+Y161+AC161+AG161+AK161)))</f>
        <v/>
      </c>
      <c r="AP161" s="152">
        <f>AM161-AN161-AO161</f>
        <v/>
      </c>
      <c r="AQ161" s="152">
        <f>'Debt Payoff'!$C$8-SUM(D161,H161,L161,P161,T161,X161,AB161,AF161,AJ161,AN161)</f>
        <v/>
      </c>
      <c r="AR161" s="152">
        <f>SUM(D161,H161,L161,P161,T161,X161,AB161,AF161,AJ161,AN161)+SUM(E161,I161,M161,Q161,U161,Y161,AC161,AG161,AK161,AO161)</f>
        <v/>
      </c>
      <c r="AS161" s="152">
        <f>SUM(F161,J161,N161,R161,V161,Z161,AD161,AH161,AL161,AP161)</f>
        <v/>
      </c>
      <c r="AT161" s="152">
        <f>IF(B161&gt;AS$6,NA(),B161)</f>
        <v/>
      </c>
      <c r="AU161" s="152">
        <f>IF(B161&gt;AS$6,NA(),AS161)</f>
        <v/>
      </c>
      <c r="AV161" s="152" t="n"/>
      <c r="AW161" s="152" t="n">
        <v>150</v>
      </c>
      <c r="AX161" s="152">
        <f>IF(BA160&lt;=0.005,0,BA160*(1+AX$6))</f>
        <v/>
      </c>
      <c r="AY161" s="152">
        <f>MIN(AX161,AX$7)</f>
        <v/>
      </c>
      <c r="AZ161" s="152">
        <f>MAX(0,MIN(AX161-AY161,CL161))</f>
        <v/>
      </c>
      <c r="BA161" s="152">
        <f>AX161-AY161-AZ161</f>
        <v/>
      </c>
      <c r="BB161" s="152">
        <f>IF(BE160&lt;=0.005,0,BE160*(1+BB$6))</f>
        <v/>
      </c>
      <c r="BC161" s="152">
        <f>MIN(BB161,BB$7)</f>
        <v/>
      </c>
      <c r="BD161" s="152">
        <f>MAX(0,MIN(BB161-BC161,CL161-(AZ161)))</f>
        <v/>
      </c>
      <c r="BE161" s="152">
        <f>BB161-BC161-BD161</f>
        <v/>
      </c>
      <c r="BF161" s="152">
        <f>IF(BI160&lt;=0.005,0,BI160*(1+BF$6))</f>
        <v/>
      </c>
      <c r="BG161" s="152">
        <f>MIN(BF161,BF$7)</f>
        <v/>
      </c>
      <c r="BH161" s="152">
        <f>MAX(0,MIN(BF161-BG161,CL161-(AZ161+BD161)))</f>
        <v/>
      </c>
      <c r="BI161" s="152">
        <f>BF161-BG161-BH161</f>
        <v/>
      </c>
      <c r="BJ161" s="152">
        <f>IF(BM160&lt;=0.005,0,BM160*(1+BJ$6))</f>
        <v/>
      </c>
      <c r="BK161" s="152">
        <f>MIN(BJ161,BJ$7)</f>
        <v/>
      </c>
      <c r="BL161" s="152">
        <f>MAX(0,MIN(BJ161-BK161,CL161-(AZ161+BD161+BH161)))</f>
        <v/>
      </c>
      <c r="BM161" s="152">
        <f>BJ161-BK161-BL161</f>
        <v/>
      </c>
      <c r="BN161" s="152">
        <f>IF(BQ160&lt;=0.005,0,BQ160*(1+BN$6))</f>
        <v/>
      </c>
      <c r="BO161" s="152">
        <f>MIN(BN161,BN$7)</f>
        <v/>
      </c>
      <c r="BP161" s="152">
        <f>MAX(0,MIN(BN161-BO161,CL161-(AZ161+BD161+BH161+BL161)))</f>
        <v/>
      </c>
      <c r="BQ161" s="152">
        <f>BN161-BO161-BP161</f>
        <v/>
      </c>
      <c r="BR161" s="152">
        <f>IF(BU160&lt;=0.005,0,BU160*(1+BR$6))</f>
        <v/>
      </c>
      <c r="BS161" s="152">
        <f>MIN(BR161,BR$7)</f>
        <v/>
      </c>
      <c r="BT161" s="152">
        <f>MAX(0,MIN(BR161-BS161,CL161-(AZ161+BD161+BH161+BL161+BP161)))</f>
        <v/>
      </c>
      <c r="BU161" s="152">
        <f>BR161-BS161-BT161</f>
        <v/>
      </c>
      <c r="BV161" s="152">
        <f>IF(BY160&lt;=0.005,0,BY160*(1+BV$6))</f>
        <v/>
      </c>
      <c r="BW161" s="152">
        <f>MIN(BV161,BV$7)</f>
        <v/>
      </c>
      <c r="BX161" s="152">
        <f>MAX(0,MIN(BV161-BW161,CL161-(AZ161+BD161+BH161+BL161+BP161+BT161)))</f>
        <v/>
      </c>
      <c r="BY161" s="152">
        <f>BV161-BW161-BX161</f>
        <v/>
      </c>
      <c r="BZ161" s="152">
        <f>IF(CC160&lt;=0.005,0,CC160*(1+BZ$6))</f>
        <v/>
      </c>
      <c r="CA161" s="152">
        <f>MIN(BZ161,BZ$7)</f>
        <v/>
      </c>
      <c r="CB161" s="152">
        <f>MAX(0,MIN(BZ161-CA161,CL161-(AZ161+BD161+BH161+BL161+BP161+BT161+BX161)))</f>
        <v/>
      </c>
      <c r="CC161" s="152">
        <f>BZ161-CA161-CB161</f>
        <v/>
      </c>
      <c r="CD161" s="152">
        <f>IF(CG160&lt;=0.005,0,CG160*(1+CD$6))</f>
        <v/>
      </c>
      <c r="CE161" s="152">
        <f>MIN(CD161,CD$7)</f>
        <v/>
      </c>
      <c r="CF161" s="152">
        <f>MAX(0,MIN(CD161-CE161,CL161-(AZ161+BD161+BH161+BL161+BP161+BT161+BX161+CB161)))</f>
        <v/>
      </c>
      <c r="CG161" s="152">
        <f>CD161-CE161-CF161</f>
        <v/>
      </c>
      <c r="CH161" s="152">
        <f>IF(CK160&lt;=0.005,0,CK160*(1+CH$6))</f>
        <v/>
      </c>
      <c r="CI161" s="152">
        <f>MIN(CH161,CH$7)</f>
        <v/>
      </c>
      <c r="CJ161" s="152">
        <f>MAX(0,MIN(CH161-CI161,CL161-(AZ161+BD161+BH161+BL161+BP161+BT161+BX161+CB161+CF161)))</f>
        <v/>
      </c>
      <c r="CK161" s="152">
        <f>CH161-CI161-CJ161</f>
        <v/>
      </c>
      <c r="CL161" s="152">
        <f>'Debt Payoff'!$C$8-SUM(AY161,BC161,BG161,BK161,BO161,BS161,BW161,CA161,CE161,CI161)</f>
        <v/>
      </c>
      <c r="CM161" s="152">
        <f>SUM(AY161,BC161,BG161,BK161,BO161,BS161,BW161,CA161,CE161,CI161)+SUM(AZ161,BD161,BH161,BL161,BP161,BT161,BX161,CB161,CF161,CJ161)</f>
        <v/>
      </c>
      <c r="CN161" s="152">
        <f>SUM(BA161,BE161,BI161,BM161,BQ161,BU161,BY161,CC161,CG161,CK161)</f>
        <v/>
      </c>
      <c r="CO161" s="152">
        <f>IF(AW161&gt;CN$6,NA(),AW161)</f>
        <v/>
      </c>
      <c r="CP161" s="152">
        <f>IF(AW161&gt;CN$6,NA(),CN161)</f>
        <v/>
      </c>
    </row>
    <row r="162">
      <c r="B162" s="152" t="n">
        <v>151</v>
      </c>
      <c r="C162" s="152">
        <f>IF(F161&lt;=0.005,0,F161*(1+C$6))</f>
        <v/>
      </c>
      <c r="D162" s="152">
        <f>MIN(C162,C$7)</f>
        <v/>
      </c>
      <c r="E162" s="152">
        <f>MAX(0,MIN(C162-D162,AQ162))</f>
        <v/>
      </c>
      <c r="F162" s="152">
        <f>C162-D162-E162</f>
        <v/>
      </c>
      <c r="G162" s="152">
        <f>IF(J161&lt;=0.005,0,J161*(1+G$6))</f>
        <v/>
      </c>
      <c r="H162" s="152">
        <f>MIN(G162,G$7)</f>
        <v/>
      </c>
      <c r="I162" s="152">
        <f>MAX(0,MIN(G162-H162,AQ162-(E162)))</f>
        <v/>
      </c>
      <c r="J162" s="152">
        <f>G162-H162-I162</f>
        <v/>
      </c>
      <c r="K162" s="152">
        <f>IF(N161&lt;=0.005,0,N161*(1+K$6))</f>
        <v/>
      </c>
      <c r="L162" s="152">
        <f>MIN(K162,K$7)</f>
        <v/>
      </c>
      <c r="M162" s="152">
        <f>MAX(0,MIN(K162-L162,AQ162-(E162+I162)))</f>
        <v/>
      </c>
      <c r="N162" s="152">
        <f>K162-L162-M162</f>
        <v/>
      </c>
      <c r="O162" s="152">
        <f>IF(R161&lt;=0.005,0,R161*(1+O$6))</f>
        <v/>
      </c>
      <c r="P162" s="152">
        <f>MIN(O162,O$7)</f>
        <v/>
      </c>
      <c r="Q162" s="152">
        <f>MAX(0,MIN(O162-P162,AQ162-(E162+I162+M162)))</f>
        <v/>
      </c>
      <c r="R162" s="152">
        <f>O162-P162-Q162</f>
        <v/>
      </c>
      <c r="S162" s="152">
        <f>IF(V161&lt;=0.005,0,V161*(1+S$6))</f>
        <v/>
      </c>
      <c r="T162" s="152">
        <f>MIN(S162,S$7)</f>
        <v/>
      </c>
      <c r="U162" s="152">
        <f>MAX(0,MIN(S162-T162,AQ162-(E162+I162+M162+Q162)))</f>
        <v/>
      </c>
      <c r="V162" s="152">
        <f>S162-T162-U162</f>
        <v/>
      </c>
      <c r="W162" s="152">
        <f>IF(Z161&lt;=0.005,0,Z161*(1+W$6))</f>
        <v/>
      </c>
      <c r="X162" s="152">
        <f>MIN(W162,W$7)</f>
        <v/>
      </c>
      <c r="Y162" s="152">
        <f>MAX(0,MIN(W162-X162,AQ162-(E162+I162+M162+Q162+U162)))</f>
        <v/>
      </c>
      <c r="Z162" s="152">
        <f>W162-X162-Y162</f>
        <v/>
      </c>
      <c r="AA162" s="152">
        <f>IF(AD161&lt;=0.005,0,AD161*(1+AA$6))</f>
        <v/>
      </c>
      <c r="AB162" s="152">
        <f>MIN(AA162,AA$7)</f>
        <v/>
      </c>
      <c r="AC162" s="152">
        <f>MAX(0,MIN(AA162-AB162,AQ162-(E162+I162+M162+Q162+U162+Y162)))</f>
        <v/>
      </c>
      <c r="AD162" s="152">
        <f>AA162-AB162-AC162</f>
        <v/>
      </c>
      <c r="AE162" s="152">
        <f>IF(AH161&lt;=0.005,0,AH161*(1+AE$6))</f>
        <v/>
      </c>
      <c r="AF162" s="152">
        <f>MIN(AE162,AE$7)</f>
        <v/>
      </c>
      <c r="AG162" s="152">
        <f>MAX(0,MIN(AE162-AF162,AQ162-(E162+I162+M162+Q162+U162+Y162+AC162)))</f>
        <v/>
      </c>
      <c r="AH162" s="152">
        <f>AE162-AF162-AG162</f>
        <v/>
      </c>
      <c r="AI162" s="152">
        <f>IF(AL161&lt;=0.005,0,AL161*(1+AI$6))</f>
        <v/>
      </c>
      <c r="AJ162" s="152">
        <f>MIN(AI162,AI$7)</f>
        <v/>
      </c>
      <c r="AK162" s="152">
        <f>MAX(0,MIN(AI162-AJ162,AQ162-(E162+I162+M162+Q162+U162+Y162+AC162+AG162)))</f>
        <v/>
      </c>
      <c r="AL162" s="152">
        <f>AI162-AJ162-AK162</f>
        <v/>
      </c>
      <c r="AM162" s="152">
        <f>IF(AP161&lt;=0.005,0,AP161*(1+AM$6))</f>
        <v/>
      </c>
      <c r="AN162" s="152">
        <f>MIN(AM162,AM$7)</f>
        <v/>
      </c>
      <c r="AO162" s="152">
        <f>MAX(0,MIN(AM162-AN162,AQ162-(E162+I162+M162+Q162+U162+Y162+AC162+AG162+AK162)))</f>
        <v/>
      </c>
      <c r="AP162" s="152">
        <f>AM162-AN162-AO162</f>
        <v/>
      </c>
      <c r="AQ162" s="152">
        <f>'Debt Payoff'!$C$8-SUM(D162,H162,L162,P162,T162,X162,AB162,AF162,AJ162,AN162)</f>
        <v/>
      </c>
      <c r="AR162" s="152">
        <f>SUM(D162,H162,L162,P162,T162,X162,AB162,AF162,AJ162,AN162)+SUM(E162,I162,M162,Q162,U162,Y162,AC162,AG162,AK162,AO162)</f>
        <v/>
      </c>
      <c r="AS162" s="152">
        <f>SUM(F162,J162,N162,R162,V162,Z162,AD162,AH162,AL162,AP162)</f>
        <v/>
      </c>
      <c r="AT162" s="152">
        <f>IF(B162&gt;AS$6,NA(),B162)</f>
        <v/>
      </c>
      <c r="AU162" s="152">
        <f>IF(B162&gt;AS$6,NA(),AS162)</f>
        <v/>
      </c>
      <c r="AV162" s="152" t="n"/>
      <c r="AW162" s="152" t="n">
        <v>151</v>
      </c>
      <c r="AX162" s="152">
        <f>IF(BA161&lt;=0.005,0,BA161*(1+AX$6))</f>
        <v/>
      </c>
      <c r="AY162" s="152">
        <f>MIN(AX162,AX$7)</f>
        <v/>
      </c>
      <c r="AZ162" s="152">
        <f>MAX(0,MIN(AX162-AY162,CL162))</f>
        <v/>
      </c>
      <c r="BA162" s="152">
        <f>AX162-AY162-AZ162</f>
        <v/>
      </c>
      <c r="BB162" s="152">
        <f>IF(BE161&lt;=0.005,0,BE161*(1+BB$6))</f>
        <v/>
      </c>
      <c r="BC162" s="152">
        <f>MIN(BB162,BB$7)</f>
        <v/>
      </c>
      <c r="BD162" s="152">
        <f>MAX(0,MIN(BB162-BC162,CL162-(AZ162)))</f>
        <v/>
      </c>
      <c r="BE162" s="152">
        <f>BB162-BC162-BD162</f>
        <v/>
      </c>
      <c r="BF162" s="152">
        <f>IF(BI161&lt;=0.005,0,BI161*(1+BF$6))</f>
        <v/>
      </c>
      <c r="BG162" s="152">
        <f>MIN(BF162,BF$7)</f>
        <v/>
      </c>
      <c r="BH162" s="152">
        <f>MAX(0,MIN(BF162-BG162,CL162-(AZ162+BD162)))</f>
        <v/>
      </c>
      <c r="BI162" s="152">
        <f>BF162-BG162-BH162</f>
        <v/>
      </c>
      <c r="BJ162" s="152">
        <f>IF(BM161&lt;=0.005,0,BM161*(1+BJ$6))</f>
        <v/>
      </c>
      <c r="BK162" s="152">
        <f>MIN(BJ162,BJ$7)</f>
        <v/>
      </c>
      <c r="BL162" s="152">
        <f>MAX(0,MIN(BJ162-BK162,CL162-(AZ162+BD162+BH162)))</f>
        <v/>
      </c>
      <c r="BM162" s="152">
        <f>BJ162-BK162-BL162</f>
        <v/>
      </c>
      <c r="BN162" s="152">
        <f>IF(BQ161&lt;=0.005,0,BQ161*(1+BN$6))</f>
        <v/>
      </c>
      <c r="BO162" s="152">
        <f>MIN(BN162,BN$7)</f>
        <v/>
      </c>
      <c r="BP162" s="152">
        <f>MAX(0,MIN(BN162-BO162,CL162-(AZ162+BD162+BH162+BL162)))</f>
        <v/>
      </c>
      <c r="BQ162" s="152">
        <f>BN162-BO162-BP162</f>
        <v/>
      </c>
      <c r="BR162" s="152">
        <f>IF(BU161&lt;=0.005,0,BU161*(1+BR$6))</f>
        <v/>
      </c>
      <c r="BS162" s="152">
        <f>MIN(BR162,BR$7)</f>
        <v/>
      </c>
      <c r="BT162" s="152">
        <f>MAX(0,MIN(BR162-BS162,CL162-(AZ162+BD162+BH162+BL162+BP162)))</f>
        <v/>
      </c>
      <c r="BU162" s="152">
        <f>BR162-BS162-BT162</f>
        <v/>
      </c>
      <c r="BV162" s="152">
        <f>IF(BY161&lt;=0.005,0,BY161*(1+BV$6))</f>
        <v/>
      </c>
      <c r="BW162" s="152">
        <f>MIN(BV162,BV$7)</f>
        <v/>
      </c>
      <c r="BX162" s="152">
        <f>MAX(0,MIN(BV162-BW162,CL162-(AZ162+BD162+BH162+BL162+BP162+BT162)))</f>
        <v/>
      </c>
      <c r="BY162" s="152">
        <f>BV162-BW162-BX162</f>
        <v/>
      </c>
      <c r="BZ162" s="152">
        <f>IF(CC161&lt;=0.005,0,CC161*(1+BZ$6))</f>
        <v/>
      </c>
      <c r="CA162" s="152">
        <f>MIN(BZ162,BZ$7)</f>
        <v/>
      </c>
      <c r="CB162" s="152">
        <f>MAX(0,MIN(BZ162-CA162,CL162-(AZ162+BD162+BH162+BL162+BP162+BT162+BX162)))</f>
        <v/>
      </c>
      <c r="CC162" s="152">
        <f>BZ162-CA162-CB162</f>
        <v/>
      </c>
      <c r="CD162" s="152">
        <f>IF(CG161&lt;=0.005,0,CG161*(1+CD$6))</f>
        <v/>
      </c>
      <c r="CE162" s="152">
        <f>MIN(CD162,CD$7)</f>
        <v/>
      </c>
      <c r="CF162" s="152">
        <f>MAX(0,MIN(CD162-CE162,CL162-(AZ162+BD162+BH162+BL162+BP162+BT162+BX162+CB162)))</f>
        <v/>
      </c>
      <c r="CG162" s="152">
        <f>CD162-CE162-CF162</f>
        <v/>
      </c>
      <c r="CH162" s="152">
        <f>IF(CK161&lt;=0.005,0,CK161*(1+CH$6))</f>
        <v/>
      </c>
      <c r="CI162" s="152">
        <f>MIN(CH162,CH$7)</f>
        <v/>
      </c>
      <c r="CJ162" s="152">
        <f>MAX(0,MIN(CH162-CI162,CL162-(AZ162+BD162+BH162+BL162+BP162+BT162+BX162+CB162+CF162)))</f>
        <v/>
      </c>
      <c r="CK162" s="152">
        <f>CH162-CI162-CJ162</f>
        <v/>
      </c>
      <c r="CL162" s="152">
        <f>'Debt Payoff'!$C$8-SUM(AY162,BC162,BG162,BK162,BO162,BS162,BW162,CA162,CE162,CI162)</f>
        <v/>
      </c>
      <c r="CM162" s="152">
        <f>SUM(AY162,BC162,BG162,BK162,BO162,BS162,BW162,CA162,CE162,CI162)+SUM(AZ162,BD162,BH162,BL162,BP162,BT162,BX162,CB162,CF162,CJ162)</f>
        <v/>
      </c>
      <c r="CN162" s="152">
        <f>SUM(BA162,BE162,BI162,BM162,BQ162,BU162,BY162,CC162,CG162,CK162)</f>
        <v/>
      </c>
      <c r="CO162" s="152">
        <f>IF(AW162&gt;CN$6,NA(),AW162)</f>
        <v/>
      </c>
      <c r="CP162" s="152">
        <f>IF(AW162&gt;CN$6,NA(),CN162)</f>
        <v/>
      </c>
    </row>
    <row r="163">
      <c r="B163" s="152" t="n">
        <v>152</v>
      </c>
      <c r="C163" s="152">
        <f>IF(F162&lt;=0.005,0,F162*(1+C$6))</f>
        <v/>
      </c>
      <c r="D163" s="152">
        <f>MIN(C163,C$7)</f>
        <v/>
      </c>
      <c r="E163" s="152">
        <f>MAX(0,MIN(C163-D163,AQ163))</f>
        <v/>
      </c>
      <c r="F163" s="152">
        <f>C163-D163-E163</f>
        <v/>
      </c>
      <c r="G163" s="152">
        <f>IF(J162&lt;=0.005,0,J162*(1+G$6))</f>
        <v/>
      </c>
      <c r="H163" s="152">
        <f>MIN(G163,G$7)</f>
        <v/>
      </c>
      <c r="I163" s="152">
        <f>MAX(0,MIN(G163-H163,AQ163-(E163)))</f>
        <v/>
      </c>
      <c r="J163" s="152">
        <f>G163-H163-I163</f>
        <v/>
      </c>
      <c r="K163" s="152">
        <f>IF(N162&lt;=0.005,0,N162*(1+K$6))</f>
        <v/>
      </c>
      <c r="L163" s="152">
        <f>MIN(K163,K$7)</f>
        <v/>
      </c>
      <c r="M163" s="152">
        <f>MAX(0,MIN(K163-L163,AQ163-(E163+I163)))</f>
        <v/>
      </c>
      <c r="N163" s="152">
        <f>K163-L163-M163</f>
        <v/>
      </c>
      <c r="O163" s="152">
        <f>IF(R162&lt;=0.005,0,R162*(1+O$6))</f>
        <v/>
      </c>
      <c r="P163" s="152">
        <f>MIN(O163,O$7)</f>
        <v/>
      </c>
      <c r="Q163" s="152">
        <f>MAX(0,MIN(O163-P163,AQ163-(E163+I163+M163)))</f>
        <v/>
      </c>
      <c r="R163" s="152">
        <f>O163-P163-Q163</f>
        <v/>
      </c>
      <c r="S163" s="152">
        <f>IF(V162&lt;=0.005,0,V162*(1+S$6))</f>
        <v/>
      </c>
      <c r="T163" s="152">
        <f>MIN(S163,S$7)</f>
        <v/>
      </c>
      <c r="U163" s="152">
        <f>MAX(0,MIN(S163-T163,AQ163-(E163+I163+M163+Q163)))</f>
        <v/>
      </c>
      <c r="V163" s="152">
        <f>S163-T163-U163</f>
        <v/>
      </c>
      <c r="W163" s="152">
        <f>IF(Z162&lt;=0.005,0,Z162*(1+W$6))</f>
        <v/>
      </c>
      <c r="X163" s="152">
        <f>MIN(W163,W$7)</f>
        <v/>
      </c>
      <c r="Y163" s="152">
        <f>MAX(0,MIN(W163-X163,AQ163-(E163+I163+M163+Q163+U163)))</f>
        <v/>
      </c>
      <c r="Z163" s="152">
        <f>W163-X163-Y163</f>
        <v/>
      </c>
      <c r="AA163" s="152">
        <f>IF(AD162&lt;=0.005,0,AD162*(1+AA$6))</f>
        <v/>
      </c>
      <c r="AB163" s="152">
        <f>MIN(AA163,AA$7)</f>
        <v/>
      </c>
      <c r="AC163" s="152">
        <f>MAX(0,MIN(AA163-AB163,AQ163-(E163+I163+M163+Q163+U163+Y163)))</f>
        <v/>
      </c>
      <c r="AD163" s="152">
        <f>AA163-AB163-AC163</f>
        <v/>
      </c>
      <c r="AE163" s="152">
        <f>IF(AH162&lt;=0.005,0,AH162*(1+AE$6))</f>
        <v/>
      </c>
      <c r="AF163" s="152">
        <f>MIN(AE163,AE$7)</f>
        <v/>
      </c>
      <c r="AG163" s="152">
        <f>MAX(0,MIN(AE163-AF163,AQ163-(E163+I163+M163+Q163+U163+Y163+AC163)))</f>
        <v/>
      </c>
      <c r="AH163" s="152">
        <f>AE163-AF163-AG163</f>
        <v/>
      </c>
      <c r="AI163" s="152">
        <f>IF(AL162&lt;=0.005,0,AL162*(1+AI$6))</f>
        <v/>
      </c>
      <c r="AJ163" s="152">
        <f>MIN(AI163,AI$7)</f>
        <v/>
      </c>
      <c r="AK163" s="152">
        <f>MAX(0,MIN(AI163-AJ163,AQ163-(E163+I163+M163+Q163+U163+Y163+AC163+AG163)))</f>
        <v/>
      </c>
      <c r="AL163" s="152">
        <f>AI163-AJ163-AK163</f>
        <v/>
      </c>
      <c r="AM163" s="152">
        <f>IF(AP162&lt;=0.005,0,AP162*(1+AM$6))</f>
        <v/>
      </c>
      <c r="AN163" s="152">
        <f>MIN(AM163,AM$7)</f>
        <v/>
      </c>
      <c r="AO163" s="152">
        <f>MAX(0,MIN(AM163-AN163,AQ163-(E163+I163+M163+Q163+U163+Y163+AC163+AG163+AK163)))</f>
        <v/>
      </c>
      <c r="AP163" s="152">
        <f>AM163-AN163-AO163</f>
        <v/>
      </c>
      <c r="AQ163" s="152">
        <f>'Debt Payoff'!$C$8-SUM(D163,H163,L163,P163,T163,X163,AB163,AF163,AJ163,AN163)</f>
        <v/>
      </c>
      <c r="AR163" s="152">
        <f>SUM(D163,H163,L163,P163,T163,X163,AB163,AF163,AJ163,AN163)+SUM(E163,I163,M163,Q163,U163,Y163,AC163,AG163,AK163,AO163)</f>
        <v/>
      </c>
      <c r="AS163" s="152">
        <f>SUM(F163,J163,N163,R163,V163,Z163,AD163,AH163,AL163,AP163)</f>
        <v/>
      </c>
      <c r="AT163" s="152">
        <f>IF(B163&gt;AS$6,NA(),B163)</f>
        <v/>
      </c>
      <c r="AU163" s="152">
        <f>IF(B163&gt;AS$6,NA(),AS163)</f>
        <v/>
      </c>
      <c r="AV163" s="152" t="n"/>
      <c r="AW163" s="152" t="n">
        <v>152</v>
      </c>
      <c r="AX163" s="152">
        <f>IF(BA162&lt;=0.005,0,BA162*(1+AX$6))</f>
        <v/>
      </c>
      <c r="AY163" s="152">
        <f>MIN(AX163,AX$7)</f>
        <v/>
      </c>
      <c r="AZ163" s="152">
        <f>MAX(0,MIN(AX163-AY163,CL163))</f>
        <v/>
      </c>
      <c r="BA163" s="152">
        <f>AX163-AY163-AZ163</f>
        <v/>
      </c>
      <c r="BB163" s="152">
        <f>IF(BE162&lt;=0.005,0,BE162*(1+BB$6))</f>
        <v/>
      </c>
      <c r="BC163" s="152">
        <f>MIN(BB163,BB$7)</f>
        <v/>
      </c>
      <c r="BD163" s="152">
        <f>MAX(0,MIN(BB163-BC163,CL163-(AZ163)))</f>
        <v/>
      </c>
      <c r="BE163" s="152">
        <f>BB163-BC163-BD163</f>
        <v/>
      </c>
      <c r="BF163" s="152">
        <f>IF(BI162&lt;=0.005,0,BI162*(1+BF$6))</f>
        <v/>
      </c>
      <c r="BG163" s="152">
        <f>MIN(BF163,BF$7)</f>
        <v/>
      </c>
      <c r="BH163" s="152">
        <f>MAX(0,MIN(BF163-BG163,CL163-(AZ163+BD163)))</f>
        <v/>
      </c>
      <c r="BI163" s="152">
        <f>BF163-BG163-BH163</f>
        <v/>
      </c>
      <c r="BJ163" s="152">
        <f>IF(BM162&lt;=0.005,0,BM162*(1+BJ$6))</f>
        <v/>
      </c>
      <c r="BK163" s="152">
        <f>MIN(BJ163,BJ$7)</f>
        <v/>
      </c>
      <c r="BL163" s="152">
        <f>MAX(0,MIN(BJ163-BK163,CL163-(AZ163+BD163+BH163)))</f>
        <v/>
      </c>
      <c r="BM163" s="152">
        <f>BJ163-BK163-BL163</f>
        <v/>
      </c>
      <c r="BN163" s="152">
        <f>IF(BQ162&lt;=0.005,0,BQ162*(1+BN$6))</f>
        <v/>
      </c>
      <c r="BO163" s="152">
        <f>MIN(BN163,BN$7)</f>
        <v/>
      </c>
      <c r="BP163" s="152">
        <f>MAX(0,MIN(BN163-BO163,CL163-(AZ163+BD163+BH163+BL163)))</f>
        <v/>
      </c>
      <c r="BQ163" s="152">
        <f>BN163-BO163-BP163</f>
        <v/>
      </c>
      <c r="BR163" s="152">
        <f>IF(BU162&lt;=0.005,0,BU162*(1+BR$6))</f>
        <v/>
      </c>
      <c r="BS163" s="152">
        <f>MIN(BR163,BR$7)</f>
        <v/>
      </c>
      <c r="BT163" s="152">
        <f>MAX(0,MIN(BR163-BS163,CL163-(AZ163+BD163+BH163+BL163+BP163)))</f>
        <v/>
      </c>
      <c r="BU163" s="152">
        <f>BR163-BS163-BT163</f>
        <v/>
      </c>
      <c r="BV163" s="152">
        <f>IF(BY162&lt;=0.005,0,BY162*(1+BV$6))</f>
        <v/>
      </c>
      <c r="BW163" s="152">
        <f>MIN(BV163,BV$7)</f>
        <v/>
      </c>
      <c r="BX163" s="152">
        <f>MAX(0,MIN(BV163-BW163,CL163-(AZ163+BD163+BH163+BL163+BP163+BT163)))</f>
        <v/>
      </c>
      <c r="BY163" s="152">
        <f>BV163-BW163-BX163</f>
        <v/>
      </c>
      <c r="BZ163" s="152">
        <f>IF(CC162&lt;=0.005,0,CC162*(1+BZ$6))</f>
        <v/>
      </c>
      <c r="CA163" s="152">
        <f>MIN(BZ163,BZ$7)</f>
        <v/>
      </c>
      <c r="CB163" s="152">
        <f>MAX(0,MIN(BZ163-CA163,CL163-(AZ163+BD163+BH163+BL163+BP163+BT163+BX163)))</f>
        <v/>
      </c>
      <c r="CC163" s="152">
        <f>BZ163-CA163-CB163</f>
        <v/>
      </c>
      <c r="CD163" s="152">
        <f>IF(CG162&lt;=0.005,0,CG162*(1+CD$6))</f>
        <v/>
      </c>
      <c r="CE163" s="152">
        <f>MIN(CD163,CD$7)</f>
        <v/>
      </c>
      <c r="CF163" s="152">
        <f>MAX(0,MIN(CD163-CE163,CL163-(AZ163+BD163+BH163+BL163+BP163+BT163+BX163+CB163)))</f>
        <v/>
      </c>
      <c r="CG163" s="152">
        <f>CD163-CE163-CF163</f>
        <v/>
      </c>
      <c r="CH163" s="152">
        <f>IF(CK162&lt;=0.005,0,CK162*(1+CH$6))</f>
        <v/>
      </c>
      <c r="CI163" s="152">
        <f>MIN(CH163,CH$7)</f>
        <v/>
      </c>
      <c r="CJ163" s="152">
        <f>MAX(0,MIN(CH163-CI163,CL163-(AZ163+BD163+BH163+BL163+BP163+BT163+BX163+CB163+CF163)))</f>
        <v/>
      </c>
      <c r="CK163" s="152">
        <f>CH163-CI163-CJ163</f>
        <v/>
      </c>
      <c r="CL163" s="152">
        <f>'Debt Payoff'!$C$8-SUM(AY163,BC163,BG163,BK163,BO163,BS163,BW163,CA163,CE163,CI163)</f>
        <v/>
      </c>
      <c r="CM163" s="152">
        <f>SUM(AY163,BC163,BG163,BK163,BO163,BS163,BW163,CA163,CE163,CI163)+SUM(AZ163,BD163,BH163,BL163,BP163,BT163,BX163,CB163,CF163,CJ163)</f>
        <v/>
      </c>
      <c r="CN163" s="152">
        <f>SUM(BA163,BE163,BI163,BM163,BQ163,BU163,BY163,CC163,CG163,CK163)</f>
        <v/>
      </c>
      <c r="CO163" s="152">
        <f>IF(AW163&gt;CN$6,NA(),AW163)</f>
        <v/>
      </c>
      <c r="CP163" s="152">
        <f>IF(AW163&gt;CN$6,NA(),CN163)</f>
        <v/>
      </c>
    </row>
    <row r="164">
      <c r="B164" s="152" t="n">
        <v>153</v>
      </c>
      <c r="C164" s="152">
        <f>IF(F163&lt;=0.005,0,F163*(1+C$6))</f>
        <v/>
      </c>
      <c r="D164" s="152">
        <f>MIN(C164,C$7)</f>
        <v/>
      </c>
      <c r="E164" s="152">
        <f>MAX(0,MIN(C164-D164,AQ164))</f>
        <v/>
      </c>
      <c r="F164" s="152">
        <f>C164-D164-E164</f>
        <v/>
      </c>
      <c r="G164" s="152">
        <f>IF(J163&lt;=0.005,0,J163*(1+G$6))</f>
        <v/>
      </c>
      <c r="H164" s="152">
        <f>MIN(G164,G$7)</f>
        <v/>
      </c>
      <c r="I164" s="152">
        <f>MAX(0,MIN(G164-H164,AQ164-(E164)))</f>
        <v/>
      </c>
      <c r="J164" s="152">
        <f>G164-H164-I164</f>
        <v/>
      </c>
      <c r="K164" s="152">
        <f>IF(N163&lt;=0.005,0,N163*(1+K$6))</f>
        <v/>
      </c>
      <c r="L164" s="152">
        <f>MIN(K164,K$7)</f>
        <v/>
      </c>
      <c r="M164" s="152">
        <f>MAX(0,MIN(K164-L164,AQ164-(E164+I164)))</f>
        <v/>
      </c>
      <c r="N164" s="152">
        <f>K164-L164-M164</f>
        <v/>
      </c>
      <c r="O164" s="152">
        <f>IF(R163&lt;=0.005,0,R163*(1+O$6))</f>
        <v/>
      </c>
      <c r="P164" s="152">
        <f>MIN(O164,O$7)</f>
        <v/>
      </c>
      <c r="Q164" s="152">
        <f>MAX(0,MIN(O164-P164,AQ164-(E164+I164+M164)))</f>
        <v/>
      </c>
      <c r="R164" s="152">
        <f>O164-P164-Q164</f>
        <v/>
      </c>
      <c r="S164" s="152">
        <f>IF(V163&lt;=0.005,0,V163*(1+S$6))</f>
        <v/>
      </c>
      <c r="T164" s="152">
        <f>MIN(S164,S$7)</f>
        <v/>
      </c>
      <c r="U164" s="152">
        <f>MAX(0,MIN(S164-T164,AQ164-(E164+I164+M164+Q164)))</f>
        <v/>
      </c>
      <c r="V164" s="152">
        <f>S164-T164-U164</f>
        <v/>
      </c>
      <c r="W164" s="152">
        <f>IF(Z163&lt;=0.005,0,Z163*(1+W$6))</f>
        <v/>
      </c>
      <c r="X164" s="152">
        <f>MIN(W164,W$7)</f>
        <v/>
      </c>
      <c r="Y164" s="152">
        <f>MAX(0,MIN(W164-X164,AQ164-(E164+I164+M164+Q164+U164)))</f>
        <v/>
      </c>
      <c r="Z164" s="152">
        <f>W164-X164-Y164</f>
        <v/>
      </c>
      <c r="AA164" s="152">
        <f>IF(AD163&lt;=0.005,0,AD163*(1+AA$6))</f>
        <v/>
      </c>
      <c r="AB164" s="152">
        <f>MIN(AA164,AA$7)</f>
        <v/>
      </c>
      <c r="AC164" s="152">
        <f>MAX(0,MIN(AA164-AB164,AQ164-(E164+I164+M164+Q164+U164+Y164)))</f>
        <v/>
      </c>
      <c r="AD164" s="152">
        <f>AA164-AB164-AC164</f>
        <v/>
      </c>
      <c r="AE164" s="152">
        <f>IF(AH163&lt;=0.005,0,AH163*(1+AE$6))</f>
        <v/>
      </c>
      <c r="AF164" s="152">
        <f>MIN(AE164,AE$7)</f>
        <v/>
      </c>
      <c r="AG164" s="152">
        <f>MAX(0,MIN(AE164-AF164,AQ164-(E164+I164+M164+Q164+U164+Y164+AC164)))</f>
        <v/>
      </c>
      <c r="AH164" s="152">
        <f>AE164-AF164-AG164</f>
        <v/>
      </c>
      <c r="AI164" s="152">
        <f>IF(AL163&lt;=0.005,0,AL163*(1+AI$6))</f>
        <v/>
      </c>
      <c r="AJ164" s="152">
        <f>MIN(AI164,AI$7)</f>
        <v/>
      </c>
      <c r="AK164" s="152">
        <f>MAX(0,MIN(AI164-AJ164,AQ164-(E164+I164+M164+Q164+U164+Y164+AC164+AG164)))</f>
        <v/>
      </c>
      <c r="AL164" s="152">
        <f>AI164-AJ164-AK164</f>
        <v/>
      </c>
      <c r="AM164" s="152">
        <f>IF(AP163&lt;=0.005,0,AP163*(1+AM$6))</f>
        <v/>
      </c>
      <c r="AN164" s="152">
        <f>MIN(AM164,AM$7)</f>
        <v/>
      </c>
      <c r="AO164" s="152">
        <f>MAX(0,MIN(AM164-AN164,AQ164-(E164+I164+M164+Q164+U164+Y164+AC164+AG164+AK164)))</f>
        <v/>
      </c>
      <c r="AP164" s="152">
        <f>AM164-AN164-AO164</f>
        <v/>
      </c>
      <c r="AQ164" s="152">
        <f>'Debt Payoff'!$C$8-SUM(D164,H164,L164,P164,T164,X164,AB164,AF164,AJ164,AN164)</f>
        <v/>
      </c>
      <c r="AR164" s="152">
        <f>SUM(D164,H164,L164,P164,T164,X164,AB164,AF164,AJ164,AN164)+SUM(E164,I164,M164,Q164,U164,Y164,AC164,AG164,AK164,AO164)</f>
        <v/>
      </c>
      <c r="AS164" s="152">
        <f>SUM(F164,J164,N164,R164,V164,Z164,AD164,AH164,AL164,AP164)</f>
        <v/>
      </c>
      <c r="AT164" s="152">
        <f>IF(B164&gt;AS$6,NA(),B164)</f>
        <v/>
      </c>
      <c r="AU164" s="152">
        <f>IF(B164&gt;AS$6,NA(),AS164)</f>
        <v/>
      </c>
      <c r="AV164" s="152" t="n"/>
      <c r="AW164" s="152" t="n">
        <v>153</v>
      </c>
      <c r="AX164" s="152">
        <f>IF(BA163&lt;=0.005,0,BA163*(1+AX$6))</f>
        <v/>
      </c>
      <c r="AY164" s="152">
        <f>MIN(AX164,AX$7)</f>
        <v/>
      </c>
      <c r="AZ164" s="152">
        <f>MAX(0,MIN(AX164-AY164,CL164))</f>
        <v/>
      </c>
      <c r="BA164" s="152">
        <f>AX164-AY164-AZ164</f>
        <v/>
      </c>
      <c r="BB164" s="152">
        <f>IF(BE163&lt;=0.005,0,BE163*(1+BB$6))</f>
        <v/>
      </c>
      <c r="BC164" s="152">
        <f>MIN(BB164,BB$7)</f>
        <v/>
      </c>
      <c r="BD164" s="152">
        <f>MAX(0,MIN(BB164-BC164,CL164-(AZ164)))</f>
        <v/>
      </c>
      <c r="BE164" s="152">
        <f>BB164-BC164-BD164</f>
        <v/>
      </c>
      <c r="BF164" s="152">
        <f>IF(BI163&lt;=0.005,0,BI163*(1+BF$6))</f>
        <v/>
      </c>
      <c r="BG164" s="152">
        <f>MIN(BF164,BF$7)</f>
        <v/>
      </c>
      <c r="BH164" s="152">
        <f>MAX(0,MIN(BF164-BG164,CL164-(AZ164+BD164)))</f>
        <v/>
      </c>
      <c r="BI164" s="152">
        <f>BF164-BG164-BH164</f>
        <v/>
      </c>
      <c r="BJ164" s="152">
        <f>IF(BM163&lt;=0.005,0,BM163*(1+BJ$6))</f>
        <v/>
      </c>
      <c r="BK164" s="152">
        <f>MIN(BJ164,BJ$7)</f>
        <v/>
      </c>
      <c r="BL164" s="152">
        <f>MAX(0,MIN(BJ164-BK164,CL164-(AZ164+BD164+BH164)))</f>
        <v/>
      </c>
      <c r="BM164" s="152">
        <f>BJ164-BK164-BL164</f>
        <v/>
      </c>
      <c r="BN164" s="152">
        <f>IF(BQ163&lt;=0.005,0,BQ163*(1+BN$6))</f>
        <v/>
      </c>
      <c r="BO164" s="152">
        <f>MIN(BN164,BN$7)</f>
        <v/>
      </c>
      <c r="BP164" s="152">
        <f>MAX(0,MIN(BN164-BO164,CL164-(AZ164+BD164+BH164+BL164)))</f>
        <v/>
      </c>
      <c r="BQ164" s="152">
        <f>BN164-BO164-BP164</f>
        <v/>
      </c>
      <c r="BR164" s="152">
        <f>IF(BU163&lt;=0.005,0,BU163*(1+BR$6))</f>
        <v/>
      </c>
      <c r="BS164" s="152">
        <f>MIN(BR164,BR$7)</f>
        <v/>
      </c>
      <c r="BT164" s="152">
        <f>MAX(0,MIN(BR164-BS164,CL164-(AZ164+BD164+BH164+BL164+BP164)))</f>
        <v/>
      </c>
      <c r="BU164" s="152">
        <f>BR164-BS164-BT164</f>
        <v/>
      </c>
      <c r="BV164" s="152">
        <f>IF(BY163&lt;=0.005,0,BY163*(1+BV$6))</f>
        <v/>
      </c>
      <c r="BW164" s="152">
        <f>MIN(BV164,BV$7)</f>
        <v/>
      </c>
      <c r="BX164" s="152">
        <f>MAX(0,MIN(BV164-BW164,CL164-(AZ164+BD164+BH164+BL164+BP164+BT164)))</f>
        <v/>
      </c>
      <c r="BY164" s="152">
        <f>BV164-BW164-BX164</f>
        <v/>
      </c>
      <c r="BZ164" s="152">
        <f>IF(CC163&lt;=0.005,0,CC163*(1+BZ$6))</f>
        <v/>
      </c>
      <c r="CA164" s="152">
        <f>MIN(BZ164,BZ$7)</f>
        <v/>
      </c>
      <c r="CB164" s="152">
        <f>MAX(0,MIN(BZ164-CA164,CL164-(AZ164+BD164+BH164+BL164+BP164+BT164+BX164)))</f>
        <v/>
      </c>
      <c r="CC164" s="152">
        <f>BZ164-CA164-CB164</f>
        <v/>
      </c>
      <c r="CD164" s="152">
        <f>IF(CG163&lt;=0.005,0,CG163*(1+CD$6))</f>
        <v/>
      </c>
      <c r="CE164" s="152">
        <f>MIN(CD164,CD$7)</f>
        <v/>
      </c>
      <c r="CF164" s="152">
        <f>MAX(0,MIN(CD164-CE164,CL164-(AZ164+BD164+BH164+BL164+BP164+BT164+BX164+CB164)))</f>
        <v/>
      </c>
      <c r="CG164" s="152">
        <f>CD164-CE164-CF164</f>
        <v/>
      </c>
      <c r="CH164" s="152">
        <f>IF(CK163&lt;=0.005,0,CK163*(1+CH$6))</f>
        <v/>
      </c>
      <c r="CI164" s="152">
        <f>MIN(CH164,CH$7)</f>
        <v/>
      </c>
      <c r="CJ164" s="152">
        <f>MAX(0,MIN(CH164-CI164,CL164-(AZ164+BD164+BH164+BL164+BP164+BT164+BX164+CB164+CF164)))</f>
        <v/>
      </c>
      <c r="CK164" s="152">
        <f>CH164-CI164-CJ164</f>
        <v/>
      </c>
      <c r="CL164" s="152">
        <f>'Debt Payoff'!$C$8-SUM(AY164,BC164,BG164,BK164,BO164,BS164,BW164,CA164,CE164,CI164)</f>
        <v/>
      </c>
      <c r="CM164" s="152">
        <f>SUM(AY164,BC164,BG164,BK164,BO164,BS164,BW164,CA164,CE164,CI164)+SUM(AZ164,BD164,BH164,BL164,BP164,BT164,BX164,CB164,CF164,CJ164)</f>
        <v/>
      </c>
      <c r="CN164" s="152">
        <f>SUM(BA164,BE164,BI164,BM164,BQ164,BU164,BY164,CC164,CG164,CK164)</f>
        <v/>
      </c>
      <c r="CO164" s="152">
        <f>IF(AW164&gt;CN$6,NA(),AW164)</f>
        <v/>
      </c>
      <c r="CP164" s="152">
        <f>IF(AW164&gt;CN$6,NA(),CN164)</f>
        <v/>
      </c>
    </row>
    <row r="165">
      <c r="B165" s="152" t="n">
        <v>154</v>
      </c>
      <c r="C165" s="152">
        <f>IF(F164&lt;=0.005,0,F164*(1+C$6))</f>
        <v/>
      </c>
      <c r="D165" s="152">
        <f>MIN(C165,C$7)</f>
        <v/>
      </c>
      <c r="E165" s="152">
        <f>MAX(0,MIN(C165-D165,AQ165))</f>
        <v/>
      </c>
      <c r="F165" s="152">
        <f>C165-D165-E165</f>
        <v/>
      </c>
      <c r="G165" s="152">
        <f>IF(J164&lt;=0.005,0,J164*(1+G$6))</f>
        <v/>
      </c>
      <c r="H165" s="152">
        <f>MIN(G165,G$7)</f>
        <v/>
      </c>
      <c r="I165" s="152">
        <f>MAX(0,MIN(G165-H165,AQ165-(E165)))</f>
        <v/>
      </c>
      <c r="J165" s="152">
        <f>G165-H165-I165</f>
        <v/>
      </c>
      <c r="K165" s="152">
        <f>IF(N164&lt;=0.005,0,N164*(1+K$6))</f>
        <v/>
      </c>
      <c r="L165" s="152">
        <f>MIN(K165,K$7)</f>
        <v/>
      </c>
      <c r="M165" s="152">
        <f>MAX(0,MIN(K165-L165,AQ165-(E165+I165)))</f>
        <v/>
      </c>
      <c r="N165" s="152">
        <f>K165-L165-M165</f>
        <v/>
      </c>
      <c r="O165" s="152">
        <f>IF(R164&lt;=0.005,0,R164*(1+O$6))</f>
        <v/>
      </c>
      <c r="P165" s="152">
        <f>MIN(O165,O$7)</f>
        <v/>
      </c>
      <c r="Q165" s="152">
        <f>MAX(0,MIN(O165-P165,AQ165-(E165+I165+M165)))</f>
        <v/>
      </c>
      <c r="R165" s="152">
        <f>O165-P165-Q165</f>
        <v/>
      </c>
      <c r="S165" s="152">
        <f>IF(V164&lt;=0.005,0,V164*(1+S$6))</f>
        <v/>
      </c>
      <c r="T165" s="152">
        <f>MIN(S165,S$7)</f>
        <v/>
      </c>
      <c r="U165" s="152">
        <f>MAX(0,MIN(S165-T165,AQ165-(E165+I165+M165+Q165)))</f>
        <v/>
      </c>
      <c r="V165" s="152">
        <f>S165-T165-U165</f>
        <v/>
      </c>
      <c r="W165" s="152">
        <f>IF(Z164&lt;=0.005,0,Z164*(1+W$6))</f>
        <v/>
      </c>
      <c r="X165" s="152">
        <f>MIN(W165,W$7)</f>
        <v/>
      </c>
      <c r="Y165" s="152">
        <f>MAX(0,MIN(W165-X165,AQ165-(E165+I165+M165+Q165+U165)))</f>
        <v/>
      </c>
      <c r="Z165" s="152">
        <f>W165-X165-Y165</f>
        <v/>
      </c>
      <c r="AA165" s="152">
        <f>IF(AD164&lt;=0.005,0,AD164*(1+AA$6))</f>
        <v/>
      </c>
      <c r="AB165" s="152">
        <f>MIN(AA165,AA$7)</f>
        <v/>
      </c>
      <c r="AC165" s="152">
        <f>MAX(0,MIN(AA165-AB165,AQ165-(E165+I165+M165+Q165+U165+Y165)))</f>
        <v/>
      </c>
      <c r="AD165" s="152">
        <f>AA165-AB165-AC165</f>
        <v/>
      </c>
      <c r="AE165" s="152">
        <f>IF(AH164&lt;=0.005,0,AH164*(1+AE$6))</f>
        <v/>
      </c>
      <c r="AF165" s="152">
        <f>MIN(AE165,AE$7)</f>
        <v/>
      </c>
      <c r="AG165" s="152">
        <f>MAX(0,MIN(AE165-AF165,AQ165-(E165+I165+M165+Q165+U165+Y165+AC165)))</f>
        <v/>
      </c>
      <c r="AH165" s="152">
        <f>AE165-AF165-AG165</f>
        <v/>
      </c>
      <c r="AI165" s="152">
        <f>IF(AL164&lt;=0.005,0,AL164*(1+AI$6))</f>
        <v/>
      </c>
      <c r="AJ165" s="152">
        <f>MIN(AI165,AI$7)</f>
        <v/>
      </c>
      <c r="AK165" s="152">
        <f>MAX(0,MIN(AI165-AJ165,AQ165-(E165+I165+M165+Q165+U165+Y165+AC165+AG165)))</f>
        <v/>
      </c>
      <c r="AL165" s="152">
        <f>AI165-AJ165-AK165</f>
        <v/>
      </c>
      <c r="AM165" s="152">
        <f>IF(AP164&lt;=0.005,0,AP164*(1+AM$6))</f>
        <v/>
      </c>
      <c r="AN165" s="152">
        <f>MIN(AM165,AM$7)</f>
        <v/>
      </c>
      <c r="AO165" s="152">
        <f>MAX(0,MIN(AM165-AN165,AQ165-(E165+I165+M165+Q165+U165+Y165+AC165+AG165+AK165)))</f>
        <v/>
      </c>
      <c r="AP165" s="152">
        <f>AM165-AN165-AO165</f>
        <v/>
      </c>
      <c r="AQ165" s="152">
        <f>'Debt Payoff'!$C$8-SUM(D165,H165,L165,P165,T165,X165,AB165,AF165,AJ165,AN165)</f>
        <v/>
      </c>
      <c r="AR165" s="152">
        <f>SUM(D165,H165,L165,P165,T165,X165,AB165,AF165,AJ165,AN165)+SUM(E165,I165,M165,Q165,U165,Y165,AC165,AG165,AK165,AO165)</f>
        <v/>
      </c>
      <c r="AS165" s="152">
        <f>SUM(F165,J165,N165,R165,V165,Z165,AD165,AH165,AL165,AP165)</f>
        <v/>
      </c>
      <c r="AT165" s="152">
        <f>IF(B165&gt;AS$6,NA(),B165)</f>
        <v/>
      </c>
      <c r="AU165" s="152">
        <f>IF(B165&gt;AS$6,NA(),AS165)</f>
        <v/>
      </c>
      <c r="AV165" s="152" t="n"/>
      <c r="AW165" s="152" t="n">
        <v>154</v>
      </c>
      <c r="AX165" s="152">
        <f>IF(BA164&lt;=0.005,0,BA164*(1+AX$6))</f>
        <v/>
      </c>
      <c r="AY165" s="152">
        <f>MIN(AX165,AX$7)</f>
        <v/>
      </c>
      <c r="AZ165" s="152">
        <f>MAX(0,MIN(AX165-AY165,CL165))</f>
        <v/>
      </c>
      <c r="BA165" s="152">
        <f>AX165-AY165-AZ165</f>
        <v/>
      </c>
      <c r="BB165" s="152">
        <f>IF(BE164&lt;=0.005,0,BE164*(1+BB$6))</f>
        <v/>
      </c>
      <c r="BC165" s="152">
        <f>MIN(BB165,BB$7)</f>
        <v/>
      </c>
      <c r="BD165" s="152">
        <f>MAX(0,MIN(BB165-BC165,CL165-(AZ165)))</f>
        <v/>
      </c>
      <c r="BE165" s="152">
        <f>BB165-BC165-BD165</f>
        <v/>
      </c>
      <c r="BF165" s="152">
        <f>IF(BI164&lt;=0.005,0,BI164*(1+BF$6))</f>
        <v/>
      </c>
      <c r="BG165" s="152">
        <f>MIN(BF165,BF$7)</f>
        <v/>
      </c>
      <c r="BH165" s="152">
        <f>MAX(0,MIN(BF165-BG165,CL165-(AZ165+BD165)))</f>
        <v/>
      </c>
      <c r="BI165" s="152">
        <f>BF165-BG165-BH165</f>
        <v/>
      </c>
      <c r="BJ165" s="152">
        <f>IF(BM164&lt;=0.005,0,BM164*(1+BJ$6))</f>
        <v/>
      </c>
      <c r="BK165" s="152">
        <f>MIN(BJ165,BJ$7)</f>
        <v/>
      </c>
      <c r="BL165" s="152">
        <f>MAX(0,MIN(BJ165-BK165,CL165-(AZ165+BD165+BH165)))</f>
        <v/>
      </c>
      <c r="BM165" s="152">
        <f>BJ165-BK165-BL165</f>
        <v/>
      </c>
      <c r="BN165" s="152">
        <f>IF(BQ164&lt;=0.005,0,BQ164*(1+BN$6))</f>
        <v/>
      </c>
      <c r="BO165" s="152">
        <f>MIN(BN165,BN$7)</f>
        <v/>
      </c>
      <c r="BP165" s="152">
        <f>MAX(0,MIN(BN165-BO165,CL165-(AZ165+BD165+BH165+BL165)))</f>
        <v/>
      </c>
      <c r="BQ165" s="152">
        <f>BN165-BO165-BP165</f>
        <v/>
      </c>
      <c r="BR165" s="152">
        <f>IF(BU164&lt;=0.005,0,BU164*(1+BR$6))</f>
        <v/>
      </c>
      <c r="BS165" s="152">
        <f>MIN(BR165,BR$7)</f>
        <v/>
      </c>
      <c r="BT165" s="152">
        <f>MAX(0,MIN(BR165-BS165,CL165-(AZ165+BD165+BH165+BL165+BP165)))</f>
        <v/>
      </c>
      <c r="BU165" s="152">
        <f>BR165-BS165-BT165</f>
        <v/>
      </c>
      <c r="BV165" s="152">
        <f>IF(BY164&lt;=0.005,0,BY164*(1+BV$6))</f>
        <v/>
      </c>
      <c r="BW165" s="152">
        <f>MIN(BV165,BV$7)</f>
        <v/>
      </c>
      <c r="BX165" s="152">
        <f>MAX(0,MIN(BV165-BW165,CL165-(AZ165+BD165+BH165+BL165+BP165+BT165)))</f>
        <v/>
      </c>
      <c r="BY165" s="152">
        <f>BV165-BW165-BX165</f>
        <v/>
      </c>
      <c r="BZ165" s="152">
        <f>IF(CC164&lt;=0.005,0,CC164*(1+BZ$6))</f>
        <v/>
      </c>
      <c r="CA165" s="152">
        <f>MIN(BZ165,BZ$7)</f>
        <v/>
      </c>
      <c r="CB165" s="152">
        <f>MAX(0,MIN(BZ165-CA165,CL165-(AZ165+BD165+BH165+BL165+BP165+BT165+BX165)))</f>
        <v/>
      </c>
      <c r="CC165" s="152">
        <f>BZ165-CA165-CB165</f>
        <v/>
      </c>
      <c r="CD165" s="152">
        <f>IF(CG164&lt;=0.005,0,CG164*(1+CD$6))</f>
        <v/>
      </c>
      <c r="CE165" s="152">
        <f>MIN(CD165,CD$7)</f>
        <v/>
      </c>
      <c r="CF165" s="152">
        <f>MAX(0,MIN(CD165-CE165,CL165-(AZ165+BD165+BH165+BL165+BP165+BT165+BX165+CB165)))</f>
        <v/>
      </c>
      <c r="CG165" s="152">
        <f>CD165-CE165-CF165</f>
        <v/>
      </c>
      <c r="CH165" s="152">
        <f>IF(CK164&lt;=0.005,0,CK164*(1+CH$6))</f>
        <v/>
      </c>
      <c r="CI165" s="152">
        <f>MIN(CH165,CH$7)</f>
        <v/>
      </c>
      <c r="CJ165" s="152">
        <f>MAX(0,MIN(CH165-CI165,CL165-(AZ165+BD165+BH165+BL165+BP165+BT165+BX165+CB165+CF165)))</f>
        <v/>
      </c>
      <c r="CK165" s="152">
        <f>CH165-CI165-CJ165</f>
        <v/>
      </c>
      <c r="CL165" s="152">
        <f>'Debt Payoff'!$C$8-SUM(AY165,BC165,BG165,BK165,BO165,BS165,BW165,CA165,CE165,CI165)</f>
        <v/>
      </c>
      <c r="CM165" s="152">
        <f>SUM(AY165,BC165,BG165,BK165,BO165,BS165,BW165,CA165,CE165,CI165)+SUM(AZ165,BD165,BH165,BL165,BP165,BT165,BX165,CB165,CF165,CJ165)</f>
        <v/>
      </c>
      <c r="CN165" s="152">
        <f>SUM(BA165,BE165,BI165,BM165,BQ165,BU165,BY165,CC165,CG165,CK165)</f>
        <v/>
      </c>
      <c r="CO165" s="152">
        <f>IF(AW165&gt;CN$6,NA(),AW165)</f>
        <v/>
      </c>
      <c r="CP165" s="152">
        <f>IF(AW165&gt;CN$6,NA(),CN165)</f>
        <v/>
      </c>
    </row>
    <row r="166">
      <c r="B166" s="152" t="n">
        <v>155</v>
      </c>
      <c r="C166" s="152">
        <f>IF(F165&lt;=0.005,0,F165*(1+C$6))</f>
        <v/>
      </c>
      <c r="D166" s="152">
        <f>MIN(C166,C$7)</f>
        <v/>
      </c>
      <c r="E166" s="152">
        <f>MAX(0,MIN(C166-D166,AQ166))</f>
        <v/>
      </c>
      <c r="F166" s="152">
        <f>C166-D166-E166</f>
        <v/>
      </c>
      <c r="G166" s="152">
        <f>IF(J165&lt;=0.005,0,J165*(1+G$6))</f>
        <v/>
      </c>
      <c r="H166" s="152">
        <f>MIN(G166,G$7)</f>
        <v/>
      </c>
      <c r="I166" s="152">
        <f>MAX(0,MIN(G166-H166,AQ166-(E166)))</f>
        <v/>
      </c>
      <c r="J166" s="152">
        <f>G166-H166-I166</f>
        <v/>
      </c>
      <c r="K166" s="152">
        <f>IF(N165&lt;=0.005,0,N165*(1+K$6))</f>
        <v/>
      </c>
      <c r="L166" s="152">
        <f>MIN(K166,K$7)</f>
        <v/>
      </c>
      <c r="M166" s="152">
        <f>MAX(0,MIN(K166-L166,AQ166-(E166+I166)))</f>
        <v/>
      </c>
      <c r="N166" s="152">
        <f>K166-L166-M166</f>
        <v/>
      </c>
      <c r="O166" s="152">
        <f>IF(R165&lt;=0.005,0,R165*(1+O$6))</f>
        <v/>
      </c>
      <c r="P166" s="152">
        <f>MIN(O166,O$7)</f>
        <v/>
      </c>
      <c r="Q166" s="152">
        <f>MAX(0,MIN(O166-P166,AQ166-(E166+I166+M166)))</f>
        <v/>
      </c>
      <c r="R166" s="152">
        <f>O166-P166-Q166</f>
        <v/>
      </c>
      <c r="S166" s="152">
        <f>IF(V165&lt;=0.005,0,V165*(1+S$6))</f>
        <v/>
      </c>
      <c r="T166" s="152">
        <f>MIN(S166,S$7)</f>
        <v/>
      </c>
      <c r="U166" s="152">
        <f>MAX(0,MIN(S166-T166,AQ166-(E166+I166+M166+Q166)))</f>
        <v/>
      </c>
      <c r="V166" s="152">
        <f>S166-T166-U166</f>
        <v/>
      </c>
      <c r="W166" s="152">
        <f>IF(Z165&lt;=0.005,0,Z165*(1+W$6))</f>
        <v/>
      </c>
      <c r="X166" s="152">
        <f>MIN(W166,W$7)</f>
        <v/>
      </c>
      <c r="Y166" s="152">
        <f>MAX(0,MIN(W166-X166,AQ166-(E166+I166+M166+Q166+U166)))</f>
        <v/>
      </c>
      <c r="Z166" s="152">
        <f>W166-X166-Y166</f>
        <v/>
      </c>
      <c r="AA166" s="152">
        <f>IF(AD165&lt;=0.005,0,AD165*(1+AA$6))</f>
        <v/>
      </c>
      <c r="AB166" s="152">
        <f>MIN(AA166,AA$7)</f>
        <v/>
      </c>
      <c r="AC166" s="152">
        <f>MAX(0,MIN(AA166-AB166,AQ166-(E166+I166+M166+Q166+U166+Y166)))</f>
        <v/>
      </c>
      <c r="AD166" s="152">
        <f>AA166-AB166-AC166</f>
        <v/>
      </c>
      <c r="AE166" s="152">
        <f>IF(AH165&lt;=0.005,0,AH165*(1+AE$6))</f>
        <v/>
      </c>
      <c r="AF166" s="152">
        <f>MIN(AE166,AE$7)</f>
        <v/>
      </c>
      <c r="AG166" s="152">
        <f>MAX(0,MIN(AE166-AF166,AQ166-(E166+I166+M166+Q166+U166+Y166+AC166)))</f>
        <v/>
      </c>
      <c r="AH166" s="152">
        <f>AE166-AF166-AG166</f>
        <v/>
      </c>
      <c r="AI166" s="152">
        <f>IF(AL165&lt;=0.005,0,AL165*(1+AI$6))</f>
        <v/>
      </c>
      <c r="AJ166" s="152">
        <f>MIN(AI166,AI$7)</f>
        <v/>
      </c>
      <c r="AK166" s="152">
        <f>MAX(0,MIN(AI166-AJ166,AQ166-(E166+I166+M166+Q166+U166+Y166+AC166+AG166)))</f>
        <v/>
      </c>
      <c r="AL166" s="152">
        <f>AI166-AJ166-AK166</f>
        <v/>
      </c>
      <c r="AM166" s="152">
        <f>IF(AP165&lt;=0.005,0,AP165*(1+AM$6))</f>
        <v/>
      </c>
      <c r="AN166" s="152">
        <f>MIN(AM166,AM$7)</f>
        <v/>
      </c>
      <c r="AO166" s="152">
        <f>MAX(0,MIN(AM166-AN166,AQ166-(E166+I166+M166+Q166+U166+Y166+AC166+AG166+AK166)))</f>
        <v/>
      </c>
      <c r="AP166" s="152">
        <f>AM166-AN166-AO166</f>
        <v/>
      </c>
      <c r="AQ166" s="152">
        <f>'Debt Payoff'!$C$8-SUM(D166,H166,L166,P166,T166,X166,AB166,AF166,AJ166,AN166)</f>
        <v/>
      </c>
      <c r="AR166" s="152">
        <f>SUM(D166,H166,L166,P166,T166,X166,AB166,AF166,AJ166,AN166)+SUM(E166,I166,M166,Q166,U166,Y166,AC166,AG166,AK166,AO166)</f>
        <v/>
      </c>
      <c r="AS166" s="152">
        <f>SUM(F166,J166,N166,R166,V166,Z166,AD166,AH166,AL166,AP166)</f>
        <v/>
      </c>
      <c r="AT166" s="152">
        <f>IF(B166&gt;AS$6,NA(),B166)</f>
        <v/>
      </c>
      <c r="AU166" s="152">
        <f>IF(B166&gt;AS$6,NA(),AS166)</f>
        <v/>
      </c>
      <c r="AV166" s="152" t="n"/>
      <c r="AW166" s="152" t="n">
        <v>155</v>
      </c>
      <c r="AX166" s="152">
        <f>IF(BA165&lt;=0.005,0,BA165*(1+AX$6))</f>
        <v/>
      </c>
      <c r="AY166" s="152">
        <f>MIN(AX166,AX$7)</f>
        <v/>
      </c>
      <c r="AZ166" s="152">
        <f>MAX(0,MIN(AX166-AY166,CL166))</f>
        <v/>
      </c>
      <c r="BA166" s="152">
        <f>AX166-AY166-AZ166</f>
        <v/>
      </c>
      <c r="BB166" s="152">
        <f>IF(BE165&lt;=0.005,0,BE165*(1+BB$6))</f>
        <v/>
      </c>
      <c r="BC166" s="152">
        <f>MIN(BB166,BB$7)</f>
        <v/>
      </c>
      <c r="BD166" s="152">
        <f>MAX(0,MIN(BB166-BC166,CL166-(AZ166)))</f>
        <v/>
      </c>
      <c r="BE166" s="152">
        <f>BB166-BC166-BD166</f>
        <v/>
      </c>
      <c r="BF166" s="152">
        <f>IF(BI165&lt;=0.005,0,BI165*(1+BF$6))</f>
        <v/>
      </c>
      <c r="BG166" s="152">
        <f>MIN(BF166,BF$7)</f>
        <v/>
      </c>
      <c r="BH166" s="152">
        <f>MAX(0,MIN(BF166-BG166,CL166-(AZ166+BD166)))</f>
        <v/>
      </c>
      <c r="BI166" s="152">
        <f>BF166-BG166-BH166</f>
        <v/>
      </c>
      <c r="BJ166" s="152">
        <f>IF(BM165&lt;=0.005,0,BM165*(1+BJ$6))</f>
        <v/>
      </c>
      <c r="BK166" s="152">
        <f>MIN(BJ166,BJ$7)</f>
        <v/>
      </c>
      <c r="BL166" s="152">
        <f>MAX(0,MIN(BJ166-BK166,CL166-(AZ166+BD166+BH166)))</f>
        <v/>
      </c>
      <c r="BM166" s="152">
        <f>BJ166-BK166-BL166</f>
        <v/>
      </c>
      <c r="BN166" s="152">
        <f>IF(BQ165&lt;=0.005,0,BQ165*(1+BN$6))</f>
        <v/>
      </c>
      <c r="BO166" s="152">
        <f>MIN(BN166,BN$7)</f>
        <v/>
      </c>
      <c r="BP166" s="152">
        <f>MAX(0,MIN(BN166-BO166,CL166-(AZ166+BD166+BH166+BL166)))</f>
        <v/>
      </c>
      <c r="BQ166" s="152">
        <f>BN166-BO166-BP166</f>
        <v/>
      </c>
      <c r="BR166" s="152">
        <f>IF(BU165&lt;=0.005,0,BU165*(1+BR$6))</f>
        <v/>
      </c>
      <c r="BS166" s="152">
        <f>MIN(BR166,BR$7)</f>
        <v/>
      </c>
      <c r="BT166" s="152">
        <f>MAX(0,MIN(BR166-BS166,CL166-(AZ166+BD166+BH166+BL166+BP166)))</f>
        <v/>
      </c>
      <c r="BU166" s="152">
        <f>BR166-BS166-BT166</f>
        <v/>
      </c>
      <c r="BV166" s="152">
        <f>IF(BY165&lt;=0.005,0,BY165*(1+BV$6))</f>
        <v/>
      </c>
      <c r="BW166" s="152">
        <f>MIN(BV166,BV$7)</f>
        <v/>
      </c>
      <c r="BX166" s="152">
        <f>MAX(0,MIN(BV166-BW166,CL166-(AZ166+BD166+BH166+BL166+BP166+BT166)))</f>
        <v/>
      </c>
      <c r="BY166" s="152">
        <f>BV166-BW166-BX166</f>
        <v/>
      </c>
      <c r="BZ166" s="152">
        <f>IF(CC165&lt;=0.005,0,CC165*(1+BZ$6))</f>
        <v/>
      </c>
      <c r="CA166" s="152">
        <f>MIN(BZ166,BZ$7)</f>
        <v/>
      </c>
      <c r="CB166" s="152">
        <f>MAX(0,MIN(BZ166-CA166,CL166-(AZ166+BD166+BH166+BL166+BP166+BT166+BX166)))</f>
        <v/>
      </c>
      <c r="CC166" s="152">
        <f>BZ166-CA166-CB166</f>
        <v/>
      </c>
      <c r="CD166" s="152">
        <f>IF(CG165&lt;=0.005,0,CG165*(1+CD$6))</f>
        <v/>
      </c>
      <c r="CE166" s="152">
        <f>MIN(CD166,CD$7)</f>
        <v/>
      </c>
      <c r="CF166" s="152">
        <f>MAX(0,MIN(CD166-CE166,CL166-(AZ166+BD166+BH166+BL166+BP166+BT166+BX166+CB166)))</f>
        <v/>
      </c>
      <c r="CG166" s="152">
        <f>CD166-CE166-CF166</f>
        <v/>
      </c>
      <c r="CH166" s="152">
        <f>IF(CK165&lt;=0.005,0,CK165*(1+CH$6))</f>
        <v/>
      </c>
      <c r="CI166" s="152">
        <f>MIN(CH166,CH$7)</f>
        <v/>
      </c>
      <c r="CJ166" s="152">
        <f>MAX(0,MIN(CH166-CI166,CL166-(AZ166+BD166+BH166+BL166+BP166+BT166+BX166+CB166+CF166)))</f>
        <v/>
      </c>
      <c r="CK166" s="152">
        <f>CH166-CI166-CJ166</f>
        <v/>
      </c>
      <c r="CL166" s="152">
        <f>'Debt Payoff'!$C$8-SUM(AY166,BC166,BG166,BK166,BO166,BS166,BW166,CA166,CE166,CI166)</f>
        <v/>
      </c>
      <c r="CM166" s="152">
        <f>SUM(AY166,BC166,BG166,BK166,BO166,BS166,BW166,CA166,CE166,CI166)+SUM(AZ166,BD166,BH166,BL166,BP166,BT166,BX166,CB166,CF166,CJ166)</f>
        <v/>
      </c>
      <c r="CN166" s="152">
        <f>SUM(BA166,BE166,BI166,BM166,BQ166,BU166,BY166,CC166,CG166,CK166)</f>
        <v/>
      </c>
      <c r="CO166" s="152">
        <f>IF(AW166&gt;CN$6,NA(),AW166)</f>
        <v/>
      </c>
      <c r="CP166" s="152">
        <f>IF(AW166&gt;CN$6,NA(),CN166)</f>
        <v/>
      </c>
    </row>
    <row r="167">
      <c r="B167" s="152" t="n">
        <v>156</v>
      </c>
      <c r="C167" s="152">
        <f>IF(F166&lt;=0.005,0,F166*(1+C$6))</f>
        <v/>
      </c>
      <c r="D167" s="152">
        <f>MIN(C167,C$7)</f>
        <v/>
      </c>
      <c r="E167" s="152">
        <f>MAX(0,MIN(C167-D167,AQ167))</f>
        <v/>
      </c>
      <c r="F167" s="152">
        <f>C167-D167-E167</f>
        <v/>
      </c>
      <c r="G167" s="152">
        <f>IF(J166&lt;=0.005,0,J166*(1+G$6))</f>
        <v/>
      </c>
      <c r="H167" s="152">
        <f>MIN(G167,G$7)</f>
        <v/>
      </c>
      <c r="I167" s="152">
        <f>MAX(0,MIN(G167-H167,AQ167-(E167)))</f>
        <v/>
      </c>
      <c r="J167" s="152">
        <f>G167-H167-I167</f>
        <v/>
      </c>
      <c r="K167" s="152">
        <f>IF(N166&lt;=0.005,0,N166*(1+K$6))</f>
        <v/>
      </c>
      <c r="L167" s="152">
        <f>MIN(K167,K$7)</f>
        <v/>
      </c>
      <c r="M167" s="152">
        <f>MAX(0,MIN(K167-L167,AQ167-(E167+I167)))</f>
        <v/>
      </c>
      <c r="N167" s="152">
        <f>K167-L167-M167</f>
        <v/>
      </c>
      <c r="O167" s="152">
        <f>IF(R166&lt;=0.005,0,R166*(1+O$6))</f>
        <v/>
      </c>
      <c r="P167" s="152">
        <f>MIN(O167,O$7)</f>
        <v/>
      </c>
      <c r="Q167" s="152">
        <f>MAX(0,MIN(O167-P167,AQ167-(E167+I167+M167)))</f>
        <v/>
      </c>
      <c r="R167" s="152">
        <f>O167-P167-Q167</f>
        <v/>
      </c>
      <c r="S167" s="152">
        <f>IF(V166&lt;=0.005,0,V166*(1+S$6))</f>
        <v/>
      </c>
      <c r="T167" s="152">
        <f>MIN(S167,S$7)</f>
        <v/>
      </c>
      <c r="U167" s="152">
        <f>MAX(0,MIN(S167-T167,AQ167-(E167+I167+M167+Q167)))</f>
        <v/>
      </c>
      <c r="V167" s="152">
        <f>S167-T167-U167</f>
        <v/>
      </c>
      <c r="W167" s="152">
        <f>IF(Z166&lt;=0.005,0,Z166*(1+W$6))</f>
        <v/>
      </c>
      <c r="X167" s="152">
        <f>MIN(W167,W$7)</f>
        <v/>
      </c>
      <c r="Y167" s="152">
        <f>MAX(0,MIN(W167-X167,AQ167-(E167+I167+M167+Q167+U167)))</f>
        <v/>
      </c>
      <c r="Z167" s="152">
        <f>W167-X167-Y167</f>
        <v/>
      </c>
      <c r="AA167" s="152">
        <f>IF(AD166&lt;=0.005,0,AD166*(1+AA$6))</f>
        <v/>
      </c>
      <c r="AB167" s="152">
        <f>MIN(AA167,AA$7)</f>
        <v/>
      </c>
      <c r="AC167" s="152">
        <f>MAX(0,MIN(AA167-AB167,AQ167-(E167+I167+M167+Q167+U167+Y167)))</f>
        <v/>
      </c>
      <c r="AD167" s="152">
        <f>AA167-AB167-AC167</f>
        <v/>
      </c>
      <c r="AE167" s="152">
        <f>IF(AH166&lt;=0.005,0,AH166*(1+AE$6))</f>
        <v/>
      </c>
      <c r="AF167" s="152">
        <f>MIN(AE167,AE$7)</f>
        <v/>
      </c>
      <c r="AG167" s="152">
        <f>MAX(0,MIN(AE167-AF167,AQ167-(E167+I167+M167+Q167+U167+Y167+AC167)))</f>
        <v/>
      </c>
      <c r="AH167" s="152">
        <f>AE167-AF167-AG167</f>
        <v/>
      </c>
      <c r="AI167" s="152">
        <f>IF(AL166&lt;=0.005,0,AL166*(1+AI$6))</f>
        <v/>
      </c>
      <c r="AJ167" s="152">
        <f>MIN(AI167,AI$7)</f>
        <v/>
      </c>
      <c r="AK167" s="152">
        <f>MAX(0,MIN(AI167-AJ167,AQ167-(E167+I167+M167+Q167+U167+Y167+AC167+AG167)))</f>
        <v/>
      </c>
      <c r="AL167" s="152">
        <f>AI167-AJ167-AK167</f>
        <v/>
      </c>
      <c r="AM167" s="152">
        <f>IF(AP166&lt;=0.005,0,AP166*(1+AM$6))</f>
        <v/>
      </c>
      <c r="AN167" s="152">
        <f>MIN(AM167,AM$7)</f>
        <v/>
      </c>
      <c r="AO167" s="152">
        <f>MAX(0,MIN(AM167-AN167,AQ167-(E167+I167+M167+Q167+U167+Y167+AC167+AG167+AK167)))</f>
        <v/>
      </c>
      <c r="AP167" s="152">
        <f>AM167-AN167-AO167</f>
        <v/>
      </c>
      <c r="AQ167" s="152">
        <f>'Debt Payoff'!$C$8-SUM(D167,H167,L167,P167,T167,X167,AB167,AF167,AJ167,AN167)</f>
        <v/>
      </c>
      <c r="AR167" s="152">
        <f>SUM(D167,H167,L167,P167,T167,X167,AB167,AF167,AJ167,AN167)+SUM(E167,I167,M167,Q167,U167,Y167,AC167,AG167,AK167,AO167)</f>
        <v/>
      </c>
      <c r="AS167" s="152">
        <f>SUM(F167,J167,N167,R167,V167,Z167,AD167,AH167,AL167,AP167)</f>
        <v/>
      </c>
      <c r="AT167" s="152">
        <f>IF(B167&gt;AS$6,NA(),B167)</f>
        <v/>
      </c>
      <c r="AU167" s="152">
        <f>IF(B167&gt;AS$6,NA(),AS167)</f>
        <v/>
      </c>
      <c r="AV167" s="152" t="n"/>
      <c r="AW167" s="152" t="n">
        <v>156</v>
      </c>
      <c r="AX167" s="152">
        <f>IF(BA166&lt;=0.005,0,BA166*(1+AX$6))</f>
        <v/>
      </c>
      <c r="AY167" s="152">
        <f>MIN(AX167,AX$7)</f>
        <v/>
      </c>
      <c r="AZ167" s="152">
        <f>MAX(0,MIN(AX167-AY167,CL167))</f>
        <v/>
      </c>
      <c r="BA167" s="152">
        <f>AX167-AY167-AZ167</f>
        <v/>
      </c>
      <c r="BB167" s="152">
        <f>IF(BE166&lt;=0.005,0,BE166*(1+BB$6))</f>
        <v/>
      </c>
      <c r="BC167" s="152">
        <f>MIN(BB167,BB$7)</f>
        <v/>
      </c>
      <c r="BD167" s="152">
        <f>MAX(0,MIN(BB167-BC167,CL167-(AZ167)))</f>
        <v/>
      </c>
      <c r="BE167" s="152">
        <f>BB167-BC167-BD167</f>
        <v/>
      </c>
      <c r="BF167" s="152">
        <f>IF(BI166&lt;=0.005,0,BI166*(1+BF$6))</f>
        <v/>
      </c>
      <c r="BG167" s="152">
        <f>MIN(BF167,BF$7)</f>
        <v/>
      </c>
      <c r="BH167" s="152">
        <f>MAX(0,MIN(BF167-BG167,CL167-(AZ167+BD167)))</f>
        <v/>
      </c>
      <c r="BI167" s="152">
        <f>BF167-BG167-BH167</f>
        <v/>
      </c>
      <c r="BJ167" s="152">
        <f>IF(BM166&lt;=0.005,0,BM166*(1+BJ$6))</f>
        <v/>
      </c>
      <c r="BK167" s="152">
        <f>MIN(BJ167,BJ$7)</f>
        <v/>
      </c>
      <c r="BL167" s="152">
        <f>MAX(0,MIN(BJ167-BK167,CL167-(AZ167+BD167+BH167)))</f>
        <v/>
      </c>
      <c r="BM167" s="152">
        <f>BJ167-BK167-BL167</f>
        <v/>
      </c>
      <c r="BN167" s="152">
        <f>IF(BQ166&lt;=0.005,0,BQ166*(1+BN$6))</f>
        <v/>
      </c>
      <c r="BO167" s="152">
        <f>MIN(BN167,BN$7)</f>
        <v/>
      </c>
      <c r="BP167" s="152">
        <f>MAX(0,MIN(BN167-BO167,CL167-(AZ167+BD167+BH167+BL167)))</f>
        <v/>
      </c>
      <c r="BQ167" s="152">
        <f>BN167-BO167-BP167</f>
        <v/>
      </c>
      <c r="BR167" s="152">
        <f>IF(BU166&lt;=0.005,0,BU166*(1+BR$6))</f>
        <v/>
      </c>
      <c r="BS167" s="152">
        <f>MIN(BR167,BR$7)</f>
        <v/>
      </c>
      <c r="BT167" s="152">
        <f>MAX(0,MIN(BR167-BS167,CL167-(AZ167+BD167+BH167+BL167+BP167)))</f>
        <v/>
      </c>
      <c r="BU167" s="152">
        <f>BR167-BS167-BT167</f>
        <v/>
      </c>
      <c r="BV167" s="152">
        <f>IF(BY166&lt;=0.005,0,BY166*(1+BV$6))</f>
        <v/>
      </c>
      <c r="BW167" s="152">
        <f>MIN(BV167,BV$7)</f>
        <v/>
      </c>
      <c r="BX167" s="152">
        <f>MAX(0,MIN(BV167-BW167,CL167-(AZ167+BD167+BH167+BL167+BP167+BT167)))</f>
        <v/>
      </c>
      <c r="BY167" s="152">
        <f>BV167-BW167-BX167</f>
        <v/>
      </c>
      <c r="BZ167" s="152">
        <f>IF(CC166&lt;=0.005,0,CC166*(1+BZ$6))</f>
        <v/>
      </c>
      <c r="CA167" s="152">
        <f>MIN(BZ167,BZ$7)</f>
        <v/>
      </c>
      <c r="CB167" s="152">
        <f>MAX(0,MIN(BZ167-CA167,CL167-(AZ167+BD167+BH167+BL167+BP167+BT167+BX167)))</f>
        <v/>
      </c>
      <c r="CC167" s="152">
        <f>BZ167-CA167-CB167</f>
        <v/>
      </c>
      <c r="CD167" s="152">
        <f>IF(CG166&lt;=0.005,0,CG166*(1+CD$6))</f>
        <v/>
      </c>
      <c r="CE167" s="152">
        <f>MIN(CD167,CD$7)</f>
        <v/>
      </c>
      <c r="CF167" s="152">
        <f>MAX(0,MIN(CD167-CE167,CL167-(AZ167+BD167+BH167+BL167+BP167+BT167+BX167+CB167)))</f>
        <v/>
      </c>
      <c r="CG167" s="152">
        <f>CD167-CE167-CF167</f>
        <v/>
      </c>
      <c r="CH167" s="152">
        <f>IF(CK166&lt;=0.005,0,CK166*(1+CH$6))</f>
        <v/>
      </c>
      <c r="CI167" s="152">
        <f>MIN(CH167,CH$7)</f>
        <v/>
      </c>
      <c r="CJ167" s="152">
        <f>MAX(0,MIN(CH167-CI167,CL167-(AZ167+BD167+BH167+BL167+BP167+BT167+BX167+CB167+CF167)))</f>
        <v/>
      </c>
      <c r="CK167" s="152">
        <f>CH167-CI167-CJ167</f>
        <v/>
      </c>
      <c r="CL167" s="152">
        <f>'Debt Payoff'!$C$8-SUM(AY167,BC167,BG167,BK167,BO167,BS167,BW167,CA167,CE167,CI167)</f>
        <v/>
      </c>
      <c r="CM167" s="152">
        <f>SUM(AY167,BC167,BG167,BK167,BO167,BS167,BW167,CA167,CE167,CI167)+SUM(AZ167,BD167,BH167,BL167,BP167,BT167,BX167,CB167,CF167,CJ167)</f>
        <v/>
      </c>
      <c r="CN167" s="152">
        <f>SUM(BA167,BE167,BI167,BM167,BQ167,BU167,BY167,CC167,CG167,CK167)</f>
        <v/>
      </c>
      <c r="CO167" s="152">
        <f>IF(AW167&gt;CN$6,NA(),AW167)</f>
        <v/>
      </c>
      <c r="CP167" s="152">
        <f>IF(AW167&gt;CN$6,NA(),CN167)</f>
        <v/>
      </c>
    </row>
    <row r="168">
      <c r="B168" s="152" t="n">
        <v>157</v>
      </c>
      <c r="C168" s="152">
        <f>IF(F167&lt;=0.005,0,F167*(1+C$6))</f>
        <v/>
      </c>
      <c r="D168" s="152">
        <f>MIN(C168,C$7)</f>
        <v/>
      </c>
      <c r="E168" s="152">
        <f>MAX(0,MIN(C168-D168,AQ168))</f>
        <v/>
      </c>
      <c r="F168" s="152">
        <f>C168-D168-E168</f>
        <v/>
      </c>
      <c r="G168" s="152">
        <f>IF(J167&lt;=0.005,0,J167*(1+G$6))</f>
        <v/>
      </c>
      <c r="H168" s="152">
        <f>MIN(G168,G$7)</f>
        <v/>
      </c>
      <c r="I168" s="152">
        <f>MAX(0,MIN(G168-H168,AQ168-(E168)))</f>
        <v/>
      </c>
      <c r="J168" s="152">
        <f>G168-H168-I168</f>
        <v/>
      </c>
      <c r="K168" s="152">
        <f>IF(N167&lt;=0.005,0,N167*(1+K$6))</f>
        <v/>
      </c>
      <c r="L168" s="152">
        <f>MIN(K168,K$7)</f>
        <v/>
      </c>
      <c r="M168" s="152">
        <f>MAX(0,MIN(K168-L168,AQ168-(E168+I168)))</f>
        <v/>
      </c>
      <c r="N168" s="152">
        <f>K168-L168-M168</f>
        <v/>
      </c>
      <c r="O168" s="152">
        <f>IF(R167&lt;=0.005,0,R167*(1+O$6))</f>
        <v/>
      </c>
      <c r="P168" s="152">
        <f>MIN(O168,O$7)</f>
        <v/>
      </c>
      <c r="Q168" s="152">
        <f>MAX(0,MIN(O168-P168,AQ168-(E168+I168+M168)))</f>
        <v/>
      </c>
      <c r="R168" s="152">
        <f>O168-P168-Q168</f>
        <v/>
      </c>
      <c r="S168" s="152">
        <f>IF(V167&lt;=0.005,0,V167*(1+S$6))</f>
        <v/>
      </c>
      <c r="T168" s="152">
        <f>MIN(S168,S$7)</f>
        <v/>
      </c>
      <c r="U168" s="152">
        <f>MAX(0,MIN(S168-T168,AQ168-(E168+I168+M168+Q168)))</f>
        <v/>
      </c>
      <c r="V168" s="152">
        <f>S168-T168-U168</f>
        <v/>
      </c>
      <c r="W168" s="152">
        <f>IF(Z167&lt;=0.005,0,Z167*(1+W$6))</f>
        <v/>
      </c>
      <c r="X168" s="152">
        <f>MIN(W168,W$7)</f>
        <v/>
      </c>
      <c r="Y168" s="152">
        <f>MAX(0,MIN(W168-X168,AQ168-(E168+I168+M168+Q168+U168)))</f>
        <v/>
      </c>
      <c r="Z168" s="152">
        <f>W168-X168-Y168</f>
        <v/>
      </c>
      <c r="AA168" s="152">
        <f>IF(AD167&lt;=0.005,0,AD167*(1+AA$6))</f>
        <v/>
      </c>
      <c r="AB168" s="152">
        <f>MIN(AA168,AA$7)</f>
        <v/>
      </c>
      <c r="AC168" s="152">
        <f>MAX(0,MIN(AA168-AB168,AQ168-(E168+I168+M168+Q168+U168+Y168)))</f>
        <v/>
      </c>
      <c r="AD168" s="152">
        <f>AA168-AB168-AC168</f>
        <v/>
      </c>
      <c r="AE168" s="152">
        <f>IF(AH167&lt;=0.005,0,AH167*(1+AE$6))</f>
        <v/>
      </c>
      <c r="AF168" s="152">
        <f>MIN(AE168,AE$7)</f>
        <v/>
      </c>
      <c r="AG168" s="152">
        <f>MAX(0,MIN(AE168-AF168,AQ168-(E168+I168+M168+Q168+U168+Y168+AC168)))</f>
        <v/>
      </c>
      <c r="AH168" s="152">
        <f>AE168-AF168-AG168</f>
        <v/>
      </c>
      <c r="AI168" s="152">
        <f>IF(AL167&lt;=0.005,0,AL167*(1+AI$6))</f>
        <v/>
      </c>
      <c r="AJ168" s="152">
        <f>MIN(AI168,AI$7)</f>
        <v/>
      </c>
      <c r="AK168" s="152">
        <f>MAX(0,MIN(AI168-AJ168,AQ168-(E168+I168+M168+Q168+U168+Y168+AC168+AG168)))</f>
        <v/>
      </c>
      <c r="AL168" s="152">
        <f>AI168-AJ168-AK168</f>
        <v/>
      </c>
      <c r="AM168" s="152">
        <f>IF(AP167&lt;=0.005,0,AP167*(1+AM$6))</f>
        <v/>
      </c>
      <c r="AN168" s="152">
        <f>MIN(AM168,AM$7)</f>
        <v/>
      </c>
      <c r="AO168" s="152">
        <f>MAX(0,MIN(AM168-AN168,AQ168-(E168+I168+M168+Q168+U168+Y168+AC168+AG168+AK168)))</f>
        <v/>
      </c>
      <c r="AP168" s="152">
        <f>AM168-AN168-AO168</f>
        <v/>
      </c>
      <c r="AQ168" s="152">
        <f>'Debt Payoff'!$C$8-SUM(D168,H168,L168,P168,T168,X168,AB168,AF168,AJ168,AN168)</f>
        <v/>
      </c>
      <c r="AR168" s="152">
        <f>SUM(D168,H168,L168,P168,T168,X168,AB168,AF168,AJ168,AN168)+SUM(E168,I168,M168,Q168,U168,Y168,AC168,AG168,AK168,AO168)</f>
        <v/>
      </c>
      <c r="AS168" s="152">
        <f>SUM(F168,J168,N168,R168,V168,Z168,AD168,AH168,AL168,AP168)</f>
        <v/>
      </c>
      <c r="AT168" s="152">
        <f>IF(B168&gt;AS$6,NA(),B168)</f>
        <v/>
      </c>
      <c r="AU168" s="152">
        <f>IF(B168&gt;AS$6,NA(),AS168)</f>
        <v/>
      </c>
      <c r="AV168" s="152" t="n"/>
      <c r="AW168" s="152" t="n">
        <v>157</v>
      </c>
      <c r="AX168" s="152">
        <f>IF(BA167&lt;=0.005,0,BA167*(1+AX$6))</f>
        <v/>
      </c>
      <c r="AY168" s="152">
        <f>MIN(AX168,AX$7)</f>
        <v/>
      </c>
      <c r="AZ168" s="152">
        <f>MAX(0,MIN(AX168-AY168,CL168))</f>
        <v/>
      </c>
      <c r="BA168" s="152">
        <f>AX168-AY168-AZ168</f>
        <v/>
      </c>
      <c r="BB168" s="152">
        <f>IF(BE167&lt;=0.005,0,BE167*(1+BB$6))</f>
        <v/>
      </c>
      <c r="BC168" s="152">
        <f>MIN(BB168,BB$7)</f>
        <v/>
      </c>
      <c r="BD168" s="152">
        <f>MAX(0,MIN(BB168-BC168,CL168-(AZ168)))</f>
        <v/>
      </c>
      <c r="BE168" s="152">
        <f>BB168-BC168-BD168</f>
        <v/>
      </c>
      <c r="BF168" s="152">
        <f>IF(BI167&lt;=0.005,0,BI167*(1+BF$6))</f>
        <v/>
      </c>
      <c r="BG168" s="152">
        <f>MIN(BF168,BF$7)</f>
        <v/>
      </c>
      <c r="BH168" s="152">
        <f>MAX(0,MIN(BF168-BG168,CL168-(AZ168+BD168)))</f>
        <v/>
      </c>
      <c r="BI168" s="152">
        <f>BF168-BG168-BH168</f>
        <v/>
      </c>
      <c r="BJ168" s="152">
        <f>IF(BM167&lt;=0.005,0,BM167*(1+BJ$6))</f>
        <v/>
      </c>
      <c r="BK168" s="152">
        <f>MIN(BJ168,BJ$7)</f>
        <v/>
      </c>
      <c r="BL168" s="152">
        <f>MAX(0,MIN(BJ168-BK168,CL168-(AZ168+BD168+BH168)))</f>
        <v/>
      </c>
      <c r="BM168" s="152">
        <f>BJ168-BK168-BL168</f>
        <v/>
      </c>
      <c r="BN168" s="152">
        <f>IF(BQ167&lt;=0.005,0,BQ167*(1+BN$6))</f>
        <v/>
      </c>
      <c r="BO168" s="152">
        <f>MIN(BN168,BN$7)</f>
        <v/>
      </c>
      <c r="BP168" s="152">
        <f>MAX(0,MIN(BN168-BO168,CL168-(AZ168+BD168+BH168+BL168)))</f>
        <v/>
      </c>
      <c r="BQ168" s="152">
        <f>BN168-BO168-BP168</f>
        <v/>
      </c>
      <c r="BR168" s="152">
        <f>IF(BU167&lt;=0.005,0,BU167*(1+BR$6))</f>
        <v/>
      </c>
      <c r="BS168" s="152">
        <f>MIN(BR168,BR$7)</f>
        <v/>
      </c>
      <c r="BT168" s="152">
        <f>MAX(0,MIN(BR168-BS168,CL168-(AZ168+BD168+BH168+BL168+BP168)))</f>
        <v/>
      </c>
      <c r="BU168" s="152">
        <f>BR168-BS168-BT168</f>
        <v/>
      </c>
      <c r="BV168" s="152">
        <f>IF(BY167&lt;=0.005,0,BY167*(1+BV$6))</f>
        <v/>
      </c>
      <c r="BW168" s="152">
        <f>MIN(BV168,BV$7)</f>
        <v/>
      </c>
      <c r="BX168" s="152">
        <f>MAX(0,MIN(BV168-BW168,CL168-(AZ168+BD168+BH168+BL168+BP168+BT168)))</f>
        <v/>
      </c>
      <c r="BY168" s="152">
        <f>BV168-BW168-BX168</f>
        <v/>
      </c>
      <c r="BZ168" s="152">
        <f>IF(CC167&lt;=0.005,0,CC167*(1+BZ$6))</f>
        <v/>
      </c>
      <c r="CA168" s="152">
        <f>MIN(BZ168,BZ$7)</f>
        <v/>
      </c>
      <c r="CB168" s="152">
        <f>MAX(0,MIN(BZ168-CA168,CL168-(AZ168+BD168+BH168+BL168+BP168+BT168+BX168)))</f>
        <v/>
      </c>
      <c r="CC168" s="152">
        <f>BZ168-CA168-CB168</f>
        <v/>
      </c>
      <c r="CD168" s="152">
        <f>IF(CG167&lt;=0.005,0,CG167*(1+CD$6))</f>
        <v/>
      </c>
      <c r="CE168" s="152">
        <f>MIN(CD168,CD$7)</f>
        <v/>
      </c>
      <c r="CF168" s="152">
        <f>MAX(0,MIN(CD168-CE168,CL168-(AZ168+BD168+BH168+BL168+BP168+BT168+BX168+CB168)))</f>
        <v/>
      </c>
      <c r="CG168" s="152">
        <f>CD168-CE168-CF168</f>
        <v/>
      </c>
      <c r="CH168" s="152">
        <f>IF(CK167&lt;=0.005,0,CK167*(1+CH$6))</f>
        <v/>
      </c>
      <c r="CI168" s="152">
        <f>MIN(CH168,CH$7)</f>
        <v/>
      </c>
      <c r="CJ168" s="152">
        <f>MAX(0,MIN(CH168-CI168,CL168-(AZ168+BD168+BH168+BL168+BP168+BT168+BX168+CB168+CF168)))</f>
        <v/>
      </c>
      <c r="CK168" s="152">
        <f>CH168-CI168-CJ168</f>
        <v/>
      </c>
      <c r="CL168" s="152">
        <f>'Debt Payoff'!$C$8-SUM(AY168,BC168,BG168,BK168,BO168,BS168,BW168,CA168,CE168,CI168)</f>
        <v/>
      </c>
      <c r="CM168" s="152">
        <f>SUM(AY168,BC168,BG168,BK168,BO168,BS168,BW168,CA168,CE168,CI168)+SUM(AZ168,BD168,BH168,BL168,BP168,BT168,BX168,CB168,CF168,CJ168)</f>
        <v/>
      </c>
      <c r="CN168" s="152">
        <f>SUM(BA168,BE168,BI168,BM168,BQ168,BU168,BY168,CC168,CG168,CK168)</f>
        <v/>
      </c>
      <c r="CO168" s="152">
        <f>IF(AW168&gt;CN$6,NA(),AW168)</f>
        <v/>
      </c>
      <c r="CP168" s="152">
        <f>IF(AW168&gt;CN$6,NA(),CN168)</f>
        <v/>
      </c>
    </row>
    <row r="169">
      <c r="B169" s="152" t="n">
        <v>158</v>
      </c>
      <c r="C169" s="152">
        <f>IF(F168&lt;=0.005,0,F168*(1+C$6))</f>
        <v/>
      </c>
      <c r="D169" s="152">
        <f>MIN(C169,C$7)</f>
        <v/>
      </c>
      <c r="E169" s="152">
        <f>MAX(0,MIN(C169-D169,AQ169))</f>
        <v/>
      </c>
      <c r="F169" s="152">
        <f>C169-D169-E169</f>
        <v/>
      </c>
      <c r="G169" s="152">
        <f>IF(J168&lt;=0.005,0,J168*(1+G$6))</f>
        <v/>
      </c>
      <c r="H169" s="152">
        <f>MIN(G169,G$7)</f>
        <v/>
      </c>
      <c r="I169" s="152">
        <f>MAX(0,MIN(G169-H169,AQ169-(E169)))</f>
        <v/>
      </c>
      <c r="J169" s="152">
        <f>G169-H169-I169</f>
        <v/>
      </c>
      <c r="K169" s="152">
        <f>IF(N168&lt;=0.005,0,N168*(1+K$6))</f>
        <v/>
      </c>
      <c r="L169" s="152">
        <f>MIN(K169,K$7)</f>
        <v/>
      </c>
      <c r="M169" s="152">
        <f>MAX(0,MIN(K169-L169,AQ169-(E169+I169)))</f>
        <v/>
      </c>
      <c r="N169" s="152">
        <f>K169-L169-M169</f>
        <v/>
      </c>
      <c r="O169" s="152">
        <f>IF(R168&lt;=0.005,0,R168*(1+O$6))</f>
        <v/>
      </c>
      <c r="P169" s="152">
        <f>MIN(O169,O$7)</f>
        <v/>
      </c>
      <c r="Q169" s="152">
        <f>MAX(0,MIN(O169-P169,AQ169-(E169+I169+M169)))</f>
        <v/>
      </c>
      <c r="R169" s="152">
        <f>O169-P169-Q169</f>
        <v/>
      </c>
      <c r="S169" s="152">
        <f>IF(V168&lt;=0.005,0,V168*(1+S$6))</f>
        <v/>
      </c>
      <c r="T169" s="152">
        <f>MIN(S169,S$7)</f>
        <v/>
      </c>
      <c r="U169" s="152">
        <f>MAX(0,MIN(S169-T169,AQ169-(E169+I169+M169+Q169)))</f>
        <v/>
      </c>
      <c r="V169" s="152">
        <f>S169-T169-U169</f>
        <v/>
      </c>
      <c r="W169" s="152">
        <f>IF(Z168&lt;=0.005,0,Z168*(1+W$6))</f>
        <v/>
      </c>
      <c r="X169" s="152">
        <f>MIN(W169,W$7)</f>
        <v/>
      </c>
      <c r="Y169" s="152">
        <f>MAX(0,MIN(W169-X169,AQ169-(E169+I169+M169+Q169+U169)))</f>
        <v/>
      </c>
      <c r="Z169" s="152">
        <f>W169-X169-Y169</f>
        <v/>
      </c>
      <c r="AA169" s="152">
        <f>IF(AD168&lt;=0.005,0,AD168*(1+AA$6))</f>
        <v/>
      </c>
      <c r="AB169" s="152">
        <f>MIN(AA169,AA$7)</f>
        <v/>
      </c>
      <c r="AC169" s="152">
        <f>MAX(0,MIN(AA169-AB169,AQ169-(E169+I169+M169+Q169+U169+Y169)))</f>
        <v/>
      </c>
      <c r="AD169" s="152">
        <f>AA169-AB169-AC169</f>
        <v/>
      </c>
      <c r="AE169" s="152">
        <f>IF(AH168&lt;=0.005,0,AH168*(1+AE$6))</f>
        <v/>
      </c>
      <c r="AF169" s="152">
        <f>MIN(AE169,AE$7)</f>
        <v/>
      </c>
      <c r="AG169" s="152">
        <f>MAX(0,MIN(AE169-AF169,AQ169-(E169+I169+M169+Q169+U169+Y169+AC169)))</f>
        <v/>
      </c>
      <c r="AH169" s="152">
        <f>AE169-AF169-AG169</f>
        <v/>
      </c>
      <c r="AI169" s="152">
        <f>IF(AL168&lt;=0.005,0,AL168*(1+AI$6))</f>
        <v/>
      </c>
      <c r="AJ169" s="152">
        <f>MIN(AI169,AI$7)</f>
        <v/>
      </c>
      <c r="AK169" s="152">
        <f>MAX(0,MIN(AI169-AJ169,AQ169-(E169+I169+M169+Q169+U169+Y169+AC169+AG169)))</f>
        <v/>
      </c>
      <c r="AL169" s="152">
        <f>AI169-AJ169-AK169</f>
        <v/>
      </c>
      <c r="AM169" s="152">
        <f>IF(AP168&lt;=0.005,0,AP168*(1+AM$6))</f>
        <v/>
      </c>
      <c r="AN169" s="152">
        <f>MIN(AM169,AM$7)</f>
        <v/>
      </c>
      <c r="AO169" s="152">
        <f>MAX(0,MIN(AM169-AN169,AQ169-(E169+I169+M169+Q169+U169+Y169+AC169+AG169+AK169)))</f>
        <v/>
      </c>
      <c r="AP169" s="152">
        <f>AM169-AN169-AO169</f>
        <v/>
      </c>
      <c r="AQ169" s="152">
        <f>'Debt Payoff'!$C$8-SUM(D169,H169,L169,P169,T169,X169,AB169,AF169,AJ169,AN169)</f>
        <v/>
      </c>
      <c r="AR169" s="152">
        <f>SUM(D169,H169,L169,P169,T169,X169,AB169,AF169,AJ169,AN169)+SUM(E169,I169,M169,Q169,U169,Y169,AC169,AG169,AK169,AO169)</f>
        <v/>
      </c>
      <c r="AS169" s="152">
        <f>SUM(F169,J169,N169,R169,V169,Z169,AD169,AH169,AL169,AP169)</f>
        <v/>
      </c>
      <c r="AT169" s="152">
        <f>IF(B169&gt;AS$6,NA(),B169)</f>
        <v/>
      </c>
      <c r="AU169" s="152">
        <f>IF(B169&gt;AS$6,NA(),AS169)</f>
        <v/>
      </c>
      <c r="AV169" s="152" t="n"/>
      <c r="AW169" s="152" t="n">
        <v>158</v>
      </c>
      <c r="AX169" s="152">
        <f>IF(BA168&lt;=0.005,0,BA168*(1+AX$6))</f>
        <v/>
      </c>
      <c r="AY169" s="152">
        <f>MIN(AX169,AX$7)</f>
        <v/>
      </c>
      <c r="AZ169" s="152">
        <f>MAX(0,MIN(AX169-AY169,CL169))</f>
        <v/>
      </c>
      <c r="BA169" s="152">
        <f>AX169-AY169-AZ169</f>
        <v/>
      </c>
      <c r="BB169" s="152">
        <f>IF(BE168&lt;=0.005,0,BE168*(1+BB$6))</f>
        <v/>
      </c>
      <c r="BC169" s="152">
        <f>MIN(BB169,BB$7)</f>
        <v/>
      </c>
      <c r="BD169" s="152">
        <f>MAX(0,MIN(BB169-BC169,CL169-(AZ169)))</f>
        <v/>
      </c>
      <c r="BE169" s="152">
        <f>BB169-BC169-BD169</f>
        <v/>
      </c>
      <c r="BF169" s="152">
        <f>IF(BI168&lt;=0.005,0,BI168*(1+BF$6))</f>
        <v/>
      </c>
      <c r="BG169" s="152">
        <f>MIN(BF169,BF$7)</f>
        <v/>
      </c>
      <c r="BH169" s="152">
        <f>MAX(0,MIN(BF169-BG169,CL169-(AZ169+BD169)))</f>
        <v/>
      </c>
      <c r="BI169" s="152">
        <f>BF169-BG169-BH169</f>
        <v/>
      </c>
      <c r="BJ169" s="152">
        <f>IF(BM168&lt;=0.005,0,BM168*(1+BJ$6))</f>
        <v/>
      </c>
      <c r="BK169" s="152">
        <f>MIN(BJ169,BJ$7)</f>
        <v/>
      </c>
      <c r="BL169" s="152">
        <f>MAX(0,MIN(BJ169-BK169,CL169-(AZ169+BD169+BH169)))</f>
        <v/>
      </c>
      <c r="BM169" s="152">
        <f>BJ169-BK169-BL169</f>
        <v/>
      </c>
      <c r="BN169" s="152">
        <f>IF(BQ168&lt;=0.005,0,BQ168*(1+BN$6))</f>
        <v/>
      </c>
      <c r="BO169" s="152">
        <f>MIN(BN169,BN$7)</f>
        <v/>
      </c>
      <c r="BP169" s="152">
        <f>MAX(0,MIN(BN169-BO169,CL169-(AZ169+BD169+BH169+BL169)))</f>
        <v/>
      </c>
      <c r="BQ169" s="152">
        <f>BN169-BO169-BP169</f>
        <v/>
      </c>
      <c r="BR169" s="152">
        <f>IF(BU168&lt;=0.005,0,BU168*(1+BR$6))</f>
        <v/>
      </c>
      <c r="BS169" s="152">
        <f>MIN(BR169,BR$7)</f>
        <v/>
      </c>
      <c r="BT169" s="152">
        <f>MAX(0,MIN(BR169-BS169,CL169-(AZ169+BD169+BH169+BL169+BP169)))</f>
        <v/>
      </c>
      <c r="BU169" s="152">
        <f>BR169-BS169-BT169</f>
        <v/>
      </c>
      <c r="BV169" s="152">
        <f>IF(BY168&lt;=0.005,0,BY168*(1+BV$6))</f>
        <v/>
      </c>
      <c r="BW169" s="152">
        <f>MIN(BV169,BV$7)</f>
        <v/>
      </c>
      <c r="BX169" s="152">
        <f>MAX(0,MIN(BV169-BW169,CL169-(AZ169+BD169+BH169+BL169+BP169+BT169)))</f>
        <v/>
      </c>
      <c r="BY169" s="152">
        <f>BV169-BW169-BX169</f>
        <v/>
      </c>
      <c r="BZ169" s="152">
        <f>IF(CC168&lt;=0.005,0,CC168*(1+BZ$6))</f>
        <v/>
      </c>
      <c r="CA169" s="152">
        <f>MIN(BZ169,BZ$7)</f>
        <v/>
      </c>
      <c r="CB169" s="152">
        <f>MAX(0,MIN(BZ169-CA169,CL169-(AZ169+BD169+BH169+BL169+BP169+BT169+BX169)))</f>
        <v/>
      </c>
      <c r="CC169" s="152">
        <f>BZ169-CA169-CB169</f>
        <v/>
      </c>
      <c r="CD169" s="152">
        <f>IF(CG168&lt;=0.005,0,CG168*(1+CD$6))</f>
        <v/>
      </c>
      <c r="CE169" s="152">
        <f>MIN(CD169,CD$7)</f>
        <v/>
      </c>
      <c r="CF169" s="152">
        <f>MAX(0,MIN(CD169-CE169,CL169-(AZ169+BD169+BH169+BL169+BP169+BT169+BX169+CB169)))</f>
        <v/>
      </c>
      <c r="CG169" s="152">
        <f>CD169-CE169-CF169</f>
        <v/>
      </c>
      <c r="CH169" s="152">
        <f>IF(CK168&lt;=0.005,0,CK168*(1+CH$6))</f>
        <v/>
      </c>
      <c r="CI169" s="152">
        <f>MIN(CH169,CH$7)</f>
        <v/>
      </c>
      <c r="CJ169" s="152">
        <f>MAX(0,MIN(CH169-CI169,CL169-(AZ169+BD169+BH169+BL169+BP169+BT169+BX169+CB169+CF169)))</f>
        <v/>
      </c>
      <c r="CK169" s="152">
        <f>CH169-CI169-CJ169</f>
        <v/>
      </c>
      <c r="CL169" s="152">
        <f>'Debt Payoff'!$C$8-SUM(AY169,BC169,BG169,BK169,BO169,BS169,BW169,CA169,CE169,CI169)</f>
        <v/>
      </c>
      <c r="CM169" s="152">
        <f>SUM(AY169,BC169,BG169,BK169,BO169,BS169,BW169,CA169,CE169,CI169)+SUM(AZ169,BD169,BH169,BL169,BP169,BT169,BX169,CB169,CF169,CJ169)</f>
        <v/>
      </c>
      <c r="CN169" s="152">
        <f>SUM(BA169,BE169,BI169,BM169,BQ169,BU169,BY169,CC169,CG169,CK169)</f>
        <v/>
      </c>
      <c r="CO169" s="152">
        <f>IF(AW169&gt;CN$6,NA(),AW169)</f>
        <v/>
      </c>
      <c r="CP169" s="152">
        <f>IF(AW169&gt;CN$6,NA(),CN169)</f>
        <v/>
      </c>
    </row>
    <row r="170">
      <c r="B170" s="152" t="n">
        <v>159</v>
      </c>
      <c r="C170" s="152">
        <f>IF(F169&lt;=0.005,0,F169*(1+C$6))</f>
        <v/>
      </c>
      <c r="D170" s="152">
        <f>MIN(C170,C$7)</f>
        <v/>
      </c>
      <c r="E170" s="152">
        <f>MAX(0,MIN(C170-D170,AQ170))</f>
        <v/>
      </c>
      <c r="F170" s="152">
        <f>C170-D170-E170</f>
        <v/>
      </c>
      <c r="G170" s="152">
        <f>IF(J169&lt;=0.005,0,J169*(1+G$6))</f>
        <v/>
      </c>
      <c r="H170" s="152">
        <f>MIN(G170,G$7)</f>
        <v/>
      </c>
      <c r="I170" s="152">
        <f>MAX(0,MIN(G170-H170,AQ170-(E170)))</f>
        <v/>
      </c>
      <c r="J170" s="152">
        <f>G170-H170-I170</f>
        <v/>
      </c>
      <c r="K170" s="152">
        <f>IF(N169&lt;=0.005,0,N169*(1+K$6))</f>
        <v/>
      </c>
      <c r="L170" s="152">
        <f>MIN(K170,K$7)</f>
        <v/>
      </c>
      <c r="M170" s="152">
        <f>MAX(0,MIN(K170-L170,AQ170-(E170+I170)))</f>
        <v/>
      </c>
      <c r="N170" s="152">
        <f>K170-L170-M170</f>
        <v/>
      </c>
      <c r="O170" s="152">
        <f>IF(R169&lt;=0.005,0,R169*(1+O$6))</f>
        <v/>
      </c>
      <c r="P170" s="152">
        <f>MIN(O170,O$7)</f>
        <v/>
      </c>
      <c r="Q170" s="152">
        <f>MAX(0,MIN(O170-P170,AQ170-(E170+I170+M170)))</f>
        <v/>
      </c>
      <c r="R170" s="152">
        <f>O170-P170-Q170</f>
        <v/>
      </c>
      <c r="S170" s="152">
        <f>IF(V169&lt;=0.005,0,V169*(1+S$6))</f>
        <v/>
      </c>
      <c r="T170" s="152">
        <f>MIN(S170,S$7)</f>
        <v/>
      </c>
      <c r="U170" s="152">
        <f>MAX(0,MIN(S170-T170,AQ170-(E170+I170+M170+Q170)))</f>
        <v/>
      </c>
      <c r="V170" s="152">
        <f>S170-T170-U170</f>
        <v/>
      </c>
      <c r="W170" s="152">
        <f>IF(Z169&lt;=0.005,0,Z169*(1+W$6))</f>
        <v/>
      </c>
      <c r="X170" s="152">
        <f>MIN(W170,W$7)</f>
        <v/>
      </c>
      <c r="Y170" s="152">
        <f>MAX(0,MIN(W170-X170,AQ170-(E170+I170+M170+Q170+U170)))</f>
        <v/>
      </c>
      <c r="Z170" s="152">
        <f>W170-X170-Y170</f>
        <v/>
      </c>
      <c r="AA170" s="152">
        <f>IF(AD169&lt;=0.005,0,AD169*(1+AA$6))</f>
        <v/>
      </c>
      <c r="AB170" s="152">
        <f>MIN(AA170,AA$7)</f>
        <v/>
      </c>
      <c r="AC170" s="152">
        <f>MAX(0,MIN(AA170-AB170,AQ170-(E170+I170+M170+Q170+U170+Y170)))</f>
        <v/>
      </c>
      <c r="AD170" s="152">
        <f>AA170-AB170-AC170</f>
        <v/>
      </c>
      <c r="AE170" s="152">
        <f>IF(AH169&lt;=0.005,0,AH169*(1+AE$6))</f>
        <v/>
      </c>
      <c r="AF170" s="152">
        <f>MIN(AE170,AE$7)</f>
        <v/>
      </c>
      <c r="AG170" s="152">
        <f>MAX(0,MIN(AE170-AF170,AQ170-(E170+I170+M170+Q170+U170+Y170+AC170)))</f>
        <v/>
      </c>
      <c r="AH170" s="152">
        <f>AE170-AF170-AG170</f>
        <v/>
      </c>
      <c r="AI170" s="152">
        <f>IF(AL169&lt;=0.005,0,AL169*(1+AI$6))</f>
        <v/>
      </c>
      <c r="AJ170" s="152">
        <f>MIN(AI170,AI$7)</f>
        <v/>
      </c>
      <c r="AK170" s="152">
        <f>MAX(0,MIN(AI170-AJ170,AQ170-(E170+I170+M170+Q170+U170+Y170+AC170+AG170)))</f>
        <v/>
      </c>
      <c r="AL170" s="152">
        <f>AI170-AJ170-AK170</f>
        <v/>
      </c>
      <c r="AM170" s="152">
        <f>IF(AP169&lt;=0.005,0,AP169*(1+AM$6))</f>
        <v/>
      </c>
      <c r="AN170" s="152">
        <f>MIN(AM170,AM$7)</f>
        <v/>
      </c>
      <c r="AO170" s="152">
        <f>MAX(0,MIN(AM170-AN170,AQ170-(E170+I170+M170+Q170+U170+Y170+AC170+AG170+AK170)))</f>
        <v/>
      </c>
      <c r="AP170" s="152">
        <f>AM170-AN170-AO170</f>
        <v/>
      </c>
      <c r="AQ170" s="152">
        <f>'Debt Payoff'!$C$8-SUM(D170,H170,L170,P170,T170,X170,AB170,AF170,AJ170,AN170)</f>
        <v/>
      </c>
      <c r="AR170" s="152">
        <f>SUM(D170,H170,L170,P170,T170,X170,AB170,AF170,AJ170,AN170)+SUM(E170,I170,M170,Q170,U170,Y170,AC170,AG170,AK170,AO170)</f>
        <v/>
      </c>
      <c r="AS170" s="152">
        <f>SUM(F170,J170,N170,R170,V170,Z170,AD170,AH170,AL170,AP170)</f>
        <v/>
      </c>
      <c r="AT170" s="152">
        <f>IF(B170&gt;AS$6,NA(),B170)</f>
        <v/>
      </c>
      <c r="AU170" s="152">
        <f>IF(B170&gt;AS$6,NA(),AS170)</f>
        <v/>
      </c>
      <c r="AV170" s="152" t="n"/>
      <c r="AW170" s="152" t="n">
        <v>159</v>
      </c>
      <c r="AX170" s="152">
        <f>IF(BA169&lt;=0.005,0,BA169*(1+AX$6))</f>
        <v/>
      </c>
      <c r="AY170" s="152">
        <f>MIN(AX170,AX$7)</f>
        <v/>
      </c>
      <c r="AZ170" s="152">
        <f>MAX(0,MIN(AX170-AY170,CL170))</f>
        <v/>
      </c>
      <c r="BA170" s="152">
        <f>AX170-AY170-AZ170</f>
        <v/>
      </c>
      <c r="BB170" s="152">
        <f>IF(BE169&lt;=0.005,0,BE169*(1+BB$6))</f>
        <v/>
      </c>
      <c r="BC170" s="152">
        <f>MIN(BB170,BB$7)</f>
        <v/>
      </c>
      <c r="BD170" s="152">
        <f>MAX(0,MIN(BB170-BC170,CL170-(AZ170)))</f>
        <v/>
      </c>
      <c r="BE170" s="152">
        <f>BB170-BC170-BD170</f>
        <v/>
      </c>
      <c r="BF170" s="152">
        <f>IF(BI169&lt;=0.005,0,BI169*(1+BF$6))</f>
        <v/>
      </c>
      <c r="BG170" s="152">
        <f>MIN(BF170,BF$7)</f>
        <v/>
      </c>
      <c r="BH170" s="152">
        <f>MAX(0,MIN(BF170-BG170,CL170-(AZ170+BD170)))</f>
        <v/>
      </c>
      <c r="BI170" s="152">
        <f>BF170-BG170-BH170</f>
        <v/>
      </c>
      <c r="BJ170" s="152">
        <f>IF(BM169&lt;=0.005,0,BM169*(1+BJ$6))</f>
        <v/>
      </c>
      <c r="BK170" s="152">
        <f>MIN(BJ170,BJ$7)</f>
        <v/>
      </c>
      <c r="BL170" s="152">
        <f>MAX(0,MIN(BJ170-BK170,CL170-(AZ170+BD170+BH170)))</f>
        <v/>
      </c>
      <c r="BM170" s="152">
        <f>BJ170-BK170-BL170</f>
        <v/>
      </c>
      <c r="BN170" s="152">
        <f>IF(BQ169&lt;=0.005,0,BQ169*(1+BN$6))</f>
        <v/>
      </c>
      <c r="BO170" s="152">
        <f>MIN(BN170,BN$7)</f>
        <v/>
      </c>
      <c r="BP170" s="152">
        <f>MAX(0,MIN(BN170-BO170,CL170-(AZ170+BD170+BH170+BL170)))</f>
        <v/>
      </c>
      <c r="BQ170" s="152">
        <f>BN170-BO170-BP170</f>
        <v/>
      </c>
      <c r="BR170" s="152">
        <f>IF(BU169&lt;=0.005,0,BU169*(1+BR$6))</f>
        <v/>
      </c>
      <c r="BS170" s="152">
        <f>MIN(BR170,BR$7)</f>
        <v/>
      </c>
      <c r="BT170" s="152">
        <f>MAX(0,MIN(BR170-BS170,CL170-(AZ170+BD170+BH170+BL170+BP170)))</f>
        <v/>
      </c>
      <c r="BU170" s="152">
        <f>BR170-BS170-BT170</f>
        <v/>
      </c>
      <c r="BV170" s="152">
        <f>IF(BY169&lt;=0.005,0,BY169*(1+BV$6))</f>
        <v/>
      </c>
      <c r="BW170" s="152">
        <f>MIN(BV170,BV$7)</f>
        <v/>
      </c>
      <c r="BX170" s="152">
        <f>MAX(0,MIN(BV170-BW170,CL170-(AZ170+BD170+BH170+BL170+BP170+BT170)))</f>
        <v/>
      </c>
      <c r="BY170" s="152">
        <f>BV170-BW170-BX170</f>
        <v/>
      </c>
      <c r="BZ170" s="152">
        <f>IF(CC169&lt;=0.005,0,CC169*(1+BZ$6))</f>
        <v/>
      </c>
      <c r="CA170" s="152">
        <f>MIN(BZ170,BZ$7)</f>
        <v/>
      </c>
      <c r="CB170" s="152">
        <f>MAX(0,MIN(BZ170-CA170,CL170-(AZ170+BD170+BH170+BL170+BP170+BT170+BX170)))</f>
        <v/>
      </c>
      <c r="CC170" s="152">
        <f>BZ170-CA170-CB170</f>
        <v/>
      </c>
      <c r="CD170" s="152">
        <f>IF(CG169&lt;=0.005,0,CG169*(1+CD$6))</f>
        <v/>
      </c>
      <c r="CE170" s="152">
        <f>MIN(CD170,CD$7)</f>
        <v/>
      </c>
      <c r="CF170" s="152">
        <f>MAX(0,MIN(CD170-CE170,CL170-(AZ170+BD170+BH170+BL170+BP170+BT170+BX170+CB170)))</f>
        <v/>
      </c>
      <c r="CG170" s="152">
        <f>CD170-CE170-CF170</f>
        <v/>
      </c>
      <c r="CH170" s="152">
        <f>IF(CK169&lt;=0.005,0,CK169*(1+CH$6))</f>
        <v/>
      </c>
      <c r="CI170" s="152">
        <f>MIN(CH170,CH$7)</f>
        <v/>
      </c>
      <c r="CJ170" s="152">
        <f>MAX(0,MIN(CH170-CI170,CL170-(AZ170+BD170+BH170+BL170+BP170+BT170+BX170+CB170+CF170)))</f>
        <v/>
      </c>
      <c r="CK170" s="152">
        <f>CH170-CI170-CJ170</f>
        <v/>
      </c>
      <c r="CL170" s="152">
        <f>'Debt Payoff'!$C$8-SUM(AY170,BC170,BG170,BK170,BO170,BS170,BW170,CA170,CE170,CI170)</f>
        <v/>
      </c>
      <c r="CM170" s="152">
        <f>SUM(AY170,BC170,BG170,BK170,BO170,BS170,BW170,CA170,CE170,CI170)+SUM(AZ170,BD170,BH170,BL170,BP170,BT170,BX170,CB170,CF170,CJ170)</f>
        <v/>
      </c>
      <c r="CN170" s="152">
        <f>SUM(BA170,BE170,BI170,BM170,BQ170,BU170,BY170,CC170,CG170,CK170)</f>
        <v/>
      </c>
      <c r="CO170" s="152">
        <f>IF(AW170&gt;CN$6,NA(),AW170)</f>
        <v/>
      </c>
      <c r="CP170" s="152">
        <f>IF(AW170&gt;CN$6,NA(),CN170)</f>
        <v/>
      </c>
    </row>
    <row r="171">
      <c r="B171" s="152" t="n">
        <v>160</v>
      </c>
      <c r="C171" s="152">
        <f>IF(F170&lt;=0.005,0,F170*(1+C$6))</f>
        <v/>
      </c>
      <c r="D171" s="152">
        <f>MIN(C171,C$7)</f>
        <v/>
      </c>
      <c r="E171" s="152">
        <f>MAX(0,MIN(C171-D171,AQ171))</f>
        <v/>
      </c>
      <c r="F171" s="152">
        <f>C171-D171-E171</f>
        <v/>
      </c>
      <c r="G171" s="152">
        <f>IF(J170&lt;=0.005,0,J170*(1+G$6))</f>
        <v/>
      </c>
      <c r="H171" s="152">
        <f>MIN(G171,G$7)</f>
        <v/>
      </c>
      <c r="I171" s="152">
        <f>MAX(0,MIN(G171-H171,AQ171-(E171)))</f>
        <v/>
      </c>
      <c r="J171" s="152">
        <f>G171-H171-I171</f>
        <v/>
      </c>
      <c r="K171" s="152">
        <f>IF(N170&lt;=0.005,0,N170*(1+K$6))</f>
        <v/>
      </c>
      <c r="L171" s="152">
        <f>MIN(K171,K$7)</f>
        <v/>
      </c>
      <c r="M171" s="152">
        <f>MAX(0,MIN(K171-L171,AQ171-(E171+I171)))</f>
        <v/>
      </c>
      <c r="N171" s="152">
        <f>K171-L171-M171</f>
        <v/>
      </c>
      <c r="O171" s="152">
        <f>IF(R170&lt;=0.005,0,R170*(1+O$6))</f>
        <v/>
      </c>
      <c r="P171" s="152">
        <f>MIN(O171,O$7)</f>
        <v/>
      </c>
      <c r="Q171" s="152">
        <f>MAX(0,MIN(O171-P171,AQ171-(E171+I171+M171)))</f>
        <v/>
      </c>
      <c r="R171" s="152">
        <f>O171-P171-Q171</f>
        <v/>
      </c>
      <c r="S171" s="152">
        <f>IF(V170&lt;=0.005,0,V170*(1+S$6))</f>
        <v/>
      </c>
      <c r="T171" s="152">
        <f>MIN(S171,S$7)</f>
        <v/>
      </c>
      <c r="U171" s="152">
        <f>MAX(0,MIN(S171-T171,AQ171-(E171+I171+M171+Q171)))</f>
        <v/>
      </c>
      <c r="V171" s="152">
        <f>S171-T171-U171</f>
        <v/>
      </c>
      <c r="W171" s="152">
        <f>IF(Z170&lt;=0.005,0,Z170*(1+W$6))</f>
        <v/>
      </c>
      <c r="X171" s="152">
        <f>MIN(W171,W$7)</f>
        <v/>
      </c>
      <c r="Y171" s="152">
        <f>MAX(0,MIN(W171-X171,AQ171-(E171+I171+M171+Q171+U171)))</f>
        <v/>
      </c>
      <c r="Z171" s="152">
        <f>W171-X171-Y171</f>
        <v/>
      </c>
      <c r="AA171" s="152">
        <f>IF(AD170&lt;=0.005,0,AD170*(1+AA$6))</f>
        <v/>
      </c>
      <c r="AB171" s="152">
        <f>MIN(AA171,AA$7)</f>
        <v/>
      </c>
      <c r="AC171" s="152">
        <f>MAX(0,MIN(AA171-AB171,AQ171-(E171+I171+M171+Q171+U171+Y171)))</f>
        <v/>
      </c>
      <c r="AD171" s="152">
        <f>AA171-AB171-AC171</f>
        <v/>
      </c>
      <c r="AE171" s="152">
        <f>IF(AH170&lt;=0.005,0,AH170*(1+AE$6))</f>
        <v/>
      </c>
      <c r="AF171" s="152">
        <f>MIN(AE171,AE$7)</f>
        <v/>
      </c>
      <c r="AG171" s="152">
        <f>MAX(0,MIN(AE171-AF171,AQ171-(E171+I171+M171+Q171+U171+Y171+AC171)))</f>
        <v/>
      </c>
      <c r="AH171" s="152">
        <f>AE171-AF171-AG171</f>
        <v/>
      </c>
      <c r="AI171" s="152">
        <f>IF(AL170&lt;=0.005,0,AL170*(1+AI$6))</f>
        <v/>
      </c>
      <c r="AJ171" s="152">
        <f>MIN(AI171,AI$7)</f>
        <v/>
      </c>
      <c r="AK171" s="152">
        <f>MAX(0,MIN(AI171-AJ171,AQ171-(E171+I171+M171+Q171+U171+Y171+AC171+AG171)))</f>
        <v/>
      </c>
      <c r="AL171" s="152">
        <f>AI171-AJ171-AK171</f>
        <v/>
      </c>
      <c r="AM171" s="152">
        <f>IF(AP170&lt;=0.005,0,AP170*(1+AM$6))</f>
        <v/>
      </c>
      <c r="AN171" s="152">
        <f>MIN(AM171,AM$7)</f>
        <v/>
      </c>
      <c r="AO171" s="152">
        <f>MAX(0,MIN(AM171-AN171,AQ171-(E171+I171+M171+Q171+U171+Y171+AC171+AG171+AK171)))</f>
        <v/>
      </c>
      <c r="AP171" s="152">
        <f>AM171-AN171-AO171</f>
        <v/>
      </c>
      <c r="AQ171" s="152">
        <f>'Debt Payoff'!$C$8-SUM(D171,H171,L171,P171,T171,X171,AB171,AF171,AJ171,AN171)</f>
        <v/>
      </c>
      <c r="AR171" s="152">
        <f>SUM(D171,H171,L171,P171,T171,X171,AB171,AF171,AJ171,AN171)+SUM(E171,I171,M171,Q171,U171,Y171,AC171,AG171,AK171,AO171)</f>
        <v/>
      </c>
      <c r="AS171" s="152">
        <f>SUM(F171,J171,N171,R171,V171,Z171,AD171,AH171,AL171,AP171)</f>
        <v/>
      </c>
      <c r="AT171" s="152">
        <f>IF(B171&gt;AS$6,NA(),B171)</f>
        <v/>
      </c>
      <c r="AU171" s="152">
        <f>IF(B171&gt;AS$6,NA(),AS171)</f>
        <v/>
      </c>
      <c r="AV171" s="152" t="n"/>
      <c r="AW171" s="152" t="n">
        <v>160</v>
      </c>
      <c r="AX171" s="152">
        <f>IF(BA170&lt;=0.005,0,BA170*(1+AX$6))</f>
        <v/>
      </c>
      <c r="AY171" s="152">
        <f>MIN(AX171,AX$7)</f>
        <v/>
      </c>
      <c r="AZ171" s="152">
        <f>MAX(0,MIN(AX171-AY171,CL171))</f>
        <v/>
      </c>
      <c r="BA171" s="152">
        <f>AX171-AY171-AZ171</f>
        <v/>
      </c>
      <c r="BB171" s="152">
        <f>IF(BE170&lt;=0.005,0,BE170*(1+BB$6))</f>
        <v/>
      </c>
      <c r="BC171" s="152">
        <f>MIN(BB171,BB$7)</f>
        <v/>
      </c>
      <c r="BD171" s="152">
        <f>MAX(0,MIN(BB171-BC171,CL171-(AZ171)))</f>
        <v/>
      </c>
      <c r="BE171" s="152">
        <f>BB171-BC171-BD171</f>
        <v/>
      </c>
      <c r="BF171" s="152">
        <f>IF(BI170&lt;=0.005,0,BI170*(1+BF$6))</f>
        <v/>
      </c>
      <c r="BG171" s="152">
        <f>MIN(BF171,BF$7)</f>
        <v/>
      </c>
      <c r="BH171" s="152">
        <f>MAX(0,MIN(BF171-BG171,CL171-(AZ171+BD171)))</f>
        <v/>
      </c>
      <c r="BI171" s="152">
        <f>BF171-BG171-BH171</f>
        <v/>
      </c>
      <c r="BJ171" s="152">
        <f>IF(BM170&lt;=0.005,0,BM170*(1+BJ$6))</f>
        <v/>
      </c>
      <c r="BK171" s="152">
        <f>MIN(BJ171,BJ$7)</f>
        <v/>
      </c>
      <c r="BL171" s="152">
        <f>MAX(0,MIN(BJ171-BK171,CL171-(AZ171+BD171+BH171)))</f>
        <v/>
      </c>
      <c r="BM171" s="152">
        <f>BJ171-BK171-BL171</f>
        <v/>
      </c>
      <c r="BN171" s="152">
        <f>IF(BQ170&lt;=0.005,0,BQ170*(1+BN$6))</f>
        <v/>
      </c>
      <c r="BO171" s="152">
        <f>MIN(BN171,BN$7)</f>
        <v/>
      </c>
      <c r="BP171" s="152">
        <f>MAX(0,MIN(BN171-BO171,CL171-(AZ171+BD171+BH171+BL171)))</f>
        <v/>
      </c>
      <c r="BQ171" s="152">
        <f>BN171-BO171-BP171</f>
        <v/>
      </c>
      <c r="BR171" s="152">
        <f>IF(BU170&lt;=0.005,0,BU170*(1+BR$6))</f>
        <v/>
      </c>
      <c r="BS171" s="152">
        <f>MIN(BR171,BR$7)</f>
        <v/>
      </c>
      <c r="BT171" s="152">
        <f>MAX(0,MIN(BR171-BS171,CL171-(AZ171+BD171+BH171+BL171+BP171)))</f>
        <v/>
      </c>
      <c r="BU171" s="152">
        <f>BR171-BS171-BT171</f>
        <v/>
      </c>
      <c r="BV171" s="152">
        <f>IF(BY170&lt;=0.005,0,BY170*(1+BV$6))</f>
        <v/>
      </c>
      <c r="BW171" s="152">
        <f>MIN(BV171,BV$7)</f>
        <v/>
      </c>
      <c r="BX171" s="152">
        <f>MAX(0,MIN(BV171-BW171,CL171-(AZ171+BD171+BH171+BL171+BP171+BT171)))</f>
        <v/>
      </c>
      <c r="BY171" s="152">
        <f>BV171-BW171-BX171</f>
        <v/>
      </c>
      <c r="BZ171" s="152">
        <f>IF(CC170&lt;=0.005,0,CC170*(1+BZ$6))</f>
        <v/>
      </c>
      <c r="CA171" s="152">
        <f>MIN(BZ171,BZ$7)</f>
        <v/>
      </c>
      <c r="CB171" s="152">
        <f>MAX(0,MIN(BZ171-CA171,CL171-(AZ171+BD171+BH171+BL171+BP171+BT171+BX171)))</f>
        <v/>
      </c>
      <c r="CC171" s="152">
        <f>BZ171-CA171-CB171</f>
        <v/>
      </c>
      <c r="CD171" s="152">
        <f>IF(CG170&lt;=0.005,0,CG170*(1+CD$6))</f>
        <v/>
      </c>
      <c r="CE171" s="152">
        <f>MIN(CD171,CD$7)</f>
        <v/>
      </c>
      <c r="CF171" s="152">
        <f>MAX(0,MIN(CD171-CE171,CL171-(AZ171+BD171+BH171+BL171+BP171+BT171+BX171+CB171)))</f>
        <v/>
      </c>
      <c r="CG171" s="152">
        <f>CD171-CE171-CF171</f>
        <v/>
      </c>
      <c r="CH171" s="152">
        <f>IF(CK170&lt;=0.005,0,CK170*(1+CH$6))</f>
        <v/>
      </c>
      <c r="CI171" s="152">
        <f>MIN(CH171,CH$7)</f>
        <v/>
      </c>
      <c r="CJ171" s="152">
        <f>MAX(0,MIN(CH171-CI171,CL171-(AZ171+BD171+BH171+BL171+BP171+BT171+BX171+CB171+CF171)))</f>
        <v/>
      </c>
      <c r="CK171" s="152">
        <f>CH171-CI171-CJ171</f>
        <v/>
      </c>
      <c r="CL171" s="152">
        <f>'Debt Payoff'!$C$8-SUM(AY171,BC171,BG171,BK171,BO171,BS171,BW171,CA171,CE171,CI171)</f>
        <v/>
      </c>
      <c r="CM171" s="152">
        <f>SUM(AY171,BC171,BG171,BK171,BO171,BS171,BW171,CA171,CE171,CI171)+SUM(AZ171,BD171,BH171,BL171,BP171,BT171,BX171,CB171,CF171,CJ171)</f>
        <v/>
      </c>
      <c r="CN171" s="152">
        <f>SUM(BA171,BE171,BI171,BM171,BQ171,BU171,BY171,CC171,CG171,CK171)</f>
        <v/>
      </c>
      <c r="CO171" s="152">
        <f>IF(AW171&gt;CN$6,NA(),AW171)</f>
        <v/>
      </c>
      <c r="CP171" s="152">
        <f>IF(AW171&gt;CN$6,NA(),CN171)</f>
        <v/>
      </c>
    </row>
    <row r="172">
      <c r="B172" s="152" t="n">
        <v>161</v>
      </c>
      <c r="C172" s="152">
        <f>IF(F171&lt;=0.005,0,F171*(1+C$6))</f>
        <v/>
      </c>
      <c r="D172" s="152">
        <f>MIN(C172,C$7)</f>
        <v/>
      </c>
      <c r="E172" s="152">
        <f>MAX(0,MIN(C172-D172,AQ172))</f>
        <v/>
      </c>
      <c r="F172" s="152">
        <f>C172-D172-E172</f>
        <v/>
      </c>
      <c r="G172" s="152">
        <f>IF(J171&lt;=0.005,0,J171*(1+G$6))</f>
        <v/>
      </c>
      <c r="H172" s="152">
        <f>MIN(G172,G$7)</f>
        <v/>
      </c>
      <c r="I172" s="152">
        <f>MAX(0,MIN(G172-H172,AQ172-(E172)))</f>
        <v/>
      </c>
      <c r="J172" s="152">
        <f>G172-H172-I172</f>
        <v/>
      </c>
      <c r="K172" s="152">
        <f>IF(N171&lt;=0.005,0,N171*(1+K$6))</f>
        <v/>
      </c>
      <c r="L172" s="152">
        <f>MIN(K172,K$7)</f>
        <v/>
      </c>
      <c r="M172" s="152">
        <f>MAX(0,MIN(K172-L172,AQ172-(E172+I172)))</f>
        <v/>
      </c>
      <c r="N172" s="152">
        <f>K172-L172-M172</f>
        <v/>
      </c>
      <c r="O172" s="152">
        <f>IF(R171&lt;=0.005,0,R171*(1+O$6))</f>
        <v/>
      </c>
      <c r="P172" s="152">
        <f>MIN(O172,O$7)</f>
        <v/>
      </c>
      <c r="Q172" s="152">
        <f>MAX(0,MIN(O172-P172,AQ172-(E172+I172+M172)))</f>
        <v/>
      </c>
      <c r="R172" s="152">
        <f>O172-P172-Q172</f>
        <v/>
      </c>
      <c r="S172" s="152">
        <f>IF(V171&lt;=0.005,0,V171*(1+S$6))</f>
        <v/>
      </c>
      <c r="T172" s="152">
        <f>MIN(S172,S$7)</f>
        <v/>
      </c>
      <c r="U172" s="152">
        <f>MAX(0,MIN(S172-T172,AQ172-(E172+I172+M172+Q172)))</f>
        <v/>
      </c>
      <c r="V172" s="152">
        <f>S172-T172-U172</f>
        <v/>
      </c>
      <c r="W172" s="152">
        <f>IF(Z171&lt;=0.005,0,Z171*(1+W$6))</f>
        <v/>
      </c>
      <c r="X172" s="152">
        <f>MIN(W172,W$7)</f>
        <v/>
      </c>
      <c r="Y172" s="152">
        <f>MAX(0,MIN(W172-X172,AQ172-(E172+I172+M172+Q172+U172)))</f>
        <v/>
      </c>
      <c r="Z172" s="152">
        <f>W172-X172-Y172</f>
        <v/>
      </c>
      <c r="AA172" s="152">
        <f>IF(AD171&lt;=0.005,0,AD171*(1+AA$6))</f>
        <v/>
      </c>
      <c r="AB172" s="152">
        <f>MIN(AA172,AA$7)</f>
        <v/>
      </c>
      <c r="AC172" s="152">
        <f>MAX(0,MIN(AA172-AB172,AQ172-(E172+I172+M172+Q172+U172+Y172)))</f>
        <v/>
      </c>
      <c r="AD172" s="152">
        <f>AA172-AB172-AC172</f>
        <v/>
      </c>
      <c r="AE172" s="152">
        <f>IF(AH171&lt;=0.005,0,AH171*(1+AE$6))</f>
        <v/>
      </c>
      <c r="AF172" s="152">
        <f>MIN(AE172,AE$7)</f>
        <v/>
      </c>
      <c r="AG172" s="152">
        <f>MAX(0,MIN(AE172-AF172,AQ172-(E172+I172+M172+Q172+U172+Y172+AC172)))</f>
        <v/>
      </c>
      <c r="AH172" s="152">
        <f>AE172-AF172-AG172</f>
        <v/>
      </c>
      <c r="AI172" s="152">
        <f>IF(AL171&lt;=0.005,0,AL171*(1+AI$6))</f>
        <v/>
      </c>
      <c r="AJ172" s="152">
        <f>MIN(AI172,AI$7)</f>
        <v/>
      </c>
      <c r="AK172" s="152">
        <f>MAX(0,MIN(AI172-AJ172,AQ172-(E172+I172+M172+Q172+U172+Y172+AC172+AG172)))</f>
        <v/>
      </c>
      <c r="AL172" s="152">
        <f>AI172-AJ172-AK172</f>
        <v/>
      </c>
      <c r="AM172" s="152">
        <f>IF(AP171&lt;=0.005,0,AP171*(1+AM$6))</f>
        <v/>
      </c>
      <c r="AN172" s="152">
        <f>MIN(AM172,AM$7)</f>
        <v/>
      </c>
      <c r="AO172" s="152">
        <f>MAX(0,MIN(AM172-AN172,AQ172-(E172+I172+M172+Q172+U172+Y172+AC172+AG172+AK172)))</f>
        <v/>
      </c>
      <c r="AP172" s="152">
        <f>AM172-AN172-AO172</f>
        <v/>
      </c>
      <c r="AQ172" s="152">
        <f>'Debt Payoff'!$C$8-SUM(D172,H172,L172,P172,T172,X172,AB172,AF172,AJ172,AN172)</f>
        <v/>
      </c>
      <c r="AR172" s="152">
        <f>SUM(D172,H172,L172,P172,T172,X172,AB172,AF172,AJ172,AN172)+SUM(E172,I172,M172,Q172,U172,Y172,AC172,AG172,AK172,AO172)</f>
        <v/>
      </c>
      <c r="AS172" s="152">
        <f>SUM(F172,J172,N172,R172,V172,Z172,AD172,AH172,AL172,AP172)</f>
        <v/>
      </c>
      <c r="AT172" s="152">
        <f>IF(B172&gt;AS$6,NA(),B172)</f>
        <v/>
      </c>
      <c r="AU172" s="152">
        <f>IF(B172&gt;AS$6,NA(),AS172)</f>
        <v/>
      </c>
      <c r="AV172" s="152" t="n"/>
      <c r="AW172" s="152" t="n">
        <v>161</v>
      </c>
      <c r="AX172" s="152">
        <f>IF(BA171&lt;=0.005,0,BA171*(1+AX$6))</f>
        <v/>
      </c>
      <c r="AY172" s="152">
        <f>MIN(AX172,AX$7)</f>
        <v/>
      </c>
      <c r="AZ172" s="152">
        <f>MAX(0,MIN(AX172-AY172,CL172))</f>
        <v/>
      </c>
      <c r="BA172" s="152">
        <f>AX172-AY172-AZ172</f>
        <v/>
      </c>
      <c r="BB172" s="152">
        <f>IF(BE171&lt;=0.005,0,BE171*(1+BB$6))</f>
        <v/>
      </c>
      <c r="BC172" s="152">
        <f>MIN(BB172,BB$7)</f>
        <v/>
      </c>
      <c r="BD172" s="152">
        <f>MAX(0,MIN(BB172-BC172,CL172-(AZ172)))</f>
        <v/>
      </c>
      <c r="BE172" s="152">
        <f>BB172-BC172-BD172</f>
        <v/>
      </c>
      <c r="BF172" s="152">
        <f>IF(BI171&lt;=0.005,0,BI171*(1+BF$6))</f>
        <v/>
      </c>
      <c r="BG172" s="152">
        <f>MIN(BF172,BF$7)</f>
        <v/>
      </c>
      <c r="BH172" s="152">
        <f>MAX(0,MIN(BF172-BG172,CL172-(AZ172+BD172)))</f>
        <v/>
      </c>
      <c r="BI172" s="152">
        <f>BF172-BG172-BH172</f>
        <v/>
      </c>
      <c r="BJ172" s="152">
        <f>IF(BM171&lt;=0.005,0,BM171*(1+BJ$6))</f>
        <v/>
      </c>
      <c r="BK172" s="152">
        <f>MIN(BJ172,BJ$7)</f>
        <v/>
      </c>
      <c r="BL172" s="152">
        <f>MAX(0,MIN(BJ172-BK172,CL172-(AZ172+BD172+BH172)))</f>
        <v/>
      </c>
      <c r="BM172" s="152">
        <f>BJ172-BK172-BL172</f>
        <v/>
      </c>
      <c r="BN172" s="152">
        <f>IF(BQ171&lt;=0.005,0,BQ171*(1+BN$6))</f>
        <v/>
      </c>
      <c r="BO172" s="152">
        <f>MIN(BN172,BN$7)</f>
        <v/>
      </c>
      <c r="BP172" s="152">
        <f>MAX(0,MIN(BN172-BO172,CL172-(AZ172+BD172+BH172+BL172)))</f>
        <v/>
      </c>
      <c r="BQ172" s="152">
        <f>BN172-BO172-BP172</f>
        <v/>
      </c>
      <c r="BR172" s="152">
        <f>IF(BU171&lt;=0.005,0,BU171*(1+BR$6))</f>
        <v/>
      </c>
      <c r="BS172" s="152">
        <f>MIN(BR172,BR$7)</f>
        <v/>
      </c>
      <c r="BT172" s="152">
        <f>MAX(0,MIN(BR172-BS172,CL172-(AZ172+BD172+BH172+BL172+BP172)))</f>
        <v/>
      </c>
      <c r="BU172" s="152">
        <f>BR172-BS172-BT172</f>
        <v/>
      </c>
      <c r="BV172" s="152">
        <f>IF(BY171&lt;=0.005,0,BY171*(1+BV$6))</f>
        <v/>
      </c>
      <c r="BW172" s="152">
        <f>MIN(BV172,BV$7)</f>
        <v/>
      </c>
      <c r="BX172" s="152">
        <f>MAX(0,MIN(BV172-BW172,CL172-(AZ172+BD172+BH172+BL172+BP172+BT172)))</f>
        <v/>
      </c>
      <c r="BY172" s="152">
        <f>BV172-BW172-BX172</f>
        <v/>
      </c>
      <c r="BZ172" s="152">
        <f>IF(CC171&lt;=0.005,0,CC171*(1+BZ$6))</f>
        <v/>
      </c>
      <c r="CA172" s="152">
        <f>MIN(BZ172,BZ$7)</f>
        <v/>
      </c>
      <c r="CB172" s="152">
        <f>MAX(0,MIN(BZ172-CA172,CL172-(AZ172+BD172+BH172+BL172+BP172+BT172+BX172)))</f>
        <v/>
      </c>
      <c r="CC172" s="152">
        <f>BZ172-CA172-CB172</f>
        <v/>
      </c>
      <c r="CD172" s="152">
        <f>IF(CG171&lt;=0.005,0,CG171*(1+CD$6))</f>
        <v/>
      </c>
      <c r="CE172" s="152">
        <f>MIN(CD172,CD$7)</f>
        <v/>
      </c>
      <c r="CF172" s="152">
        <f>MAX(0,MIN(CD172-CE172,CL172-(AZ172+BD172+BH172+BL172+BP172+BT172+BX172+CB172)))</f>
        <v/>
      </c>
      <c r="CG172" s="152">
        <f>CD172-CE172-CF172</f>
        <v/>
      </c>
      <c r="CH172" s="152">
        <f>IF(CK171&lt;=0.005,0,CK171*(1+CH$6))</f>
        <v/>
      </c>
      <c r="CI172" s="152">
        <f>MIN(CH172,CH$7)</f>
        <v/>
      </c>
      <c r="CJ172" s="152">
        <f>MAX(0,MIN(CH172-CI172,CL172-(AZ172+BD172+BH172+BL172+BP172+BT172+BX172+CB172+CF172)))</f>
        <v/>
      </c>
      <c r="CK172" s="152">
        <f>CH172-CI172-CJ172</f>
        <v/>
      </c>
      <c r="CL172" s="152">
        <f>'Debt Payoff'!$C$8-SUM(AY172,BC172,BG172,BK172,BO172,BS172,BW172,CA172,CE172,CI172)</f>
        <v/>
      </c>
      <c r="CM172" s="152">
        <f>SUM(AY172,BC172,BG172,BK172,BO172,BS172,BW172,CA172,CE172,CI172)+SUM(AZ172,BD172,BH172,BL172,BP172,BT172,BX172,CB172,CF172,CJ172)</f>
        <v/>
      </c>
      <c r="CN172" s="152">
        <f>SUM(BA172,BE172,BI172,BM172,BQ172,BU172,BY172,CC172,CG172,CK172)</f>
        <v/>
      </c>
      <c r="CO172" s="152">
        <f>IF(AW172&gt;CN$6,NA(),AW172)</f>
        <v/>
      </c>
      <c r="CP172" s="152">
        <f>IF(AW172&gt;CN$6,NA(),CN172)</f>
        <v/>
      </c>
    </row>
    <row r="173">
      <c r="B173" s="152" t="n">
        <v>162</v>
      </c>
      <c r="C173" s="152">
        <f>IF(F172&lt;=0.005,0,F172*(1+C$6))</f>
        <v/>
      </c>
      <c r="D173" s="152">
        <f>MIN(C173,C$7)</f>
        <v/>
      </c>
      <c r="E173" s="152">
        <f>MAX(0,MIN(C173-D173,AQ173))</f>
        <v/>
      </c>
      <c r="F173" s="152">
        <f>C173-D173-E173</f>
        <v/>
      </c>
      <c r="G173" s="152">
        <f>IF(J172&lt;=0.005,0,J172*(1+G$6))</f>
        <v/>
      </c>
      <c r="H173" s="152">
        <f>MIN(G173,G$7)</f>
        <v/>
      </c>
      <c r="I173" s="152">
        <f>MAX(0,MIN(G173-H173,AQ173-(E173)))</f>
        <v/>
      </c>
      <c r="J173" s="152">
        <f>G173-H173-I173</f>
        <v/>
      </c>
      <c r="K173" s="152">
        <f>IF(N172&lt;=0.005,0,N172*(1+K$6))</f>
        <v/>
      </c>
      <c r="L173" s="152">
        <f>MIN(K173,K$7)</f>
        <v/>
      </c>
      <c r="M173" s="152">
        <f>MAX(0,MIN(K173-L173,AQ173-(E173+I173)))</f>
        <v/>
      </c>
      <c r="N173" s="152">
        <f>K173-L173-M173</f>
        <v/>
      </c>
      <c r="O173" s="152">
        <f>IF(R172&lt;=0.005,0,R172*(1+O$6))</f>
        <v/>
      </c>
      <c r="P173" s="152">
        <f>MIN(O173,O$7)</f>
        <v/>
      </c>
      <c r="Q173" s="152">
        <f>MAX(0,MIN(O173-P173,AQ173-(E173+I173+M173)))</f>
        <v/>
      </c>
      <c r="R173" s="152">
        <f>O173-P173-Q173</f>
        <v/>
      </c>
      <c r="S173" s="152">
        <f>IF(V172&lt;=0.005,0,V172*(1+S$6))</f>
        <v/>
      </c>
      <c r="T173" s="152">
        <f>MIN(S173,S$7)</f>
        <v/>
      </c>
      <c r="U173" s="152">
        <f>MAX(0,MIN(S173-T173,AQ173-(E173+I173+M173+Q173)))</f>
        <v/>
      </c>
      <c r="V173" s="152">
        <f>S173-T173-U173</f>
        <v/>
      </c>
      <c r="W173" s="152">
        <f>IF(Z172&lt;=0.005,0,Z172*(1+W$6))</f>
        <v/>
      </c>
      <c r="X173" s="152">
        <f>MIN(W173,W$7)</f>
        <v/>
      </c>
      <c r="Y173" s="152">
        <f>MAX(0,MIN(W173-X173,AQ173-(E173+I173+M173+Q173+U173)))</f>
        <v/>
      </c>
      <c r="Z173" s="152">
        <f>W173-X173-Y173</f>
        <v/>
      </c>
      <c r="AA173" s="152">
        <f>IF(AD172&lt;=0.005,0,AD172*(1+AA$6))</f>
        <v/>
      </c>
      <c r="AB173" s="152">
        <f>MIN(AA173,AA$7)</f>
        <v/>
      </c>
      <c r="AC173" s="152">
        <f>MAX(0,MIN(AA173-AB173,AQ173-(E173+I173+M173+Q173+U173+Y173)))</f>
        <v/>
      </c>
      <c r="AD173" s="152">
        <f>AA173-AB173-AC173</f>
        <v/>
      </c>
      <c r="AE173" s="152">
        <f>IF(AH172&lt;=0.005,0,AH172*(1+AE$6))</f>
        <v/>
      </c>
      <c r="AF173" s="152">
        <f>MIN(AE173,AE$7)</f>
        <v/>
      </c>
      <c r="AG173" s="152">
        <f>MAX(0,MIN(AE173-AF173,AQ173-(E173+I173+M173+Q173+U173+Y173+AC173)))</f>
        <v/>
      </c>
      <c r="AH173" s="152">
        <f>AE173-AF173-AG173</f>
        <v/>
      </c>
      <c r="AI173" s="152">
        <f>IF(AL172&lt;=0.005,0,AL172*(1+AI$6))</f>
        <v/>
      </c>
      <c r="AJ173" s="152">
        <f>MIN(AI173,AI$7)</f>
        <v/>
      </c>
      <c r="AK173" s="152">
        <f>MAX(0,MIN(AI173-AJ173,AQ173-(E173+I173+M173+Q173+U173+Y173+AC173+AG173)))</f>
        <v/>
      </c>
      <c r="AL173" s="152">
        <f>AI173-AJ173-AK173</f>
        <v/>
      </c>
      <c r="AM173" s="152">
        <f>IF(AP172&lt;=0.005,0,AP172*(1+AM$6))</f>
        <v/>
      </c>
      <c r="AN173" s="152">
        <f>MIN(AM173,AM$7)</f>
        <v/>
      </c>
      <c r="AO173" s="152">
        <f>MAX(0,MIN(AM173-AN173,AQ173-(E173+I173+M173+Q173+U173+Y173+AC173+AG173+AK173)))</f>
        <v/>
      </c>
      <c r="AP173" s="152">
        <f>AM173-AN173-AO173</f>
        <v/>
      </c>
      <c r="AQ173" s="152">
        <f>'Debt Payoff'!$C$8-SUM(D173,H173,L173,P173,T173,X173,AB173,AF173,AJ173,AN173)</f>
        <v/>
      </c>
      <c r="AR173" s="152">
        <f>SUM(D173,H173,L173,P173,T173,X173,AB173,AF173,AJ173,AN173)+SUM(E173,I173,M173,Q173,U173,Y173,AC173,AG173,AK173,AO173)</f>
        <v/>
      </c>
      <c r="AS173" s="152">
        <f>SUM(F173,J173,N173,R173,V173,Z173,AD173,AH173,AL173,AP173)</f>
        <v/>
      </c>
      <c r="AT173" s="152">
        <f>IF(B173&gt;AS$6,NA(),B173)</f>
        <v/>
      </c>
      <c r="AU173" s="152">
        <f>IF(B173&gt;AS$6,NA(),AS173)</f>
        <v/>
      </c>
      <c r="AV173" s="152" t="n"/>
      <c r="AW173" s="152" t="n">
        <v>162</v>
      </c>
      <c r="AX173" s="152">
        <f>IF(BA172&lt;=0.005,0,BA172*(1+AX$6))</f>
        <v/>
      </c>
      <c r="AY173" s="152">
        <f>MIN(AX173,AX$7)</f>
        <v/>
      </c>
      <c r="AZ173" s="152">
        <f>MAX(0,MIN(AX173-AY173,CL173))</f>
        <v/>
      </c>
      <c r="BA173" s="152">
        <f>AX173-AY173-AZ173</f>
        <v/>
      </c>
      <c r="BB173" s="152">
        <f>IF(BE172&lt;=0.005,0,BE172*(1+BB$6))</f>
        <v/>
      </c>
      <c r="BC173" s="152">
        <f>MIN(BB173,BB$7)</f>
        <v/>
      </c>
      <c r="BD173" s="152">
        <f>MAX(0,MIN(BB173-BC173,CL173-(AZ173)))</f>
        <v/>
      </c>
      <c r="BE173" s="152">
        <f>BB173-BC173-BD173</f>
        <v/>
      </c>
      <c r="BF173" s="152">
        <f>IF(BI172&lt;=0.005,0,BI172*(1+BF$6))</f>
        <v/>
      </c>
      <c r="BG173" s="152">
        <f>MIN(BF173,BF$7)</f>
        <v/>
      </c>
      <c r="BH173" s="152">
        <f>MAX(0,MIN(BF173-BG173,CL173-(AZ173+BD173)))</f>
        <v/>
      </c>
      <c r="BI173" s="152">
        <f>BF173-BG173-BH173</f>
        <v/>
      </c>
      <c r="BJ173" s="152">
        <f>IF(BM172&lt;=0.005,0,BM172*(1+BJ$6))</f>
        <v/>
      </c>
      <c r="BK173" s="152">
        <f>MIN(BJ173,BJ$7)</f>
        <v/>
      </c>
      <c r="BL173" s="152">
        <f>MAX(0,MIN(BJ173-BK173,CL173-(AZ173+BD173+BH173)))</f>
        <v/>
      </c>
      <c r="BM173" s="152">
        <f>BJ173-BK173-BL173</f>
        <v/>
      </c>
      <c r="BN173" s="152">
        <f>IF(BQ172&lt;=0.005,0,BQ172*(1+BN$6))</f>
        <v/>
      </c>
      <c r="BO173" s="152">
        <f>MIN(BN173,BN$7)</f>
        <v/>
      </c>
      <c r="BP173" s="152">
        <f>MAX(0,MIN(BN173-BO173,CL173-(AZ173+BD173+BH173+BL173)))</f>
        <v/>
      </c>
      <c r="BQ173" s="152">
        <f>BN173-BO173-BP173</f>
        <v/>
      </c>
      <c r="BR173" s="152">
        <f>IF(BU172&lt;=0.005,0,BU172*(1+BR$6))</f>
        <v/>
      </c>
      <c r="BS173" s="152">
        <f>MIN(BR173,BR$7)</f>
        <v/>
      </c>
      <c r="BT173" s="152">
        <f>MAX(0,MIN(BR173-BS173,CL173-(AZ173+BD173+BH173+BL173+BP173)))</f>
        <v/>
      </c>
      <c r="BU173" s="152">
        <f>BR173-BS173-BT173</f>
        <v/>
      </c>
      <c r="BV173" s="152">
        <f>IF(BY172&lt;=0.005,0,BY172*(1+BV$6))</f>
        <v/>
      </c>
      <c r="BW173" s="152">
        <f>MIN(BV173,BV$7)</f>
        <v/>
      </c>
      <c r="BX173" s="152">
        <f>MAX(0,MIN(BV173-BW173,CL173-(AZ173+BD173+BH173+BL173+BP173+BT173)))</f>
        <v/>
      </c>
      <c r="BY173" s="152">
        <f>BV173-BW173-BX173</f>
        <v/>
      </c>
      <c r="BZ173" s="152">
        <f>IF(CC172&lt;=0.005,0,CC172*(1+BZ$6))</f>
        <v/>
      </c>
      <c r="CA173" s="152">
        <f>MIN(BZ173,BZ$7)</f>
        <v/>
      </c>
      <c r="CB173" s="152">
        <f>MAX(0,MIN(BZ173-CA173,CL173-(AZ173+BD173+BH173+BL173+BP173+BT173+BX173)))</f>
        <v/>
      </c>
      <c r="CC173" s="152">
        <f>BZ173-CA173-CB173</f>
        <v/>
      </c>
      <c r="CD173" s="152">
        <f>IF(CG172&lt;=0.005,0,CG172*(1+CD$6))</f>
        <v/>
      </c>
      <c r="CE173" s="152">
        <f>MIN(CD173,CD$7)</f>
        <v/>
      </c>
      <c r="CF173" s="152">
        <f>MAX(0,MIN(CD173-CE173,CL173-(AZ173+BD173+BH173+BL173+BP173+BT173+BX173+CB173)))</f>
        <v/>
      </c>
      <c r="CG173" s="152">
        <f>CD173-CE173-CF173</f>
        <v/>
      </c>
      <c r="CH173" s="152">
        <f>IF(CK172&lt;=0.005,0,CK172*(1+CH$6))</f>
        <v/>
      </c>
      <c r="CI173" s="152">
        <f>MIN(CH173,CH$7)</f>
        <v/>
      </c>
      <c r="CJ173" s="152">
        <f>MAX(0,MIN(CH173-CI173,CL173-(AZ173+BD173+BH173+BL173+BP173+BT173+BX173+CB173+CF173)))</f>
        <v/>
      </c>
      <c r="CK173" s="152">
        <f>CH173-CI173-CJ173</f>
        <v/>
      </c>
      <c r="CL173" s="152">
        <f>'Debt Payoff'!$C$8-SUM(AY173,BC173,BG173,BK173,BO173,BS173,BW173,CA173,CE173,CI173)</f>
        <v/>
      </c>
      <c r="CM173" s="152">
        <f>SUM(AY173,BC173,BG173,BK173,BO173,BS173,BW173,CA173,CE173,CI173)+SUM(AZ173,BD173,BH173,BL173,BP173,BT173,BX173,CB173,CF173,CJ173)</f>
        <v/>
      </c>
      <c r="CN173" s="152">
        <f>SUM(BA173,BE173,BI173,BM173,BQ173,BU173,BY173,CC173,CG173,CK173)</f>
        <v/>
      </c>
      <c r="CO173" s="152">
        <f>IF(AW173&gt;CN$6,NA(),AW173)</f>
        <v/>
      </c>
      <c r="CP173" s="152">
        <f>IF(AW173&gt;CN$6,NA(),CN173)</f>
        <v/>
      </c>
    </row>
    <row r="174">
      <c r="B174" s="152" t="n">
        <v>163</v>
      </c>
      <c r="C174" s="152">
        <f>IF(F173&lt;=0.005,0,F173*(1+C$6))</f>
        <v/>
      </c>
      <c r="D174" s="152">
        <f>MIN(C174,C$7)</f>
        <v/>
      </c>
      <c r="E174" s="152">
        <f>MAX(0,MIN(C174-D174,AQ174))</f>
        <v/>
      </c>
      <c r="F174" s="152">
        <f>C174-D174-E174</f>
        <v/>
      </c>
      <c r="G174" s="152">
        <f>IF(J173&lt;=0.005,0,J173*(1+G$6))</f>
        <v/>
      </c>
      <c r="H174" s="152">
        <f>MIN(G174,G$7)</f>
        <v/>
      </c>
      <c r="I174" s="152">
        <f>MAX(0,MIN(G174-H174,AQ174-(E174)))</f>
        <v/>
      </c>
      <c r="J174" s="152">
        <f>G174-H174-I174</f>
        <v/>
      </c>
      <c r="K174" s="152">
        <f>IF(N173&lt;=0.005,0,N173*(1+K$6))</f>
        <v/>
      </c>
      <c r="L174" s="152">
        <f>MIN(K174,K$7)</f>
        <v/>
      </c>
      <c r="M174" s="152">
        <f>MAX(0,MIN(K174-L174,AQ174-(E174+I174)))</f>
        <v/>
      </c>
      <c r="N174" s="152">
        <f>K174-L174-M174</f>
        <v/>
      </c>
      <c r="O174" s="152">
        <f>IF(R173&lt;=0.005,0,R173*(1+O$6))</f>
        <v/>
      </c>
      <c r="P174" s="152">
        <f>MIN(O174,O$7)</f>
        <v/>
      </c>
      <c r="Q174" s="152">
        <f>MAX(0,MIN(O174-P174,AQ174-(E174+I174+M174)))</f>
        <v/>
      </c>
      <c r="R174" s="152">
        <f>O174-P174-Q174</f>
        <v/>
      </c>
      <c r="S174" s="152">
        <f>IF(V173&lt;=0.005,0,V173*(1+S$6))</f>
        <v/>
      </c>
      <c r="T174" s="152">
        <f>MIN(S174,S$7)</f>
        <v/>
      </c>
      <c r="U174" s="152">
        <f>MAX(0,MIN(S174-T174,AQ174-(E174+I174+M174+Q174)))</f>
        <v/>
      </c>
      <c r="V174" s="152">
        <f>S174-T174-U174</f>
        <v/>
      </c>
      <c r="W174" s="152">
        <f>IF(Z173&lt;=0.005,0,Z173*(1+W$6))</f>
        <v/>
      </c>
      <c r="X174" s="152">
        <f>MIN(W174,W$7)</f>
        <v/>
      </c>
      <c r="Y174" s="152">
        <f>MAX(0,MIN(W174-X174,AQ174-(E174+I174+M174+Q174+U174)))</f>
        <v/>
      </c>
      <c r="Z174" s="152">
        <f>W174-X174-Y174</f>
        <v/>
      </c>
      <c r="AA174" s="152">
        <f>IF(AD173&lt;=0.005,0,AD173*(1+AA$6))</f>
        <v/>
      </c>
      <c r="AB174" s="152">
        <f>MIN(AA174,AA$7)</f>
        <v/>
      </c>
      <c r="AC174" s="152">
        <f>MAX(0,MIN(AA174-AB174,AQ174-(E174+I174+M174+Q174+U174+Y174)))</f>
        <v/>
      </c>
      <c r="AD174" s="152">
        <f>AA174-AB174-AC174</f>
        <v/>
      </c>
      <c r="AE174" s="152">
        <f>IF(AH173&lt;=0.005,0,AH173*(1+AE$6))</f>
        <v/>
      </c>
      <c r="AF174" s="152">
        <f>MIN(AE174,AE$7)</f>
        <v/>
      </c>
      <c r="AG174" s="152">
        <f>MAX(0,MIN(AE174-AF174,AQ174-(E174+I174+M174+Q174+U174+Y174+AC174)))</f>
        <v/>
      </c>
      <c r="AH174" s="152">
        <f>AE174-AF174-AG174</f>
        <v/>
      </c>
      <c r="AI174" s="152">
        <f>IF(AL173&lt;=0.005,0,AL173*(1+AI$6))</f>
        <v/>
      </c>
      <c r="AJ174" s="152">
        <f>MIN(AI174,AI$7)</f>
        <v/>
      </c>
      <c r="AK174" s="152">
        <f>MAX(0,MIN(AI174-AJ174,AQ174-(E174+I174+M174+Q174+U174+Y174+AC174+AG174)))</f>
        <v/>
      </c>
      <c r="AL174" s="152">
        <f>AI174-AJ174-AK174</f>
        <v/>
      </c>
      <c r="AM174" s="152">
        <f>IF(AP173&lt;=0.005,0,AP173*(1+AM$6))</f>
        <v/>
      </c>
      <c r="AN174" s="152">
        <f>MIN(AM174,AM$7)</f>
        <v/>
      </c>
      <c r="AO174" s="152">
        <f>MAX(0,MIN(AM174-AN174,AQ174-(E174+I174+M174+Q174+U174+Y174+AC174+AG174+AK174)))</f>
        <v/>
      </c>
      <c r="AP174" s="152">
        <f>AM174-AN174-AO174</f>
        <v/>
      </c>
      <c r="AQ174" s="152">
        <f>'Debt Payoff'!$C$8-SUM(D174,H174,L174,P174,T174,X174,AB174,AF174,AJ174,AN174)</f>
        <v/>
      </c>
      <c r="AR174" s="152">
        <f>SUM(D174,H174,L174,P174,T174,X174,AB174,AF174,AJ174,AN174)+SUM(E174,I174,M174,Q174,U174,Y174,AC174,AG174,AK174,AO174)</f>
        <v/>
      </c>
      <c r="AS174" s="152">
        <f>SUM(F174,J174,N174,R174,V174,Z174,AD174,AH174,AL174,AP174)</f>
        <v/>
      </c>
      <c r="AT174" s="152">
        <f>IF(B174&gt;AS$6,NA(),B174)</f>
        <v/>
      </c>
      <c r="AU174" s="152">
        <f>IF(B174&gt;AS$6,NA(),AS174)</f>
        <v/>
      </c>
      <c r="AV174" s="152" t="n"/>
      <c r="AW174" s="152" t="n">
        <v>163</v>
      </c>
      <c r="AX174" s="152">
        <f>IF(BA173&lt;=0.005,0,BA173*(1+AX$6))</f>
        <v/>
      </c>
      <c r="AY174" s="152">
        <f>MIN(AX174,AX$7)</f>
        <v/>
      </c>
      <c r="AZ174" s="152">
        <f>MAX(0,MIN(AX174-AY174,CL174))</f>
        <v/>
      </c>
      <c r="BA174" s="152">
        <f>AX174-AY174-AZ174</f>
        <v/>
      </c>
      <c r="BB174" s="152">
        <f>IF(BE173&lt;=0.005,0,BE173*(1+BB$6))</f>
        <v/>
      </c>
      <c r="BC174" s="152">
        <f>MIN(BB174,BB$7)</f>
        <v/>
      </c>
      <c r="BD174" s="152">
        <f>MAX(0,MIN(BB174-BC174,CL174-(AZ174)))</f>
        <v/>
      </c>
      <c r="BE174" s="152">
        <f>BB174-BC174-BD174</f>
        <v/>
      </c>
      <c r="BF174" s="152">
        <f>IF(BI173&lt;=0.005,0,BI173*(1+BF$6))</f>
        <v/>
      </c>
      <c r="BG174" s="152">
        <f>MIN(BF174,BF$7)</f>
        <v/>
      </c>
      <c r="BH174" s="152">
        <f>MAX(0,MIN(BF174-BG174,CL174-(AZ174+BD174)))</f>
        <v/>
      </c>
      <c r="BI174" s="152">
        <f>BF174-BG174-BH174</f>
        <v/>
      </c>
      <c r="BJ174" s="152">
        <f>IF(BM173&lt;=0.005,0,BM173*(1+BJ$6))</f>
        <v/>
      </c>
      <c r="BK174" s="152">
        <f>MIN(BJ174,BJ$7)</f>
        <v/>
      </c>
      <c r="BL174" s="152">
        <f>MAX(0,MIN(BJ174-BK174,CL174-(AZ174+BD174+BH174)))</f>
        <v/>
      </c>
      <c r="BM174" s="152">
        <f>BJ174-BK174-BL174</f>
        <v/>
      </c>
      <c r="BN174" s="152">
        <f>IF(BQ173&lt;=0.005,0,BQ173*(1+BN$6))</f>
        <v/>
      </c>
      <c r="BO174" s="152">
        <f>MIN(BN174,BN$7)</f>
        <v/>
      </c>
      <c r="BP174" s="152">
        <f>MAX(0,MIN(BN174-BO174,CL174-(AZ174+BD174+BH174+BL174)))</f>
        <v/>
      </c>
      <c r="BQ174" s="152">
        <f>BN174-BO174-BP174</f>
        <v/>
      </c>
      <c r="BR174" s="152">
        <f>IF(BU173&lt;=0.005,0,BU173*(1+BR$6))</f>
        <v/>
      </c>
      <c r="BS174" s="152">
        <f>MIN(BR174,BR$7)</f>
        <v/>
      </c>
      <c r="BT174" s="152">
        <f>MAX(0,MIN(BR174-BS174,CL174-(AZ174+BD174+BH174+BL174+BP174)))</f>
        <v/>
      </c>
      <c r="BU174" s="152">
        <f>BR174-BS174-BT174</f>
        <v/>
      </c>
      <c r="BV174" s="152">
        <f>IF(BY173&lt;=0.005,0,BY173*(1+BV$6))</f>
        <v/>
      </c>
      <c r="BW174" s="152">
        <f>MIN(BV174,BV$7)</f>
        <v/>
      </c>
      <c r="BX174" s="152">
        <f>MAX(0,MIN(BV174-BW174,CL174-(AZ174+BD174+BH174+BL174+BP174+BT174)))</f>
        <v/>
      </c>
      <c r="BY174" s="152">
        <f>BV174-BW174-BX174</f>
        <v/>
      </c>
      <c r="BZ174" s="152">
        <f>IF(CC173&lt;=0.005,0,CC173*(1+BZ$6))</f>
        <v/>
      </c>
      <c r="CA174" s="152">
        <f>MIN(BZ174,BZ$7)</f>
        <v/>
      </c>
      <c r="CB174" s="152">
        <f>MAX(0,MIN(BZ174-CA174,CL174-(AZ174+BD174+BH174+BL174+BP174+BT174+BX174)))</f>
        <v/>
      </c>
      <c r="CC174" s="152">
        <f>BZ174-CA174-CB174</f>
        <v/>
      </c>
      <c r="CD174" s="152">
        <f>IF(CG173&lt;=0.005,0,CG173*(1+CD$6))</f>
        <v/>
      </c>
      <c r="CE174" s="152">
        <f>MIN(CD174,CD$7)</f>
        <v/>
      </c>
      <c r="CF174" s="152">
        <f>MAX(0,MIN(CD174-CE174,CL174-(AZ174+BD174+BH174+BL174+BP174+BT174+BX174+CB174)))</f>
        <v/>
      </c>
      <c r="CG174" s="152">
        <f>CD174-CE174-CF174</f>
        <v/>
      </c>
      <c r="CH174" s="152">
        <f>IF(CK173&lt;=0.005,0,CK173*(1+CH$6))</f>
        <v/>
      </c>
      <c r="CI174" s="152">
        <f>MIN(CH174,CH$7)</f>
        <v/>
      </c>
      <c r="CJ174" s="152">
        <f>MAX(0,MIN(CH174-CI174,CL174-(AZ174+BD174+BH174+BL174+BP174+BT174+BX174+CB174+CF174)))</f>
        <v/>
      </c>
      <c r="CK174" s="152">
        <f>CH174-CI174-CJ174</f>
        <v/>
      </c>
      <c r="CL174" s="152">
        <f>'Debt Payoff'!$C$8-SUM(AY174,BC174,BG174,BK174,BO174,BS174,BW174,CA174,CE174,CI174)</f>
        <v/>
      </c>
      <c r="CM174" s="152">
        <f>SUM(AY174,BC174,BG174,BK174,BO174,BS174,BW174,CA174,CE174,CI174)+SUM(AZ174,BD174,BH174,BL174,BP174,BT174,BX174,CB174,CF174,CJ174)</f>
        <v/>
      </c>
      <c r="CN174" s="152">
        <f>SUM(BA174,BE174,BI174,BM174,BQ174,BU174,BY174,CC174,CG174,CK174)</f>
        <v/>
      </c>
      <c r="CO174" s="152">
        <f>IF(AW174&gt;CN$6,NA(),AW174)</f>
        <v/>
      </c>
      <c r="CP174" s="152">
        <f>IF(AW174&gt;CN$6,NA(),CN174)</f>
        <v/>
      </c>
    </row>
    <row r="175">
      <c r="B175" s="152" t="n">
        <v>164</v>
      </c>
      <c r="C175" s="152">
        <f>IF(F174&lt;=0.005,0,F174*(1+C$6))</f>
        <v/>
      </c>
      <c r="D175" s="152">
        <f>MIN(C175,C$7)</f>
        <v/>
      </c>
      <c r="E175" s="152">
        <f>MAX(0,MIN(C175-D175,AQ175))</f>
        <v/>
      </c>
      <c r="F175" s="152">
        <f>C175-D175-E175</f>
        <v/>
      </c>
      <c r="G175" s="152">
        <f>IF(J174&lt;=0.005,0,J174*(1+G$6))</f>
        <v/>
      </c>
      <c r="H175" s="152">
        <f>MIN(G175,G$7)</f>
        <v/>
      </c>
      <c r="I175" s="152">
        <f>MAX(0,MIN(G175-H175,AQ175-(E175)))</f>
        <v/>
      </c>
      <c r="J175" s="152">
        <f>G175-H175-I175</f>
        <v/>
      </c>
      <c r="K175" s="152">
        <f>IF(N174&lt;=0.005,0,N174*(1+K$6))</f>
        <v/>
      </c>
      <c r="L175" s="152">
        <f>MIN(K175,K$7)</f>
        <v/>
      </c>
      <c r="M175" s="152">
        <f>MAX(0,MIN(K175-L175,AQ175-(E175+I175)))</f>
        <v/>
      </c>
      <c r="N175" s="152">
        <f>K175-L175-M175</f>
        <v/>
      </c>
      <c r="O175" s="152">
        <f>IF(R174&lt;=0.005,0,R174*(1+O$6))</f>
        <v/>
      </c>
      <c r="P175" s="152">
        <f>MIN(O175,O$7)</f>
        <v/>
      </c>
      <c r="Q175" s="152">
        <f>MAX(0,MIN(O175-P175,AQ175-(E175+I175+M175)))</f>
        <v/>
      </c>
      <c r="R175" s="152">
        <f>O175-P175-Q175</f>
        <v/>
      </c>
      <c r="S175" s="152">
        <f>IF(V174&lt;=0.005,0,V174*(1+S$6))</f>
        <v/>
      </c>
      <c r="T175" s="152">
        <f>MIN(S175,S$7)</f>
        <v/>
      </c>
      <c r="U175" s="152">
        <f>MAX(0,MIN(S175-T175,AQ175-(E175+I175+M175+Q175)))</f>
        <v/>
      </c>
      <c r="V175" s="152">
        <f>S175-T175-U175</f>
        <v/>
      </c>
      <c r="W175" s="152">
        <f>IF(Z174&lt;=0.005,0,Z174*(1+W$6))</f>
        <v/>
      </c>
      <c r="X175" s="152">
        <f>MIN(W175,W$7)</f>
        <v/>
      </c>
      <c r="Y175" s="152">
        <f>MAX(0,MIN(W175-X175,AQ175-(E175+I175+M175+Q175+U175)))</f>
        <v/>
      </c>
      <c r="Z175" s="152">
        <f>W175-X175-Y175</f>
        <v/>
      </c>
      <c r="AA175" s="152">
        <f>IF(AD174&lt;=0.005,0,AD174*(1+AA$6))</f>
        <v/>
      </c>
      <c r="AB175" s="152">
        <f>MIN(AA175,AA$7)</f>
        <v/>
      </c>
      <c r="AC175" s="152">
        <f>MAX(0,MIN(AA175-AB175,AQ175-(E175+I175+M175+Q175+U175+Y175)))</f>
        <v/>
      </c>
      <c r="AD175" s="152">
        <f>AA175-AB175-AC175</f>
        <v/>
      </c>
      <c r="AE175" s="152">
        <f>IF(AH174&lt;=0.005,0,AH174*(1+AE$6))</f>
        <v/>
      </c>
      <c r="AF175" s="152">
        <f>MIN(AE175,AE$7)</f>
        <v/>
      </c>
      <c r="AG175" s="152">
        <f>MAX(0,MIN(AE175-AF175,AQ175-(E175+I175+M175+Q175+U175+Y175+AC175)))</f>
        <v/>
      </c>
      <c r="AH175" s="152">
        <f>AE175-AF175-AG175</f>
        <v/>
      </c>
      <c r="AI175" s="152">
        <f>IF(AL174&lt;=0.005,0,AL174*(1+AI$6))</f>
        <v/>
      </c>
      <c r="AJ175" s="152">
        <f>MIN(AI175,AI$7)</f>
        <v/>
      </c>
      <c r="AK175" s="152">
        <f>MAX(0,MIN(AI175-AJ175,AQ175-(E175+I175+M175+Q175+U175+Y175+AC175+AG175)))</f>
        <v/>
      </c>
      <c r="AL175" s="152">
        <f>AI175-AJ175-AK175</f>
        <v/>
      </c>
      <c r="AM175" s="152">
        <f>IF(AP174&lt;=0.005,0,AP174*(1+AM$6))</f>
        <v/>
      </c>
      <c r="AN175" s="152">
        <f>MIN(AM175,AM$7)</f>
        <v/>
      </c>
      <c r="AO175" s="152">
        <f>MAX(0,MIN(AM175-AN175,AQ175-(E175+I175+M175+Q175+U175+Y175+AC175+AG175+AK175)))</f>
        <v/>
      </c>
      <c r="AP175" s="152">
        <f>AM175-AN175-AO175</f>
        <v/>
      </c>
      <c r="AQ175" s="152">
        <f>'Debt Payoff'!$C$8-SUM(D175,H175,L175,P175,T175,X175,AB175,AF175,AJ175,AN175)</f>
        <v/>
      </c>
      <c r="AR175" s="152">
        <f>SUM(D175,H175,L175,P175,T175,X175,AB175,AF175,AJ175,AN175)+SUM(E175,I175,M175,Q175,U175,Y175,AC175,AG175,AK175,AO175)</f>
        <v/>
      </c>
      <c r="AS175" s="152">
        <f>SUM(F175,J175,N175,R175,V175,Z175,AD175,AH175,AL175,AP175)</f>
        <v/>
      </c>
      <c r="AT175" s="152">
        <f>IF(B175&gt;AS$6,NA(),B175)</f>
        <v/>
      </c>
      <c r="AU175" s="152">
        <f>IF(B175&gt;AS$6,NA(),AS175)</f>
        <v/>
      </c>
      <c r="AV175" s="152" t="n"/>
      <c r="AW175" s="152" t="n">
        <v>164</v>
      </c>
      <c r="AX175" s="152">
        <f>IF(BA174&lt;=0.005,0,BA174*(1+AX$6))</f>
        <v/>
      </c>
      <c r="AY175" s="152">
        <f>MIN(AX175,AX$7)</f>
        <v/>
      </c>
      <c r="AZ175" s="152">
        <f>MAX(0,MIN(AX175-AY175,CL175))</f>
        <v/>
      </c>
      <c r="BA175" s="152">
        <f>AX175-AY175-AZ175</f>
        <v/>
      </c>
      <c r="BB175" s="152">
        <f>IF(BE174&lt;=0.005,0,BE174*(1+BB$6))</f>
        <v/>
      </c>
      <c r="BC175" s="152">
        <f>MIN(BB175,BB$7)</f>
        <v/>
      </c>
      <c r="BD175" s="152">
        <f>MAX(0,MIN(BB175-BC175,CL175-(AZ175)))</f>
        <v/>
      </c>
      <c r="BE175" s="152">
        <f>BB175-BC175-BD175</f>
        <v/>
      </c>
      <c r="BF175" s="152">
        <f>IF(BI174&lt;=0.005,0,BI174*(1+BF$6))</f>
        <v/>
      </c>
      <c r="BG175" s="152">
        <f>MIN(BF175,BF$7)</f>
        <v/>
      </c>
      <c r="BH175" s="152">
        <f>MAX(0,MIN(BF175-BG175,CL175-(AZ175+BD175)))</f>
        <v/>
      </c>
      <c r="BI175" s="152">
        <f>BF175-BG175-BH175</f>
        <v/>
      </c>
      <c r="BJ175" s="152">
        <f>IF(BM174&lt;=0.005,0,BM174*(1+BJ$6))</f>
        <v/>
      </c>
      <c r="BK175" s="152">
        <f>MIN(BJ175,BJ$7)</f>
        <v/>
      </c>
      <c r="BL175" s="152">
        <f>MAX(0,MIN(BJ175-BK175,CL175-(AZ175+BD175+BH175)))</f>
        <v/>
      </c>
      <c r="BM175" s="152">
        <f>BJ175-BK175-BL175</f>
        <v/>
      </c>
      <c r="BN175" s="152">
        <f>IF(BQ174&lt;=0.005,0,BQ174*(1+BN$6))</f>
        <v/>
      </c>
      <c r="BO175" s="152">
        <f>MIN(BN175,BN$7)</f>
        <v/>
      </c>
      <c r="BP175" s="152">
        <f>MAX(0,MIN(BN175-BO175,CL175-(AZ175+BD175+BH175+BL175)))</f>
        <v/>
      </c>
      <c r="BQ175" s="152">
        <f>BN175-BO175-BP175</f>
        <v/>
      </c>
      <c r="BR175" s="152">
        <f>IF(BU174&lt;=0.005,0,BU174*(1+BR$6))</f>
        <v/>
      </c>
      <c r="BS175" s="152">
        <f>MIN(BR175,BR$7)</f>
        <v/>
      </c>
      <c r="BT175" s="152">
        <f>MAX(0,MIN(BR175-BS175,CL175-(AZ175+BD175+BH175+BL175+BP175)))</f>
        <v/>
      </c>
      <c r="BU175" s="152">
        <f>BR175-BS175-BT175</f>
        <v/>
      </c>
      <c r="BV175" s="152">
        <f>IF(BY174&lt;=0.005,0,BY174*(1+BV$6))</f>
        <v/>
      </c>
      <c r="BW175" s="152">
        <f>MIN(BV175,BV$7)</f>
        <v/>
      </c>
      <c r="BX175" s="152">
        <f>MAX(0,MIN(BV175-BW175,CL175-(AZ175+BD175+BH175+BL175+BP175+BT175)))</f>
        <v/>
      </c>
      <c r="BY175" s="152">
        <f>BV175-BW175-BX175</f>
        <v/>
      </c>
      <c r="BZ175" s="152">
        <f>IF(CC174&lt;=0.005,0,CC174*(1+BZ$6))</f>
        <v/>
      </c>
      <c r="CA175" s="152">
        <f>MIN(BZ175,BZ$7)</f>
        <v/>
      </c>
      <c r="CB175" s="152">
        <f>MAX(0,MIN(BZ175-CA175,CL175-(AZ175+BD175+BH175+BL175+BP175+BT175+BX175)))</f>
        <v/>
      </c>
      <c r="CC175" s="152">
        <f>BZ175-CA175-CB175</f>
        <v/>
      </c>
      <c r="CD175" s="152">
        <f>IF(CG174&lt;=0.005,0,CG174*(1+CD$6))</f>
        <v/>
      </c>
      <c r="CE175" s="152">
        <f>MIN(CD175,CD$7)</f>
        <v/>
      </c>
      <c r="CF175" s="152">
        <f>MAX(0,MIN(CD175-CE175,CL175-(AZ175+BD175+BH175+BL175+BP175+BT175+BX175+CB175)))</f>
        <v/>
      </c>
      <c r="CG175" s="152">
        <f>CD175-CE175-CF175</f>
        <v/>
      </c>
      <c r="CH175" s="152">
        <f>IF(CK174&lt;=0.005,0,CK174*(1+CH$6))</f>
        <v/>
      </c>
      <c r="CI175" s="152">
        <f>MIN(CH175,CH$7)</f>
        <v/>
      </c>
      <c r="CJ175" s="152">
        <f>MAX(0,MIN(CH175-CI175,CL175-(AZ175+BD175+BH175+BL175+BP175+BT175+BX175+CB175+CF175)))</f>
        <v/>
      </c>
      <c r="CK175" s="152">
        <f>CH175-CI175-CJ175</f>
        <v/>
      </c>
      <c r="CL175" s="152">
        <f>'Debt Payoff'!$C$8-SUM(AY175,BC175,BG175,BK175,BO175,BS175,BW175,CA175,CE175,CI175)</f>
        <v/>
      </c>
      <c r="CM175" s="152">
        <f>SUM(AY175,BC175,BG175,BK175,BO175,BS175,BW175,CA175,CE175,CI175)+SUM(AZ175,BD175,BH175,BL175,BP175,BT175,BX175,CB175,CF175,CJ175)</f>
        <v/>
      </c>
      <c r="CN175" s="152">
        <f>SUM(BA175,BE175,BI175,BM175,BQ175,BU175,BY175,CC175,CG175,CK175)</f>
        <v/>
      </c>
      <c r="CO175" s="152">
        <f>IF(AW175&gt;CN$6,NA(),AW175)</f>
        <v/>
      </c>
      <c r="CP175" s="152">
        <f>IF(AW175&gt;CN$6,NA(),CN175)</f>
        <v/>
      </c>
    </row>
    <row r="176">
      <c r="B176" s="152" t="n">
        <v>165</v>
      </c>
      <c r="C176" s="152">
        <f>IF(F175&lt;=0.005,0,F175*(1+C$6))</f>
        <v/>
      </c>
      <c r="D176" s="152">
        <f>MIN(C176,C$7)</f>
        <v/>
      </c>
      <c r="E176" s="152">
        <f>MAX(0,MIN(C176-D176,AQ176))</f>
        <v/>
      </c>
      <c r="F176" s="152">
        <f>C176-D176-E176</f>
        <v/>
      </c>
      <c r="G176" s="152">
        <f>IF(J175&lt;=0.005,0,J175*(1+G$6))</f>
        <v/>
      </c>
      <c r="H176" s="152">
        <f>MIN(G176,G$7)</f>
        <v/>
      </c>
      <c r="I176" s="152">
        <f>MAX(0,MIN(G176-H176,AQ176-(E176)))</f>
        <v/>
      </c>
      <c r="J176" s="152">
        <f>G176-H176-I176</f>
        <v/>
      </c>
      <c r="K176" s="152">
        <f>IF(N175&lt;=0.005,0,N175*(1+K$6))</f>
        <v/>
      </c>
      <c r="L176" s="152">
        <f>MIN(K176,K$7)</f>
        <v/>
      </c>
      <c r="M176" s="152">
        <f>MAX(0,MIN(K176-L176,AQ176-(E176+I176)))</f>
        <v/>
      </c>
      <c r="N176" s="152">
        <f>K176-L176-M176</f>
        <v/>
      </c>
      <c r="O176" s="152">
        <f>IF(R175&lt;=0.005,0,R175*(1+O$6))</f>
        <v/>
      </c>
      <c r="P176" s="152">
        <f>MIN(O176,O$7)</f>
        <v/>
      </c>
      <c r="Q176" s="152">
        <f>MAX(0,MIN(O176-P176,AQ176-(E176+I176+M176)))</f>
        <v/>
      </c>
      <c r="R176" s="152">
        <f>O176-P176-Q176</f>
        <v/>
      </c>
      <c r="S176" s="152">
        <f>IF(V175&lt;=0.005,0,V175*(1+S$6))</f>
        <v/>
      </c>
      <c r="T176" s="152">
        <f>MIN(S176,S$7)</f>
        <v/>
      </c>
      <c r="U176" s="152">
        <f>MAX(0,MIN(S176-T176,AQ176-(E176+I176+M176+Q176)))</f>
        <v/>
      </c>
      <c r="V176" s="152">
        <f>S176-T176-U176</f>
        <v/>
      </c>
      <c r="W176" s="152">
        <f>IF(Z175&lt;=0.005,0,Z175*(1+W$6))</f>
        <v/>
      </c>
      <c r="X176" s="152">
        <f>MIN(W176,W$7)</f>
        <v/>
      </c>
      <c r="Y176" s="152">
        <f>MAX(0,MIN(W176-X176,AQ176-(E176+I176+M176+Q176+U176)))</f>
        <v/>
      </c>
      <c r="Z176" s="152">
        <f>W176-X176-Y176</f>
        <v/>
      </c>
      <c r="AA176" s="152">
        <f>IF(AD175&lt;=0.005,0,AD175*(1+AA$6))</f>
        <v/>
      </c>
      <c r="AB176" s="152">
        <f>MIN(AA176,AA$7)</f>
        <v/>
      </c>
      <c r="AC176" s="152">
        <f>MAX(0,MIN(AA176-AB176,AQ176-(E176+I176+M176+Q176+U176+Y176)))</f>
        <v/>
      </c>
      <c r="AD176" s="152">
        <f>AA176-AB176-AC176</f>
        <v/>
      </c>
      <c r="AE176" s="152">
        <f>IF(AH175&lt;=0.005,0,AH175*(1+AE$6))</f>
        <v/>
      </c>
      <c r="AF176" s="152">
        <f>MIN(AE176,AE$7)</f>
        <v/>
      </c>
      <c r="AG176" s="152">
        <f>MAX(0,MIN(AE176-AF176,AQ176-(E176+I176+M176+Q176+U176+Y176+AC176)))</f>
        <v/>
      </c>
      <c r="AH176" s="152">
        <f>AE176-AF176-AG176</f>
        <v/>
      </c>
      <c r="AI176" s="152">
        <f>IF(AL175&lt;=0.005,0,AL175*(1+AI$6))</f>
        <v/>
      </c>
      <c r="AJ176" s="152">
        <f>MIN(AI176,AI$7)</f>
        <v/>
      </c>
      <c r="AK176" s="152">
        <f>MAX(0,MIN(AI176-AJ176,AQ176-(E176+I176+M176+Q176+U176+Y176+AC176+AG176)))</f>
        <v/>
      </c>
      <c r="AL176" s="152">
        <f>AI176-AJ176-AK176</f>
        <v/>
      </c>
      <c r="AM176" s="152">
        <f>IF(AP175&lt;=0.005,0,AP175*(1+AM$6))</f>
        <v/>
      </c>
      <c r="AN176" s="152">
        <f>MIN(AM176,AM$7)</f>
        <v/>
      </c>
      <c r="AO176" s="152">
        <f>MAX(0,MIN(AM176-AN176,AQ176-(E176+I176+M176+Q176+U176+Y176+AC176+AG176+AK176)))</f>
        <v/>
      </c>
      <c r="AP176" s="152">
        <f>AM176-AN176-AO176</f>
        <v/>
      </c>
      <c r="AQ176" s="152">
        <f>'Debt Payoff'!$C$8-SUM(D176,H176,L176,P176,T176,X176,AB176,AF176,AJ176,AN176)</f>
        <v/>
      </c>
      <c r="AR176" s="152">
        <f>SUM(D176,H176,L176,P176,T176,X176,AB176,AF176,AJ176,AN176)+SUM(E176,I176,M176,Q176,U176,Y176,AC176,AG176,AK176,AO176)</f>
        <v/>
      </c>
      <c r="AS176" s="152">
        <f>SUM(F176,J176,N176,R176,V176,Z176,AD176,AH176,AL176,AP176)</f>
        <v/>
      </c>
      <c r="AT176" s="152">
        <f>IF(B176&gt;AS$6,NA(),B176)</f>
        <v/>
      </c>
      <c r="AU176" s="152">
        <f>IF(B176&gt;AS$6,NA(),AS176)</f>
        <v/>
      </c>
      <c r="AV176" s="152" t="n"/>
      <c r="AW176" s="152" t="n">
        <v>165</v>
      </c>
      <c r="AX176" s="152">
        <f>IF(BA175&lt;=0.005,0,BA175*(1+AX$6))</f>
        <v/>
      </c>
      <c r="AY176" s="152">
        <f>MIN(AX176,AX$7)</f>
        <v/>
      </c>
      <c r="AZ176" s="152">
        <f>MAX(0,MIN(AX176-AY176,CL176))</f>
        <v/>
      </c>
      <c r="BA176" s="152">
        <f>AX176-AY176-AZ176</f>
        <v/>
      </c>
      <c r="BB176" s="152">
        <f>IF(BE175&lt;=0.005,0,BE175*(1+BB$6))</f>
        <v/>
      </c>
      <c r="BC176" s="152">
        <f>MIN(BB176,BB$7)</f>
        <v/>
      </c>
      <c r="BD176" s="152">
        <f>MAX(0,MIN(BB176-BC176,CL176-(AZ176)))</f>
        <v/>
      </c>
      <c r="BE176" s="152">
        <f>BB176-BC176-BD176</f>
        <v/>
      </c>
      <c r="BF176" s="152">
        <f>IF(BI175&lt;=0.005,0,BI175*(1+BF$6))</f>
        <v/>
      </c>
      <c r="BG176" s="152">
        <f>MIN(BF176,BF$7)</f>
        <v/>
      </c>
      <c r="BH176" s="152">
        <f>MAX(0,MIN(BF176-BG176,CL176-(AZ176+BD176)))</f>
        <v/>
      </c>
      <c r="BI176" s="152">
        <f>BF176-BG176-BH176</f>
        <v/>
      </c>
      <c r="BJ176" s="152">
        <f>IF(BM175&lt;=0.005,0,BM175*(1+BJ$6))</f>
        <v/>
      </c>
      <c r="BK176" s="152">
        <f>MIN(BJ176,BJ$7)</f>
        <v/>
      </c>
      <c r="BL176" s="152">
        <f>MAX(0,MIN(BJ176-BK176,CL176-(AZ176+BD176+BH176)))</f>
        <v/>
      </c>
      <c r="BM176" s="152">
        <f>BJ176-BK176-BL176</f>
        <v/>
      </c>
      <c r="BN176" s="152">
        <f>IF(BQ175&lt;=0.005,0,BQ175*(1+BN$6))</f>
        <v/>
      </c>
      <c r="BO176" s="152">
        <f>MIN(BN176,BN$7)</f>
        <v/>
      </c>
      <c r="BP176" s="152">
        <f>MAX(0,MIN(BN176-BO176,CL176-(AZ176+BD176+BH176+BL176)))</f>
        <v/>
      </c>
      <c r="BQ176" s="152">
        <f>BN176-BO176-BP176</f>
        <v/>
      </c>
      <c r="BR176" s="152">
        <f>IF(BU175&lt;=0.005,0,BU175*(1+BR$6))</f>
        <v/>
      </c>
      <c r="BS176" s="152">
        <f>MIN(BR176,BR$7)</f>
        <v/>
      </c>
      <c r="BT176" s="152">
        <f>MAX(0,MIN(BR176-BS176,CL176-(AZ176+BD176+BH176+BL176+BP176)))</f>
        <v/>
      </c>
      <c r="BU176" s="152">
        <f>BR176-BS176-BT176</f>
        <v/>
      </c>
      <c r="BV176" s="152">
        <f>IF(BY175&lt;=0.005,0,BY175*(1+BV$6))</f>
        <v/>
      </c>
      <c r="BW176" s="152">
        <f>MIN(BV176,BV$7)</f>
        <v/>
      </c>
      <c r="BX176" s="152">
        <f>MAX(0,MIN(BV176-BW176,CL176-(AZ176+BD176+BH176+BL176+BP176+BT176)))</f>
        <v/>
      </c>
      <c r="BY176" s="152">
        <f>BV176-BW176-BX176</f>
        <v/>
      </c>
      <c r="BZ176" s="152">
        <f>IF(CC175&lt;=0.005,0,CC175*(1+BZ$6))</f>
        <v/>
      </c>
      <c r="CA176" s="152">
        <f>MIN(BZ176,BZ$7)</f>
        <v/>
      </c>
      <c r="CB176" s="152">
        <f>MAX(0,MIN(BZ176-CA176,CL176-(AZ176+BD176+BH176+BL176+BP176+BT176+BX176)))</f>
        <v/>
      </c>
      <c r="CC176" s="152">
        <f>BZ176-CA176-CB176</f>
        <v/>
      </c>
      <c r="CD176" s="152">
        <f>IF(CG175&lt;=0.005,0,CG175*(1+CD$6))</f>
        <v/>
      </c>
      <c r="CE176" s="152">
        <f>MIN(CD176,CD$7)</f>
        <v/>
      </c>
      <c r="CF176" s="152">
        <f>MAX(0,MIN(CD176-CE176,CL176-(AZ176+BD176+BH176+BL176+BP176+BT176+BX176+CB176)))</f>
        <v/>
      </c>
      <c r="CG176" s="152">
        <f>CD176-CE176-CF176</f>
        <v/>
      </c>
      <c r="CH176" s="152">
        <f>IF(CK175&lt;=0.005,0,CK175*(1+CH$6))</f>
        <v/>
      </c>
      <c r="CI176" s="152">
        <f>MIN(CH176,CH$7)</f>
        <v/>
      </c>
      <c r="CJ176" s="152">
        <f>MAX(0,MIN(CH176-CI176,CL176-(AZ176+BD176+BH176+BL176+BP176+BT176+BX176+CB176+CF176)))</f>
        <v/>
      </c>
      <c r="CK176" s="152">
        <f>CH176-CI176-CJ176</f>
        <v/>
      </c>
      <c r="CL176" s="152">
        <f>'Debt Payoff'!$C$8-SUM(AY176,BC176,BG176,BK176,BO176,BS176,BW176,CA176,CE176,CI176)</f>
        <v/>
      </c>
      <c r="CM176" s="152">
        <f>SUM(AY176,BC176,BG176,BK176,BO176,BS176,BW176,CA176,CE176,CI176)+SUM(AZ176,BD176,BH176,BL176,BP176,BT176,BX176,CB176,CF176,CJ176)</f>
        <v/>
      </c>
      <c r="CN176" s="152">
        <f>SUM(BA176,BE176,BI176,BM176,BQ176,BU176,BY176,CC176,CG176,CK176)</f>
        <v/>
      </c>
      <c r="CO176" s="152">
        <f>IF(AW176&gt;CN$6,NA(),AW176)</f>
        <v/>
      </c>
      <c r="CP176" s="152">
        <f>IF(AW176&gt;CN$6,NA(),CN176)</f>
        <v/>
      </c>
    </row>
    <row r="177">
      <c r="B177" s="152" t="n">
        <v>166</v>
      </c>
      <c r="C177" s="152">
        <f>IF(F176&lt;=0.005,0,F176*(1+C$6))</f>
        <v/>
      </c>
      <c r="D177" s="152">
        <f>MIN(C177,C$7)</f>
        <v/>
      </c>
      <c r="E177" s="152">
        <f>MAX(0,MIN(C177-D177,AQ177))</f>
        <v/>
      </c>
      <c r="F177" s="152">
        <f>C177-D177-E177</f>
        <v/>
      </c>
      <c r="G177" s="152">
        <f>IF(J176&lt;=0.005,0,J176*(1+G$6))</f>
        <v/>
      </c>
      <c r="H177" s="152">
        <f>MIN(G177,G$7)</f>
        <v/>
      </c>
      <c r="I177" s="152">
        <f>MAX(0,MIN(G177-H177,AQ177-(E177)))</f>
        <v/>
      </c>
      <c r="J177" s="152">
        <f>G177-H177-I177</f>
        <v/>
      </c>
      <c r="K177" s="152">
        <f>IF(N176&lt;=0.005,0,N176*(1+K$6))</f>
        <v/>
      </c>
      <c r="L177" s="152">
        <f>MIN(K177,K$7)</f>
        <v/>
      </c>
      <c r="M177" s="152">
        <f>MAX(0,MIN(K177-L177,AQ177-(E177+I177)))</f>
        <v/>
      </c>
      <c r="N177" s="152">
        <f>K177-L177-M177</f>
        <v/>
      </c>
      <c r="O177" s="152">
        <f>IF(R176&lt;=0.005,0,R176*(1+O$6))</f>
        <v/>
      </c>
      <c r="P177" s="152">
        <f>MIN(O177,O$7)</f>
        <v/>
      </c>
      <c r="Q177" s="152">
        <f>MAX(0,MIN(O177-P177,AQ177-(E177+I177+M177)))</f>
        <v/>
      </c>
      <c r="R177" s="152">
        <f>O177-P177-Q177</f>
        <v/>
      </c>
      <c r="S177" s="152">
        <f>IF(V176&lt;=0.005,0,V176*(1+S$6))</f>
        <v/>
      </c>
      <c r="T177" s="152">
        <f>MIN(S177,S$7)</f>
        <v/>
      </c>
      <c r="U177" s="152">
        <f>MAX(0,MIN(S177-T177,AQ177-(E177+I177+M177+Q177)))</f>
        <v/>
      </c>
      <c r="V177" s="152">
        <f>S177-T177-U177</f>
        <v/>
      </c>
      <c r="W177" s="152">
        <f>IF(Z176&lt;=0.005,0,Z176*(1+W$6))</f>
        <v/>
      </c>
      <c r="X177" s="152">
        <f>MIN(W177,W$7)</f>
        <v/>
      </c>
      <c r="Y177" s="152">
        <f>MAX(0,MIN(W177-X177,AQ177-(E177+I177+M177+Q177+U177)))</f>
        <v/>
      </c>
      <c r="Z177" s="152">
        <f>W177-X177-Y177</f>
        <v/>
      </c>
      <c r="AA177" s="152">
        <f>IF(AD176&lt;=0.005,0,AD176*(1+AA$6))</f>
        <v/>
      </c>
      <c r="AB177" s="152">
        <f>MIN(AA177,AA$7)</f>
        <v/>
      </c>
      <c r="AC177" s="152">
        <f>MAX(0,MIN(AA177-AB177,AQ177-(E177+I177+M177+Q177+U177+Y177)))</f>
        <v/>
      </c>
      <c r="AD177" s="152">
        <f>AA177-AB177-AC177</f>
        <v/>
      </c>
      <c r="AE177" s="152">
        <f>IF(AH176&lt;=0.005,0,AH176*(1+AE$6))</f>
        <v/>
      </c>
      <c r="AF177" s="152">
        <f>MIN(AE177,AE$7)</f>
        <v/>
      </c>
      <c r="AG177" s="152">
        <f>MAX(0,MIN(AE177-AF177,AQ177-(E177+I177+M177+Q177+U177+Y177+AC177)))</f>
        <v/>
      </c>
      <c r="AH177" s="152">
        <f>AE177-AF177-AG177</f>
        <v/>
      </c>
      <c r="AI177" s="152">
        <f>IF(AL176&lt;=0.005,0,AL176*(1+AI$6))</f>
        <v/>
      </c>
      <c r="AJ177" s="152">
        <f>MIN(AI177,AI$7)</f>
        <v/>
      </c>
      <c r="AK177" s="152">
        <f>MAX(0,MIN(AI177-AJ177,AQ177-(E177+I177+M177+Q177+U177+Y177+AC177+AG177)))</f>
        <v/>
      </c>
      <c r="AL177" s="152">
        <f>AI177-AJ177-AK177</f>
        <v/>
      </c>
      <c r="AM177" s="152">
        <f>IF(AP176&lt;=0.005,0,AP176*(1+AM$6))</f>
        <v/>
      </c>
      <c r="AN177" s="152">
        <f>MIN(AM177,AM$7)</f>
        <v/>
      </c>
      <c r="AO177" s="152">
        <f>MAX(0,MIN(AM177-AN177,AQ177-(E177+I177+M177+Q177+U177+Y177+AC177+AG177+AK177)))</f>
        <v/>
      </c>
      <c r="AP177" s="152">
        <f>AM177-AN177-AO177</f>
        <v/>
      </c>
      <c r="AQ177" s="152">
        <f>'Debt Payoff'!$C$8-SUM(D177,H177,L177,P177,T177,X177,AB177,AF177,AJ177,AN177)</f>
        <v/>
      </c>
      <c r="AR177" s="152">
        <f>SUM(D177,H177,L177,P177,T177,X177,AB177,AF177,AJ177,AN177)+SUM(E177,I177,M177,Q177,U177,Y177,AC177,AG177,AK177,AO177)</f>
        <v/>
      </c>
      <c r="AS177" s="152">
        <f>SUM(F177,J177,N177,R177,V177,Z177,AD177,AH177,AL177,AP177)</f>
        <v/>
      </c>
      <c r="AT177" s="152">
        <f>IF(B177&gt;AS$6,NA(),B177)</f>
        <v/>
      </c>
      <c r="AU177" s="152">
        <f>IF(B177&gt;AS$6,NA(),AS177)</f>
        <v/>
      </c>
      <c r="AV177" s="152" t="n"/>
      <c r="AW177" s="152" t="n">
        <v>166</v>
      </c>
      <c r="AX177" s="152">
        <f>IF(BA176&lt;=0.005,0,BA176*(1+AX$6))</f>
        <v/>
      </c>
      <c r="AY177" s="152">
        <f>MIN(AX177,AX$7)</f>
        <v/>
      </c>
      <c r="AZ177" s="152">
        <f>MAX(0,MIN(AX177-AY177,CL177))</f>
        <v/>
      </c>
      <c r="BA177" s="152">
        <f>AX177-AY177-AZ177</f>
        <v/>
      </c>
      <c r="BB177" s="152">
        <f>IF(BE176&lt;=0.005,0,BE176*(1+BB$6))</f>
        <v/>
      </c>
      <c r="BC177" s="152">
        <f>MIN(BB177,BB$7)</f>
        <v/>
      </c>
      <c r="BD177" s="152">
        <f>MAX(0,MIN(BB177-BC177,CL177-(AZ177)))</f>
        <v/>
      </c>
      <c r="BE177" s="152">
        <f>BB177-BC177-BD177</f>
        <v/>
      </c>
      <c r="BF177" s="152">
        <f>IF(BI176&lt;=0.005,0,BI176*(1+BF$6))</f>
        <v/>
      </c>
      <c r="BG177" s="152">
        <f>MIN(BF177,BF$7)</f>
        <v/>
      </c>
      <c r="BH177" s="152">
        <f>MAX(0,MIN(BF177-BG177,CL177-(AZ177+BD177)))</f>
        <v/>
      </c>
      <c r="BI177" s="152">
        <f>BF177-BG177-BH177</f>
        <v/>
      </c>
      <c r="BJ177" s="152">
        <f>IF(BM176&lt;=0.005,0,BM176*(1+BJ$6))</f>
        <v/>
      </c>
      <c r="BK177" s="152">
        <f>MIN(BJ177,BJ$7)</f>
        <v/>
      </c>
      <c r="BL177" s="152">
        <f>MAX(0,MIN(BJ177-BK177,CL177-(AZ177+BD177+BH177)))</f>
        <v/>
      </c>
      <c r="BM177" s="152">
        <f>BJ177-BK177-BL177</f>
        <v/>
      </c>
      <c r="BN177" s="152">
        <f>IF(BQ176&lt;=0.005,0,BQ176*(1+BN$6))</f>
        <v/>
      </c>
      <c r="BO177" s="152">
        <f>MIN(BN177,BN$7)</f>
        <v/>
      </c>
      <c r="BP177" s="152">
        <f>MAX(0,MIN(BN177-BO177,CL177-(AZ177+BD177+BH177+BL177)))</f>
        <v/>
      </c>
      <c r="BQ177" s="152">
        <f>BN177-BO177-BP177</f>
        <v/>
      </c>
      <c r="BR177" s="152">
        <f>IF(BU176&lt;=0.005,0,BU176*(1+BR$6))</f>
        <v/>
      </c>
      <c r="BS177" s="152">
        <f>MIN(BR177,BR$7)</f>
        <v/>
      </c>
      <c r="BT177" s="152">
        <f>MAX(0,MIN(BR177-BS177,CL177-(AZ177+BD177+BH177+BL177+BP177)))</f>
        <v/>
      </c>
      <c r="BU177" s="152">
        <f>BR177-BS177-BT177</f>
        <v/>
      </c>
      <c r="BV177" s="152">
        <f>IF(BY176&lt;=0.005,0,BY176*(1+BV$6))</f>
        <v/>
      </c>
      <c r="BW177" s="152">
        <f>MIN(BV177,BV$7)</f>
        <v/>
      </c>
      <c r="BX177" s="152">
        <f>MAX(0,MIN(BV177-BW177,CL177-(AZ177+BD177+BH177+BL177+BP177+BT177)))</f>
        <v/>
      </c>
      <c r="BY177" s="152">
        <f>BV177-BW177-BX177</f>
        <v/>
      </c>
      <c r="BZ177" s="152">
        <f>IF(CC176&lt;=0.005,0,CC176*(1+BZ$6))</f>
        <v/>
      </c>
      <c r="CA177" s="152">
        <f>MIN(BZ177,BZ$7)</f>
        <v/>
      </c>
      <c r="CB177" s="152">
        <f>MAX(0,MIN(BZ177-CA177,CL177-(AZ177+BD177+BH177+BL177+BP177+BT177+BX177)))</f>
        <v/>
      </c>
      <c r="CC177" s="152">
        <f>BZ177-CA177-CB177</f>
        <v/>
      </c>
      <c r="CD177" s="152">
        <f>IF(CG176&lt;=0.005,0,CG176*(1+CD$6))</f>
        <v/>
      </c>
      <c r="CE177" s="152">
        <f>MIN(CD177,CD$7)</f>
        <v/>
      </c>
      <c r="CF177" s="152">
        <f>MAX(0,MIN(CD177-CE177,CL177-(AZ177+BD177+BH177+BL177+BP177+BT177+BX177+CB177)))</f>
        <v/>
      </c>
      <c r="CG177" s="152">
        <f>CD177-CE177-CF177</f>
        <v/>
      </c>
      <c r="CH177" s="152">
        <f>IF(CK176&lt;=0.005,0,CK176*(1+CH$6))</f>
        <v/>
      </c>
      <c r="CI177" s="152">
        <f>MIN(CH177,CH$7)</f>
        <v/>
      </c>
      <c r="CJ177" s="152">
        <f>MAX(0,MIN(CH177-CI177,CL177-(AZ177+BD177+BH177+BL177+BP177+BT177+BX177+CB177+CF177)))</f>
        <v/>
      </c>
      <c r="CK177" s="152">
        <f>CH177-CI177-CJ177</f>
        <v/>
      </c>
      <c r="CL177" s="152">
        <f>'Debt Payoff'!$C$8-SUM(AY177,BC177,BG177,BK177,BO177,BS177,BW177,CA177,CE177,CI177)</f>
        <v/>
      </c>
      <c r="CM177" s="152">
        <f>SUM(AY177,BC177,BG177,BK177,BO177,BS177,BW177,CA177,CE177,CI177)+SUM(AZ177,BD177,BH177,BL177,BP177,BT177,BX177,CB177,CF177,CJ177)</f>
        <v/>
      </c>
      <c r="CN177" s="152">
        <f>SUM(BA177,BE177,BI177,BM177,BQ177,BU177,BY177,CC177,CG177,CK177)</f>
        <v/>
      </c>
      <c r="CO177" s="152">
        <f>IF(AW177&gt;CN$6,NA(),AW177)</f>
        <v/>
      </c>
      <c r="CP177" s="152">
        <f>IF(AW177&gt;CN$6,NA(),CN177)</f>
        <v/>
      </c>
    </row>
    <row r="178">
      <c r="B178" s="152" t="n">
        <v>167</v>
      </c>
      <c r="C178" s="152">
        <f>IF(F177&lt;=0.005,0,F177*(1+C$6))</f>
        <v/>
      </c>
      <c r="D178" s="152">
        <f>MIN(C178,C$7)</f>
        <v/>
      </c>
      <c r="E178" s="152">
        <f>MAX(0,MIN(C178-D178,AQ178))</f>
        <v/>
      </c>
      <c r="F178" s="152">
        <f>C178-D178-E178</f>
        <v/>
      </c>
      <c r="G178" s="152">
        <f>IF(J177&lt;=0.005,0,J177*(1+G$6))</f>
        <v/>
      </c>
      <c r="H178" s="152">
        <f>MIN(G178,G$7)</f>
        <v/>
      </c>
      <c r="I178" s="152">
        <f>MAX(0,MIN(G178-H178,AQ178-(E178)))</f>
        <v/>
      </c>
      <c r="J178" s="152">
        <f>G178-H178-I178</f>
        <v/>
      </c>
      <c r="K178" s="152">
        <f>IF(N177&lt;=0.005,0,N177*(1+K$6))</f>
        <v/>
      </c>
      <c r="L178" s="152">
        <f>MIN(K178,K$7)</f>
        <v/>
      </c>
      <c r="M178" s="152">
        <f>MAX(0,MIN(K178-L178,AQ178-(E178+I178)))</f>
        <v/>
      </c>
      <c r="N178" s="152">
        <f>K178-L178-M178</f>
        <v/>
      </c>
      <c r="O178" s="152">
        <f>IF(R177&lt;=0.005,0,R177*(1+O$6))</f>
        <v/>
      </c>
      <c r="P178" s="152">
        <f>MIN(O178,O$7)</f>
        <v/>
      </c>
      <c r="Q178" s="152">
        <f>MAX(0,MIN(O178-P178,AQ178-(E178+I178+M178)))</f>
        <v/>
      </c>
      <c r="R178" s="152">
        <f>O178-P178-Q178</f>
        <v/>
      </c>
      <c r="S178" s="152">
        <f>IF(V177&lt;=0.005,0,V177*(1+S$6))</f>
        <v/>
      </c>
      <c r="T178" s="152">
        <f>MIN(S178,S$7)</f>
        <v/>
      </c>
      <c r="U178" s="152">
        <f>MAX(0,MIN(S178-T178,AQ178-(E178+I178+M178+Q178)))</f>
        <v/>
      </c>
      <c r="V178" s="152">
        <f>S178-T178-U178</f>
        <v/>
      </c>
      <c r="W178" s="152">
        <f>IF(Z177&lt;=0.005,0,Z177*(1+W$6))</f>
        <v/>
      </c>
      <c r="X178" s="152">
        <f>MIN(W178,W$7)</f>
        <v/>
      </c>
      <c r="Y178" s="152">
        <f>MAX(0,MIN(W178-X178,AQ178-(E178+I178+M178+Q178+U178)))</f>
        <v/>
      </c>
      <c r="Z178" s="152">
        <f>W178-X178-Y178</f>
        <v/>
      </c>
      <c r="AA178" s="152">
        <f>IF(AD177&lt;=0.005,0,AD177*(1+AA$6))</f>
        <v/>
      </c>
      <c r="AB178" s="152">
        <f>MIN(AA178,AA$7)</f>
        <v/>
      </c>
      <c r="AC178" s="152">
        <f>MAX(0,MIN(AA178-AB178,AQ178-(E178+I178+M178+Q178+U178+Y178)))</f>
        <v/>
      </c>
      <c r="AD178" s="152">
        <f>AA178-AB178-AC178</f>
        <v/>
      </c>
      <c r="AE178" s="152">
        <f>IF(AH177&lt;=0.005,0,AH177*(1+AE$6))</f>
        <v/>
      </c>
      <c r="AF178" s="152">
        <f>MIN(AE178,AE$7)</f>
        <v/>
      </c>
      <c r="AG178" s="152">
        <f>MAX(0,MIN(AE178-AF178,AQ178-(E178+I178+M178+Q178+U178+Y178+AC178)))</f>
        <v/>
      </c>
      <c r="AH178" s="152">
        <f>AE178-AF178-AG178</f>
        <v/>
      </c>
      <c r="AI178" s="152">
        <f>IF(AL177&lt;=0.005,0,AL177*(1+AI$6))</f>
        <v/>
      </c>
      <c r="AJ178" s="152">
        <f>MIN(AI178,AI$7)</f>
        <v/>
      </c>
      <c r="AK178" s="152">
        <f>MAX(0,MIN(AI178-AJ178,AQ178-(E178+I178+M178+Q178+U178+Y178+AC178+AG178)))</f>
        <v/>
      </c>
      <c r="AL178" s="152">
        <f>AI178-AJ178-AK178</f>
        <v/>
      </c>
      <c r="AM178" s="152">
        <f>IF(AP177&lt;=0.005,0,AP177*(1+AM$6))</f>
        <v/>
      </c>
      <c r="AN178" s="152">
        <f>MIN(AM178,AM$7)</f>
        <v/>
      </c>
      <c r="AO178" s="152">
        <f>MAX(0,MIN(AM178-AN178,AQ178-(E178+I178+M178+Q178+U178+Y178+AC178+AG178+AK178)))</f>
        <v/>
      </c>
      <c r="AP178" s="152">
        <f>AM178-AN178-AO178</f>
        <v/>
      </c>
      <c r="AQ178" s="152">
        <f>'Debt Payoff'!$C$8-SUM(D178,H178,L178,P178,T178,X178,AB178,AF178,AJ178,AN178)</f>
        <v/>
      </c>
      <c r="AR178" s="152">
        <f>SUM(D178,H178,L178,P178,T178,X178,AB178,AF178,AJ178,AN178)+SUM(E178,I178,M178,Q178,U178,Y178,AC178,AG178,AK178,AO178)</f>
        <v/>
      </c>
      <c r="AS178" s="152">
        <f>SUM(F178,J178,N178,R178,V178,Z178,AD178,AH178,AL178,AP178)</f>
        <v/>
      </c>
      <c r="AT178" s="152">
        <f>IF(B178&gt;AS$6,NA(),B178)</f>
        <v/>
      </c>
      <c r="AU178" s="152">
        <f>IF(B178&gt;AS$6,NA(),AS178)</f>
        <v/>
      </c>
      <c r="AV178" s="152" t="n"/>
      <c r="AW178" s="152" t="n">
        <v>167</v>
      </c>
      <c r="AX178" s="152">
        <f>IF(BA177&lt;=0.005,0,BA177*(1+AX$6))</f>
        <v/>
      </c>
      <c r="AY178" s="152">
        <f>MIN(AX178,AX$7)</f>
        <v/>
      </c>
      <c r="AZ178" s="152">
        <f>MAX(0,MIN(AX178-AY178,CL178))</f>
        <v/>
      </c>
      <c r="BA178" s="152">
        <f>AX178-AY178-AZ178</f>
        <v/>
      </c>
      <c r="BB178" s="152">
        <f>IF(BE177&lt;=0.005,0,BE177*(1+BB$6))</f>
        <v/>
      </c>
      <c r="BC178" s="152">
        <f>MIN(BB178,BB$7)</f>
        <v/>
      </c>
      <c r="BD178" s="152">
        <f>MAX(0,MIN(BB178-BC178,CL178-(AZ178)))</f>
        <v/>
      </c>
      <c r="BE178" s="152">
        <f>BB178-BC178-BD178</f>
        <v/>
      </c>
      <c r="BF178" s="152">
        <f>IF(BI177&lt;=0.005,0,BI177*(1+BF$6))</f>
        <v/>
      </c>
      <c r="BG178" s="152">
        <f>MIN(BF178,BF$7)</f>
        <v/>
      </c>
      <c r="BH178" s="152">
        <f>MAX(0,MIN(BF178-BG178,CL178-(AZ178+BD178)))</f>
        <v/>
      </c>
      <c r="BI178" s="152">
        <f>BF178-BG178-BH178</f>
        <v/>
      </c>
      <c r="BJ178" s="152">
        <f>IF(BM177&lt;=0.005,0,BM177*(1+BJ$6))</f>
        <v/>
      </c>
      <c r="BK178" s="152">
        <f>MIN(BJ178,BJ$7)</f>
        <v/>
      </c>
      <c r="BL178" s="152">
        <f>MAX(0,MIN(BJ178-BK178,CL178-(AZ178+BD178+BH178)))</f>
        <v/>
      </c>
      <c r="BM178" s="152">
        <f>BJ178-BK178-BL178</f>
        <v/>
      </c>
      <c r="BN178" s="152">
        <f>IF(BQ177&lt;=0.005,0,BQ177*(1+BN$6))</f>
        <v/>
      </c>
      <c r="BO178" s="152">
        <f>MIN(BN178,BN$7)</f>
        <v/>
      </c>
      <c r="BP178" s="152">
        <f>MAX(0,MIN(BN178-BO178,CL178-(AZ178+BD178+BH178+BL178)))</f>
        <v/>
      </c>
      <c r="BQ178" s="152">
        <f>BN178-BO178-BP178</f>
        <v/>
      </c>
      <c r="BR178" s="152">
        <f>IF(BU177&lt;=0.005,0,BU177*(1+BR$6))</f>
        <v/>
      </c>
      <c r="BS178" s="152">
        <f>MIN(BR178,BR$7)</f>
        <v/>
      </c>
      <c r="BT178" s="152">
        <f>MAX(0,MIN(BR178-BS178,CL178-(AZ178+BD178+BH178+BL178+BP178)))</f>
        <v/>
      </c>
      <c r="BU178" s="152">
        <f>BR178-BS178-BT178</f>
        <v/>
      </c>
      <c r="BV178" s="152">
        <f>IF(BY177&lt;=0.005,0,BY177*(1+BV$6))</f>
        <v/>
      </c>
      <c r="BW178" s="152">
        <f>MIN(BV178,BV$7)</f>
        <v/>
      </c>
      <c r="BX178" s="152">
        <f>MAX(0,MIN(BV178-BW178,CL178-(AZ178+BD178+BH178+BL178+BP178+BT178)))</f>
        <v/>
      </c>
      <c r="BY178" s="152">
        <f>BV178-BW178-BX178</f>
        <v/>
      </c>
      <c r="BZ178" s="152">
        <f>IF(CC177&lt;=0.005,0,CC177*(1+BZ$6))</f>
        <v/>
      </c>
      <c r="CA178" s="152">
        <f>MIN(BZ178,BZ$7)</f>
        <v/>
      </c>
      <c r="CB178" s="152">
        <f>MAX(0,MIN(BZ178-CA178,CL178-(AZ178+BD178+BH178+BL178+BP178+BT178+BX178)))</f>
        <v/>
      </c>
      <c r="CC178" s="152">
        <f>BZ178-CA178-CB178</f>
        <v/>
      </c>
      <c r="CD178" s="152">
        <f>IF(CG177&lt;=0.005,0,CG177*(1+CD$6))</f>
        <v/>
      </c>
      <c r="CE178" s="152">
        <f>MIN(CD178,CD$7)</f>
        <v/>
      </c>
      <c r="CF178" s="152">
        <f>MAX(0,MIN(CD178-CE178,CL178-(AZ178+BD178+BH178+BL178+BP178+BT178+BX178+CB178)))</f>
        <v/>
      </c>
      <c r="CG178" s="152">
        <f>CD178-CE178-CF178</f>
        <v/>
      </c>
      <c r="CH178" s="152">
        <f>IF(CK177&lt;=0.005,0,CK177*(1+CH$6))</f>
        <v/>
      </c>
      <c r="CI178" s="152">
        <f>MIN(CH178,CH$7)</f>
        <v/>
      </c>
      <c r="CJ178" s="152">
        <f>MAX(0,MIN(CH178-CI178,CL178-(AZ178+BD178+BH178+BL178+BP178+BT178+BX178+CB178+CF178)))</f>
        <v/>
      </c>
      <c r="CK178" s="152">
        <f>CH178-CI178-CJ178</f>
        <v/>
      </c>
      <c r="CL178" s="152">
        <f>'Debt Payoff'!$C$8-SUM(AY178,BC178,BG178,BK178,BO178,BS178,BW178,CA178,CE178,CI178)</f>
        <v/>
      </c>
      <c r="CM178" s="152">
        <f>SUM(AY178,BC178,BG178,BK178,BO178,BS178,BW178,CA178,CE178,CI178)+SUM(AZ178,BD178,BH178,BL178,BP178,BT178,BX178,CB178,CF178,CJ178)</f>
        <v/>
      </c>
      <c r="CN178" s="152">
        <f>SUM(BA178,BE178,BI178,BM178,BQ178,BU178,BY178,CC178,CG178,CK178)</f>
        <v/>
      </c>
      <c r="CO178" s="152">
        <f>IF(AW178&gt;CN$6,NA(),AW178)</f>
        <v/>
      </c>
      <c r="CP178" s="152">
        <f>IF(AW178&gt;CN$6,NA(),CN178)</f>
        <v/>
      </c>
    </row>
    <row r="179">
      <c r="B179" s="152" t="n">
        <v>168</v>
      </c>
      <c r="C179" s="152">
        <f>IF(F178&lt;=0.005,0,F178*(1+C$6))</f>
        <v/>
      </c>
      <c r="D179" s="152">
        <f>MIN(C179,C$7)</f>
        <v/>
      </c>
      <c r="E179" s="152">
        <f>MAX(0,MIN(C179-D179,AQ179))</f>
        <v/>
      </c>
      <c r="F179" s="152">
        <f>C179-D179-E179</f>
        <v/>
      </c>
      <c r="G179" s="152">
        <f>IF(J178&lt;=0.005,0,J178*(1+G$6))</f>
        <v/>
      </c>
      <c r="H179" s="152">
        <f>MIN(G179,G$7)</f>
        <v/>
      </c>
      <c r="I179" s="152">
        <f>MAX(0,MIN(G179-H179,AQ179-(E179)))</f>
        <v/>
      </c>
      <c r="J179" s="152">
        <f>G179-H179-I179</f>
        <v/>
      </c>
      <c r="K179" s="152">
        <f>IF(N178&lt;=0.005,0,N178*(1+K$6))</f>
        <v/>
      </c>
      <c r="L179" s="152">
        <f>MIN(K179,K$7)</f>
        <v/>
      </c>
      <c r="M179" s="152">
        <f>MAX(0,MIN(K179-L179,AQ179-(E179+I179)))</f>
        <v/>
      </c>
      <c r="N179" s="152">
        <f>K179-L179-M179</f>
        <v/>
      </c>
      <c r="O179" s="152">
        <f>IF(R178&lt;=0.005,0,R178*(1+O$6))</f>
        <v/>
      </c>
      <c r="P179" s="152">
        <f>MIN(O179,O$7)</f>
        <v/>
      </c>
      <c r="Q179" s="152">
        <f>MAX(0,MIN(O179-P179,AQ179-(E179+I179+M179)))</f>
        <v/>
      </c>
      <c r="R179" s="152">
        <f>O179-P179-Q179</f>
        <v/>
      </c>
      <c r="S179" s="152">
        <f>IF(V178&lt;=0.005,0,V178*(1+S$6))</f>
        <v/>
      </c>
      <c r="T179" s="152">
        <f>MIN(S179,S$7)</f>
        <v/>
      </c>
      <c r="U179" s="152">
        <f>MAX(0,MIN(S179-T179,AQ179-(E179+I179+M179+Q179)))</f>
        <v/>
      </c>
      <c r="V179" s="152">
        <f>S179-T179-U179</f>
        <v/>
      </c>
      <c r="W179" s="152">
        <f>IF(Z178&lt;=0.005,0,Z178*(1+W$6))</f>
        <v/>
      </c>
      <c r="X179" s="152">
        <f>MIN(W179,W$7)</f>
        <v/>
      </c>
      <c r="Y179" s="152">
        <f>MAX(0,MIN(W179-X179,AQ179-(E179+I179+M179+Q179+U179)))</f>
        <v/>
      </c>
      <c r="Z179" s="152">
        <f>W179-X179-Y179</f>
        <v/>
      </c>
      <c r="AA179" s="152">
        <f>IF(AD178&lt;=0.005,0,AD178*(1+AA$6))</f>
        <v/>
      </c>
      <c r="AB179" s="152">
        <f>MIN(AA179,AA$7)</f>
        <v/>
      </c>
      <c r="AC179" s="152">
        <f>MAX(0,MIN(AA179-AB179,AQ179-(E179+I179+M179+Q179+U179+Y179)))</f>
        <v/>
      </c>
      <c r="AD179" s="152">
        <f>AA179-AB179-AC179</f>
        <v/>
      </c>
      <c r="AE179" s="152">
        <f>IF(AH178&lt;=0.005,0,AH178*(1+AE$6))</f>
        <v/>
      </c>
      <c r="AF179" s="152">
        <f>MIN(AE179,AE$7)</f>
        <v/>
      </c>
      <c r="AG179" s="152">
        <f>MAX(0,MIN(AE179-AF179,AQ179-(E179+I179+M179+Q179+U179+Y179+AC179)))</f>
        <v/>
      </c>
      <c r="AH179" s="152">
        <f>AE179-AF179-AG179</f>
        <v/>
      </c>
      <c r="AI179" s="152">
        <f>IF(AL178&lt;=0.005,0,AL178*(1+AI$6))</f>
        <v/>
      </c>
      <c r="AJ179" s="152">
        <f>MIN(AI179,AI$7)</f>
        <v/>
      </c>
      <c r="AK179" s="152">
        <f>MAX(0,MIN(AI179-AJ179,AQ179-(E179+I179+M179+Q179+U179+Y179+AC179+AG179)))</f>
        <v/>
      </c>
      <c r="AL179" s="152">
        <f>AI179-AJ179-AK179</f>
        <v/>
      </c>
      <c r="AM179" s="152">
        <f>IF(AP178&lt;=0.005,0,AP178*(1+AM$6))</f>
        <v/>
      </c>
      <c r="AN179" s="152">
        <f>MIN(AM179,AM$7)</f>
        <v/>
      </c>
      <c r="AO179" s="152">
        <f>MAX(0,MIN(AM179-AN179,AQ179-(E179+I179+M179+Q179+U179+Y179+AC179+AG179+AK179)))</f>
        <v/>
      </c>
      <c r="AP179" s="152">
        <f>AM179-AN179-AO179</f>
        <v/>
      </c>
      <c r="AQ179" s="152">
        <f>'Debt Payoff'!$C$8-SUM(D179,H179,L179,P179,T179,X179,AB179,AF179,AJ179,AN179)</f>
        <v/>
      </c>
      <c r="AR179" s="152">
        <f>SUM(D179,H179,L179,P179,T179,X179,AB179,AF179,AJ179,AN179)+SUM(E179,I179,M179,Q179,U179,Y179,AC179,AG179,AK179,AO179)</f>
        <v/>
      </c>
      <c r="AS179" s="152">
        <f>SUM(F179,J179,N179,R179,V179,Z179,AD179,AH179,AL179,AP179)</f>
        <v/>
      </c>
      <c r="AT179" s="152">
        <f>IF(B179&gt;AS$6,NA(),B179)</f>
        <v/>
      </c>
      <c r="AU179" s="152">
        <f>IF(B179&gt;AS$6,NA(),AS179)</f>
        <v/>
      </c>
      <c r="AV179" s="152" t="n"/>
      <c r="AW179" s="152" t="n">
        <v>168</v>
      </c>
      <c r="AX179" s="152">
        <f>IF(BA178&lt;=0.005,0,BA178*(1+AX$6))</f>
        <v/>
      </c>
      <c r="AY179" s="152">
        <f>MIN(AX179,AX$7)</f>
        <v/>
      </c>
      <c r="AZ179" s="152">
        <f>MAX(0,MIN(AX179-AY179,CL179))</f>
        <v/>
      </c>
      <c r="BA179" s="152">
        <f>AX179-AY179-AZ179</f>
        <v/>
      </c>
      <c r="BB179" s="152">
        <f>IF(BE178&lt;=0.005,0,BE178*(1+BB$6))</f>
        <v/>
      </c>
      <c r="BC179" s="152">
        <f>MIN(BB179,BB$7)</f>
        <v/>
      </c>
      <c r="BD179" s="152">
        <f>MAX(0,MIN(BB179-BC179,CL179-(AZ179)))</f>
        <v/>
      </c>
      <c r="BE179" s="152">
        <f>BB179-BC179-BD179</f>
        <v/>
      </c>
      <c r="BF179" s="152">
        <f>IF(BI178&lt;=0.005,0,BI178*(1+BF$6))</f>
        <v/>
      </c>
      <c r="BG179" s="152">
        <f>MIN(BF179,BF$7)</f>
        <v/>
      </c>
      <c r="BH179" s="152">
        <f>MAX(0,MIN(BF179-BG179,CL179-(AZ179+BD179)))</f>
        <v/>
      </c>
      <c r="BI179" s="152">
        <f>BF179-BG179-BH179</f>
        <v/>
      </c>
      <c r="BJ179" s="152">
        <f>IF(BM178&lt;=0.005,0,BM178*(1+BJ$6))</f>
        <v/>
      </c>
      <c r="BK179" s="152">
        <f>MIN(BJ179,BJ$7)</f>
        <v/>
      </c>
      <c r="BL179" s="152">
        <f>MAX(0,MIN(BJ179-BK179,CL179-(AZ179+BD179+BH179)))</f>
        <v/>
      </c>
      <c r="BM179" s="152">
        <f>BJ179-BK179-BL179</f>
        <v/>
      </c>
      <c r="BN179" s="152">
        <f>IF(BQ178&lt;=0.005,0,BQ178*(1+BN$6))</f>
        <v/>
      </c>
      <c r="BO179" s="152">
        <f>MIN(BN179,BN$7)</f>
        <v/>
      </c>
      <c r="BP179" s="152">
        <f>MAX(0,MIN(BN179-BO179,CL179-(AZ179+BD179+BH179+BL179)))</f>
        <v/>
      </c>
      <c r="BQ179" s="152">
        <f>BN179-BO179-BP179</f>
        <v/>
      </c>
      <c r="BR179" s="152">
        <f>IF(BU178&lt;=0.005,0,BU178*(1+BR$6))</f>
        <v/>
      </c>
      <c r="BS179" s="152">
        <f>MIN(BR179,BR$7)</f>
        <v/>
      </c>
      <c r="BT179" s="152">
        <f>MAX(0,MIN(BR179-BS179,CL179-(AZ179+BD179+BH179+BL179+BP179)))</f>
        <v/>
      </c>
      <c r="BU179" s="152">
        <f>BR179-BS179-BT179</f>
        <v/>
      </c>
      <c r="BV179" s="152">
        <f>IF(BY178&lt;=0.005,0,BY178*(1+BV$6))</f>
        <v/>
      </c>
      <c r="BW179" s="152">
        <f>MIN(BV179,BV$7)</f>
        <v/>
      </c>
      <c r="BX179" s="152">
        <f>MAX(0,MIN(BV179-BW179,CL179-(AZ179+BD179+BH179+BL179+BP179+BT179)))</f>
        <v/>
      </c>
      <c r="BY179" s="152">
        <f>BV179-BW179-BX179</f>
        <v/>
      </c>
      <c r="BZ179" s="152">
        <f>IF(CC178&lt;=0.005,0,CC178*(1+BZ$6))</f>
        <v/>
      </c>
      <c r="CA179" s="152">
        <f>MIN(BZ179,BZ$7)</f>
        <v/>
      </c>
      <c r="CB179" s="152">
        <f>MAX(0,MIN(BZ179-CA179,CL179-(AZ179+BD179+BH179+BL179+BP179+BT179+BX179)))</f>
        <v/>
      </c>
      <c r="CC179" s="152">
        <f>BZ179-CA179-CB179</f>
        <v/>
      </c>
      <c r="CD179" s="152">
        <f>IF(CG178&lt;=0.005,0,CG178*(1+CD$6))</f>
        <v/>
      </c>
      <c r="CE179" s="152">
        <f>MIN(CD179,CD$7)</f>
        <v/>
      </c>
      <c r="CF179" s="152">
        <f>MAX(0,MIN(CD179-CE179,CL179-(AZ179+BD179+BH179+BL179+BP179+BT179+BX179+CB179)))</f>
        <v/>
      </c>
      <c r="CG179" s="152">
        <f>CD179-CE179-CF179</f>
        <v/>
      </c>
      <c r="CH179" s="152">
        <f>IF(CK178&lt;=0.005,0,CK178*(1+CH$6))</f>
        <v/>
      </c>
      <c r="CI179" s="152">
        <f>MIN(CH179,CH$7)</f>
        <v/>
      </c>
      <c r="CJ179" s="152">
        <f>MAX(0,MIN(CH179-CI179,CL179-(AZ179+BD179+BH179+BL179+BP179+BT179+BX179+CB179+CF179)))</f>
        <v/>
      </c>
      <c r="CK179" s="152">
        <f>CH179-CI179-CJ179</f>
        <v/>
      </c>
      <c r="CL179" s="152">
        <f>'Debt Payoff'!$C$8-SUM(AY179,BC179,BG179,BK179,BO179,BS179,BW179,CA179,CE179,CI179)</f>
        <v/>
      </c>
      <c r="CM179" s="152">
        <f>SUM(AY179,BC179,BG179,BK179,BO179,BS179,BW179,CA179,CE179,CI179)+SUM(AZ179,BD179,BH179,BL179,BP179,BT179,BX179,CB179,CF179,CJ179)</f>
        <v/>
      </c>
      <c r="CN179" s="152">
        <f>SUM(BA179,BE179,BI179,BM179,BQ179,BU179,BY179,CC179,CG179,CK179)</f>
        <v/>
      </c>
      <c r="CO179" s="152">
        <f>IF(AW179&gt;CN$6,NA(),AW179)</f>
        <v/>
      </c>
      <c r="CP179" s="152">
        <f>IF(AW179&gt;CN$6,NA(),CN179)</f>
        <v/>
      </c>
    </row>
    <row r="180">
      <c r="B180" s="152" t="n">
        <v>169</v>
      </c>
      <c r="C180" s="152">
        <f>IF(F179&lt;=0.005,0,F179*(1+C$6))</f>
        <v/>
      </c>
      <c r="D180" s="152">
        <f>MIN(C180,C$7)</f>
        <v/>
      </c>
      <c r="E180" s="152">
        <f>MAX(0,MIN(C180-D180,AQ180))</f>
        <v/>
      </c>
      <c r="F180" s="152">
        <f>C180-D180-E180</f>
        <v/>
      </c>
      <c r="G180" s="152">
        <f>IF(J179&lt;=0.005,0,J179*(1+G$6))</f>
        <v/>
      </c>
      <c r="H180" s="152">
        <f>MIN(G180,G$7)</f>
        <v/>
      </c>
      <c r="I180" s="152">
        <f>MAX(0,MIN(G180-H180,AQ180-(E180)))</f>
        <v/>
      </c>
      <c r="J180" s="152">
        <f>G180-H180-I180</f>
        <v/>
      </c>
      <c r="K180" s="152">
        <f>IF(N179&lt;=0.005,0,N179*(1+K$6))</f>
        <v/>
      </c>
      <c r="L180" s="152">
        <f>MIN(K180,K$7)</f>
        <v/>
      </c>
      <c r="M180" s="152">
        <f>MAX(0,MIN(K180-L180,AQ180-(E180+I180)))</f>
        <v/>
      </c>
      <c r="N180" s="152">
        <f>K180-L180-M180</f>
        <v/>
      </c>
      <c r="O180" s="152">
        <f>IF(R179&lt;=0.005,0,R179*(1+O$6))</f>
        <v/>
      </c>
      <c r="P180" s="152">
        <f>MIN(O180,O$7)</f>
        <v/>
      </c>
      <c r="Q180" s="152">
        <f>MAX(0,MIN(O180-P180,AQ180-(E180+I180+M180)))</f>
        <v/>
      </c>
      <c r="R180" s="152">
        <f>O180-P180-Q180</f>
        <v/>
      </c>
      <c r="S180" s="152">
        <f>IF(V179&lt;=0.005,0,V179*(1+S$6))</f>
        <v/>
      </c>
      <c r="T180" s="152">
        <f>MIN(S180,S$7)</f>
        <v/>
      </c>
      <c r="U180" s="152">
        <f>MAX(0,MIN(S180-T180,AQ180-(E180+I180+M180+Q180)))</f>
        <v/>
      </c>
      <c r="V180" s="152">
        <f>S180-T180-U180</f>
        <v/>
      </c>
      <c r="W180" s="152">
        <f>IF(Z179&lt;=0.005,0,Z179*(1+W$6))</f>
        <v/>
      </c>
      <c r="X180" s="152">
        <f>MIN(W180,W$7)</f>
        <v/>
      </c>
      <c r="Y180" s="152">
        <f>MAX(0,MIN(W180-X180,AQ180-(E180+I180+M180+Q180+U180)))</f>
        <v/>
      </c>
      <c r="Z180" s="152">
        <f>W180-X180-Y180</f>
        <v/>
      </c>
      <c r="AA180" s="152">
        <f>IF(AD179&lt;=0.005,0,AD179*(1+AA$6))</f>
        <v/>
      </c>
      <c r="AB180" s="152">
        <f>MIN(AA180,AA$7)</f>
        <v/>
      </c>
      <c r="AC180" s="152">
        <f>MAX(0,MIN(AA180-AB180,AQ180-(E180+I180+M180+Q180+U180+Y180)))</f>
        <v/>
      </c>
      <c r="AD180" s="152">
        <f>AA180-AB180-AC180</f>
        <v/>
      </c>
      <c r="AE180" s="152">
        <f>IF(AH179&lt;=0.005,0,AH179*(1+AE$6))</f>
        <v/>
      </c>
      <c r="AF180" s="152">
        <f>MIN(AE180,AE$7)</f>
        <v/>
      </c>
      <c r="AG180" s="152">
        <f>MAX(0,MIN(AE180-AF180,AQ180-(E180+I180+M180+Q180+U180+Y180+AC180)))</f>
        <v/>
      </c>
      <c r="AH180" s="152">
        <f>AE180-AF180-AG180</f>
        <v/>
      </c>
      <c r="AI180" s="152">
        <f>IF(AL179&lt;=0.005,0,AL179*(1+AI$6))</f>
        <v/>
      </c>
      <c r="AJ180" s="152">
        <f>MIN(AI180,AI$7)</f>
        <v/>
      </c>
      <c r="AK180" s="152">
        <f>MAX(0,MIN(AI180-AJ180,AQ180-(E180+I180+M180+Q180+U180+Y180+AC180+AG180)))</f>
        <v/>
      </c>
      <c r="AL180" s="152">
        <f>AI180-AJ180-AK180</f>
        <v/>
      </c>
      <c r="AM180" s="152">
        <f>IF(AP179&lt;=0.005,0,AP179*(1+AM$6))</f>
        <v/>
      </c>
      <c r="AN180" s="152">
        <f>MIN(AM180,AM$7)</f>
        <v/>
      </c>
      <c r="AO180" s="152">
        <f>MAX(0,MIN(AM180-AN180,AQ180-(E180+I180+M180+Q180+U180+Y180+AC180+AG180+AK180)))</f>
        <v/>
      </c>
      <c r="AP180" s="152">
        <f>AM180-AN180-AO180</f>
        <v/>
      </c>
      <c r="AQ180" s="152">
        <f>'Debt Payoff'!$C$8-SUM(D180,H180,L180,P180,T180,X180,AB180,AF180,AJ180,AN180)</f>
        <v/>
      </c>
      <c r="AR180" s="152">
        <f>SUM(D180,H180,L180,P180,T180,X180,AB180,AF180,AJ180,AN180)+SUM(E180,I180,M180,Q180,U180,Y180,AC180,AG180,AK180,AO180)</f>
        <v/>
      </c>
      <c r="AS180" s="152">
        <f>SUM(F180,J180,N180,R180,V180,Z180,AD180,AH180,AL180,AP180)</f>
        <v/>
      </c>
      <c r="AT180" s="152">
        <f>IF(B180&gt;AS$6,NA(),B180)</f>
        <v/>
      </c>
      <c r="AU180" s="152">
        <f>IF(B180&gt;AS$6,NA(),AS180)</f>
        <v/>
      </c>
      <c r="AV180" s="152" t="n"/>
      <c r="AW180" s="152" t="n">
        <v>169</v>
      </c>
      <c r="AX180" s="152">
        <f>IF(BA179&lt;=0.005,0,BA179*(1+AX$6))</f>
        <v/>
      </c>
      <c r="AY180" s="152">
        <f>MIN(AX180,AX$7)</f>
        <v/>
      </c>
      <c r="AZ180" s="152">
        <f>MAX(0,MIN(AX180-AY180,CL180))</f>
        <v/>
      </c>
      <c r="BA180" s="152">
        <f>AX180-AY180-AZ180</f>
        <v/>
      </c>
      <c r="BB180" s="152">
        <f>IF(BE179&lt;=0.005,0,BE179*(1+BB$6))</f>
        <v/>
      </c>
      <c r="BC180" s="152">
        <f>MIN(BB180,BB$7)</f>
        <v/>
      </c>
      <c r="BD180" s="152">
        <f>MAX(0,MIN(BB180-BC180,CL180-(AZ180)))</f>
        <v/>
      </c>
      <c r="BE180" s="152">
        <f>BB180-BC180-BD180</f>
        <v/>
      </c>
      <c r="BF180" s="152">
        <f>IF(BI179&lt;=0.005,0,BI179*(1+BF$6))</f>
        <v/>
      </c>
      <c r="BG180" s="152">
        <f>MIN(BF180,BF$7)</f>
        <v/>
      </c>
      <c r="BH180" s="152">
        <f>MAX(0,MIN(BF180-BG180,CL180-(AZ180+BD180)))</f>
        <v/>
      </c>
      <c r="BI180" s="152">
        <f>BF180-BG180-BH180</f>
        <v/>
      </c>
      <c r="BJ180" s="152">
        <f>IF(BM179&lt;=0.005,0,BM179*(1+BJ$6))</f>
        <v/>
      </c>
      <c r="BK180" s="152">
        <f>MIN(BJ180,BJ$7)</f>
        <v/>
      </c>
      <c r="BL180" s="152">
        <f>MAX(0,MIN(BJ180-BK180,CL180-(AZ180+BD180+BH180)))</f>
        <v/>
      </c>
      <c r="BM180" s="152">
        <f>BJ180-BK180-BL180</f>
        <v/>
      </c>
      <c r="BN180" s="152">
        <f>IF(BQ179&lt;=0.005,0,BQ179*(1+BN$6))</f>
        <v/>
      </c>
      <c r="BO180" s="152">
        <f>MIN(BN180,BN$7)</f>
        <v/>
      </c>
      <c r="BP180" s="152">
        <f>MAX(0,MIN(BN180-BO180,CL180-(AZ180+BD180+BH180+BL180)))</f>
        <v/>
      </c>
      <c r="BQ180" s="152">
        <f>BN180-BO180-BP180</f>
        <v/>
      </c>
      <c r="BR180" s="152">
        <f>IF(BU179&lt;=0.005,0,BU179*(1+BR$6))</f>
        <v/>
      </c>
      <c r="BS180" s="152">
        <f>MIN(BR180,BR$7)</f>
        <v/>
      </c>
      <c r="BT180" s="152">
        <f>MAX(0,MIN(BR180-BS180,CL180-(AZ180+BD180+BH180+BL180+BP180)))</f>
        <v/>
      </c>
      <c r="BU180" s="152">
        <f>BR180-BS180-BT180</f>
        <v/>
      </c>
      <c r="BV180" s="152">
        <f>IF(BY179&lt;=0.005,0,BY179*(1+BV$6))</f>
        <v/>
      </c>
      <c r="BW180" s="152">
        <f>MIN(BV180,BV$7)</f>
        <v/>
      </c>
      <c r="BX180" s="152">
        <f>MAX(0,MIN(BV180-BW180,CL180-(AZ180+BD180+BH180+BL180+BP180+BT180)))</f>
        <v/>
      </c>
      <c r="BY180" s="152">
        <f>BV180-BW180-BX180</f>
        <v/>
      </c>
      <c r="BZ180" s="152">
        <f>IF(CC179&lt;=0.005,0,CC179*(1+BZ$6))</f>
        <v/>
      </c>
      <c r="CA180" s="152">
        <f>MIN(BZ180,BZ$7)</f>
        <v/>
      </c>
      <c r="CB180" s="152">
        <f>MAX(0,MIN(BZ180-CA180,CL180-(AZ180+BD180+BH180+BL180+BP180+BT180+BX180)))</f>
        <v/>
      </c>
      <c r="CC180" s="152">
        <f>BZ180-CA180-CB180</f>
        <v/>
      </c>
      <c r="CD180" s="152">
        <f>IF(CG179&lt;=0.005,0,CG179*(1+CD$6))</f>
        <v/>
      </c>
      <c r="CE180" s="152">
        <f>MIN(CD180,CD$7)</f>
        <v/>
      </c>
      <c r="CF180" s="152">
        <f>MAX(0,MIN(CD180-CE180,CL180-(AZ180+BD180+BH180+BL180+BP180+BT180+BX180+CB180)))</f>
        <v/>
      </c>
      <c r="CG180" s="152">
        <f>CD180-CE180-CF180</f>
        <v/>
      </c>
      <c r="CH180" s="152">
        <f>IF(CK179&lt;=0.005,0,CK179*(1+CH$6))</f>
        <v/>
      </c>
      <c r="CI180" s="152">
        <f>MIN(CH180,CH$7)</f>
        <v/>
      </c>
      <c r="CJ180" s="152">
        <f>MAX(0,MIN(CH180-CI180,CL180-(AZ180+BD180+BH180+BL180+BP180+BT180+BX180+CB180+CF180)))</f>
        <v/>
      </c>
      <c r="CK180" s="152">
        <f>CH180-CI180-CJ180</f>
        <v/>
      </c>
      <c r="CL180" s="152">
        <f>'Debt Payoff'!$C$8-SUM(AY180,BC180,BG180,BK180,BO180,BS180,BW180,CA180,CE180,CI180)</f>
        <v/>
      </c>
      <c r="CM180" s="152">
        <f>SUM(AY180,BC180,BG180,BK180,BO180,BS180,BW180,CA180,CE180,CI180)+SUM(AZ180,BD180,BH180,BL180,BP180,BT180,BX180,CB180,CF180,CJ180)</f>
        <v/>
      </c>
      <c r="CN180" s="152">
        <f>SUM(BA180,BE180,BI180,BM180,BQ180,BU180,BY180,CC180,CG180,CK180)</f>
        <v/>
      </c>
      <c r="CO180" s="152">
        <f>IF(AW180&gt;CN$6,NA(),AW180)</f>
        <v/>
      </c>
      <c r="CP180" s="152">
        <f>IF(AW180&gt;CN$6,NA(),CN180)</f>
        <v/>
      </c>
    </row>
    <row r="181">
      <c r="B181" s="152" t="n">
        <v>170</v>
      </c>
      <c r="C181" s="152">
        <f>IF(F180&lt;=0.005,0,F180*(1+C$6))</f>
        <v/>
      </c>
      <c r="D181" s="152">
        <f>MIN(C181,C$7)</f>
        <v/>
      </c>
      <c r="E181" s="152">
        <f>MAX(0,MIN(C181-D181,AQ181))</f>
        <v/>
      </c>
      <c r="F181" s="152">
        <f>C181-D181-E181</f>
        <v/>
      </c>
      <c r="G181" s="152">
        <f>IF(J180&lt;=0.005,0,J180*(1+G$6))</f>
        <v/>
      </c>
      <c r="H181" s="152">
        <f>MIN(G181,G$7)</f>
        <v/>
      </c>
      <c r="I181" s="152">
        <f>MAX(0,MIN(G181-H181,AQ181-(E181)))</f>
        <v/>
      </c>
      <c r="J181" s="152">
        <f>G181-H181-I181</f>
        <v/>
      </c>
      <c r="K181" s="152">
        <f>IF(N180&lt;=0.005,0,N180*(1+K$6))</f>
        <v/>
      </c>
      <c r="L181" s="152">
        <f>MIN(K181,K$7)</f>
        <v/>
      </c>
      <c r="M181" s="152">
        <f>MAX(0,MIN(K181-L181,AQ181-(E181+I181)))</f>
        <v/>
      </c>
      <c r="N181" s="152">
        <f>K181-L181-M181</f>
        <v/>
      </c>
      <c r="O181" s="152">
        <f>IF(R180&lt;=0.005,0,R180*(1+O$6))</f>
        <v/>
      </c>
      <c r="P181" s="152">
        <f>MIN(O181,O$7)</f>
        <v/>
      </c>
      <c r="Q181" s="152">
        <f>MAX(0,MIN(O181-P181,AQ181-(E181+I181+M181)))</f>
        <v/>
      </c>
      <c r="R181" s="152">
        <f>O181-P181-Q181</f>
        <v/>
      </c>
      <c r="S181" s="152">
        <f>IF(V180&lt;=0.005,0,V180*(1+S$6))</f>
        <v/>
      </c>
      <c r="T181" s="152">
        <f>MIN(S181,S$7)</f>
        <v/>
      </c>
      <c r="U181" s="152">
        <f>MAX(0,MIN(S181-T181,AQ181-(E181+I181+M181+Q181)))</f>
        <v/>
      </c>
      <c r="V181" s="152">
        <f>S181-T181-U181</f>
        <v/>
      </c>
      <c r="W181" s="152">
        <f>IF(Z180&lt;=0.005,0,Z180*(1+W$6))</f>
        <v/>
      </c>
      <c r="X181" s="152">
        <f>MIN(W181,W$7)</f>
        <v/>
      </c>
      <c r="Y181" s="152">
        <f>MAX(0,MIN(W181-X181,AQ181-(E181+I181+M181+Q181+U181)))</f>
        <v/>
      </c>
      <c r="Z181" s="152">
        <f>W181-X181-Y181</f>
        <v/>
      </c>
      <c r="AA181" s="152">
        <f>IF(AD180&lt;=0.005,0,AD180*(1+AA$6))</f>
        <v/>
      </c>
      <c r="AB181" s="152">
        <f>MIN(AA181,AA$7)</f>
        <v/>
      </c>
      <c r="AC181" s="152">
        <f>MAX(0,MIN(AA181-AB181,AQ181-(E181+I181+M181+Q181+U181+Y181)))</f>
        <v/>
      </c>
      <c r="AD181" s="152">
        <f>AA181-AB181-AC181</f>
        <v/>
      </c>
      <c r="AE181" s="152">
        <f>IF(AH180&lt;=0.005,0,AH180*(1+AE$6))</f>
        <v/>
      </c>
      <c r="AF181" s="152">
        <f>MIN(AE181,AE$7)</f>
        <v/>
      </c>
      <c r="AG181" s="152">
        <f>MAX(0,MIN(AE181-AF181,AQ181-(E181+I181+M181+Q181+U181+Y181+AC181)))</f>
        <v/>
      </c>
      <c r="AH181" s="152">
        <f>AE181-AF181-AG181</f>
        <v/>
      </c>
      <c r="AI181" s="152">
        <f>IF(AL180&lt;=0.005,0,AL180*(1+AI$6))</f>
        <v/>
      </c>
      <c r="AJ181" s="152">
        <f>MIN(AI181,AI$7)</f>
        <v/>
      </c>
      <c r="AK181" s="152">
        <f>MAX(0,MIN(AI181-AJ181,AQ181-(E181+I181+M181+Q181+U181+Y181+AC181+AG181)))</f>
        <v/>
      </c>
      <c r="AL181" s="152">
        <f>AI181-AJ181-AK181</f>
        <v/>
      </c>
      <c r="AM181" s="152">
        <f>IF(AP180&lt;=0.005,0,AP180*(1+AM$6))</f>
        <v/>
      </c>
      <c r="AN181" s="152">
        <f>MIN(AM181,AM$7)</f>
        <v/>
      </c>
      <c r="AO181" s="152">
        <f>MAX(0,MIN(AM181-AN181,AQ181-(E181+I181+M181+Q181+U181+Y181+AC181+AG181+AK181)))</f>
        <v/>
      </c>
      <c r="AP181" s="152">
        <f>AM181-AN181-AO181</f>
        <v/>
      </c>
      <c r="AQ181" s="152">
        <f>'Debt Payoff'!$C$8-SUM(D181,H181,L181,P181,T181,X181,AB181,AF181,AJ181,AN181)</f>
        <v/>
      </c>
      <c r="AR181" s="152">
        <f>SUM(D181,H181,L181,P181,T181,X181,AB181,AF181,AJ181,AN181)+SUM(E181,I181,M181,Q181,U181,Y181,AC181,AG181,AK181,AO181)</f>
        <v/>
      </c>
      <c r="AS181" s="152">
        <f>SUM(F181,J181,N181,R181,V181,Z181,AD181,AH181,AL181,AP181)</f>
        <v/>
      </c>
      <c r="AT181" s="152">
        <f>IF(B181&gt;AS$6,NA(),B181)</f>
        <v/>
      </c>
      <c r="AU181" s="152">
        <f>IF(B181&gt;AS$6,NA(),AS181)</f>
        <v/>
      </c>
      <c r="AV181" s="152" t="n"/>
      <c r="AW181" s="152" t="n">
        <v>170</v>
      </c>
      <c r="AX181" s="152">
        <f>IF(BA180&lt;=0.005,0,BA180*(1+AX$6))</f>
        <v/>
      </c>
      <c r="AY181" s="152">
        <f>MIN(AX181,AX$7)</f>
        <v/>
      </c>
      <c r="AZ181" s="152">
        <f>MAX(0,MIN(AX181-AY181,CL181))</f>
        <v/>
      </c>
      <c r="BA181" s="152">
        <f>AX181-AY181-AZ181</f>
        <v/>
      </c>
      <c r="BB181" s="152">
        <f>IF(BE180&lt;=0.005,0,BE180*(1+BB$6))</f>
        <v/>
      </c>
      <c r="BC181" s="152">
        <f>MIN(BB181,BB$7)</f>
        <v/>
      </c>
      <c r="BD181" s="152">
        <f>MAX(0,MIN(BB181-BC181,CL181-(AZ181)))</f>
        <v/>
      </c>
      <c r="BE181" s="152">
        <f>BB181-BC181-BD181</f>
        <v/>
      </c>
      <c r="BF181" s="152">
        <f>IF(BI180&lt;=0.005,0,BI180*(1+BF$6))</f>
        <v/>
      </c>
      <c r="BG181" s="152">
        <f>MIN(BF181,BF$7)</f>
        <v/>
      </c>
      <c r="BH181" s="152">
        <f>MAX(0,MIN(BF181-BG181,CL181-(AZ181+BD181)))</f>
        <v/>
      </c>
      <c r="BI181" s="152">
        <f>BF181-BG181-BH181</f>
        <v/>
      </c>
      <c r="BJ181" s="152">
        <f>IF(BM180&lt;=0.005,0,BM180*(1+BJ$6))</f>
        <v/>
      </c>
      <c r="BK181" s="152">
        <f>MIN(BJ181,BJ$7)</f>
        <v/>
      </c>
      <c r="BL181" s="152">
        <f>MAX(0,MIN(BJ181-BK181,CL181-(AZ181+BD181+BH181)))</f>
        <v/>
      </c>
      <c r="BM181" s="152">
        <f>BJ181-BK181-BL181</f>
        <v/>
      </c>
      <c r="BN181" s="152">
        <f>IF(BQ180&lt;=0.005,0,BQ180*(1+BN$6))</f>
        <v/>
      </c>
      <c r="BO181" s="152">
        <f>MIN(BN181,BN$7)</f>
        <v/>
      </c>
      <c r="BP181" s="152">
        <f>MAX(0,MIN(BN181-BO181,CL181-(AZ181+BD181+BH181+BL181)))</f>
        <v/>
      </c>
      <c r="BQ181" s="152">
        <f>BN181-BO181-BP181</f>
        <v/>
      </c>
      <c r="BR181" s="152">
        <f>IF(BU180&lt;=0.005,0,BU180*(1+BR$6))</f>
        <v/>
      </c>
      <c r="BS181" s="152">
        <f>MIN(BR181,BR$7)</f>
        <v/>
      </c>
      <c r="BT181" s="152">
        <f>MAX(0,MIN(BR181-BS181,CL181-(AZ181+BD181+BH181+BL181+BP181)))</f>
        <v/>
      </c>
      <c r="BU181" s="152">
        <f>BR181-BS181-BT181</f>
        <v/>
      </c>
      <c r="BV181" s="152">
        <f>IF(BY180&lt;=0.005,0,BY180*(1+BV$6))</f>
        <v/>
      </c>
      <c r="BW181" s="152">
        <f>MIN(BV181,BV$7)</f>
        <v/>
      </c>
      <c r="BX181" s="152">
        <f>MAX(0,MIN(BV181-BW181,CL181-(AZ181+BD181+BH181+BL181+BP181+BT181)))</f>
        <v/>
      </c>
      <c r="BY181" s="152">
        <f>BV181-BW181-BX181</f>
        <v/>
      </c>
      <c r="BZ181" s="152">
        <f>IF(CC180&lt;=0.005,0,CC180*(1+BZ$6))</f>
        <v/>
      </c>
      <c r="CA181" s="152">
        <f>MIN(BZ181,BZ$7)</f>
        <v/>
      </c>
      <c r="CB181" s="152">
        <f>MAX(0,MIN(BZ181-CA181,CL181-(AZ181+BD181+BH181+BL181+BP181+BT181+BX181)))</f>
        <v/>
      </c>
      <c r="CC181" s="152">
        <f>BZ181-CA181-CB181</f>
        <v/>
      </c>
      <c r="CD181" s="152">
        <f>IF(CG180&lt;=0.005,0,CG180*(1+CD$6))</f>
        <v/>
      </c>
      <c r="CE181" s="152">
        <f>MIN(CD181,CD$7)</f>
        <v/>
      </c>
      <c r="CF181" s="152">
        <f>MAX(0,MIN(CD181-CE181,CL181-(AZ181+BD181+BH181+BL181+BP181+BT181+BX181+CB181)))</f>
        <v/>
      </c>
      <c r="CG181" s="152">
        <f>CD181-CE181-CF181</f>
        <v/>
      </c>
      <c r="CH181" s="152">
        <f>IF(CK180&lt;=0.005,0,CK180*(1+CH$6))</f>
        <v/>
      </c>
      <c r="CI181" s="152">
        <f>MIN(CH181,CH$7)</f>
        <v/>
      </c>
      <c r="CJ181" s="152">
        <f>MAX(0,MIN(CH181-CI181,CL181-(AZ181+BD181+BH181+BL181+BP181+BT181+BX181+CB181+CF181)))</f>
        <v/>
      </c>
      <c r="CK181" s="152">
        <f>CH181-CI181-CJ181</f>
        <v/>
      </c>
      <c r="CL181" s="152">
        <f>'Debt Payoff'!$C$8-SUM(AY181,BC181,BG181,BK181,BO181,BS181,BW181,CA181,CE181,CI181)</f>
        <v/>
      </c>
      <c r="CM181" s="152">
        <f>SUM(AY181,BC181,BG181,BK181,BO181,BS181,BW181,CA181,CE181,CI181)+SUM(AZ181,BD181,BH181,BL181,BP181,BT181,BX181,CB181,CF181,CJ181)</f>
        <v/>
      </c>
      <c r="CN181" s="152">
        <f>SUM(BA181,BE181,BI181,BM181,BQ181,BU181,BY181,CC181,CG181,CK181)</f>
        <v/>
      </c>
      <c r="CO181" s="152">
        <f>IF(AW181&gt;CN$6,NA(),AW181)</f>
        <v/>
      </c>
      <c r="CP181" s="152">
        <f>IF(AW181&gt;CN$6,NA(),CN181)</f>
        <v/>
      </c>
    </row>
    <row r="182">
      <c r="B182" s="152" t="n">
        <v>171</v>
      </c>
      <c r="C182" s="152">
        <f>IF(F181&lt;=0.005,0,F181*(1+C$6))</f>
        <v/>
      </c>
      <c r="D182" s="152">
        <f>MIN(C182,C$7)</f>
        <v/>
      </c>
      <c r="E182" s="152">
        <f>MAX(0,MIN(C182-D182,AQ182))</f>
        <v/>
      </c>
      <c r="F182" s="152">
        <f>C182-D182-E182</f>
        <v/>
      </c>
      <c r="G182" s="152">
        <f>IF(J181&lt;=0.005,0,J181*(1+G$6))</f>
        <v/>
      </c>
      <c r="H182" s="152">
        <f>MIN(G182,G$7)</f>
        <v/>
      </c>
      <c r="I182" s="152">
        <f>MAX(0,MIN(G182-H182,AQ182-(E182)))</f>
        <v/>
      </c>
      <c r="J182" s="152">
        <f>G182-H182-I182</f>
        <v/>
      </c>
      <c r="K182" s="152">
        <f>IF(N181&lt;=0.005,0,N181*(1+K$6))</f>
        <v/>
      </c>
      <c r="L182" s="152">
        <f>MIN(K182,K$7)</f>
        <v/>
      </c>
      <c r="M182" s="152">
        <f>MAX(0,MIN(K182-L182,AQ182-(E182+I182)))</f>
        <v/>
      </c>
      <c r="N182" s="152">
        <f>K182-L182-M182</f>
        <v/>
      </c>
      <c r="O182" s="152">
        <f>IF(R181&lt;=0.005,0,R181*(1+O$6))</f>
        <v/>
      </c>
      <c r="P182" s="152">
        <f>MIN(O182,O$7)</f>
        <v/>
      </c>
      <c r="Q182" s="152">
        <f>MAX(0,MIN(O182-P182,AQ182-(E182+I182+M182)))</f>
        <v/>
      </c>
      <c r="R182" s="152">
        <f>O182-P182-Q182</f>
        <v/>
      </c>
      <c r="S182" s="152">
        <f>IF(V181&lt;=0.005,0,V181*(1+S$6))</f>
        <v/>
      </c>
      <c r="T182" s="152">
        <f>MIN(S182,S$7)</f>
        <v/>
      </c>
      <c r="U182" s="152">
        <f>MAX(0,MIN(S182-T182,AQ182-(E182+I182+M182+Q182)))</f>
        <v/>
      </c>
      <c r="V182" s="152">
        <f>S182-T182-U182</f>
        <v/>
      </c>
      <c r="W182" s="152">
        <f>IF(Z181&lt;=0.005,0,Z181*(1+W$6))</f>
        <v/>
      </c>
      <c r="X182" s="152">
        <f>MIN(W182,W$7)</f>
        <v/>
      </c>
      <c r="Y182" s="152">
        <f>MAX(0,MIN(W182-X182,AQ182-(E182+I182+M182+Q182+U182)))</f>
        <v/>
      </c>
      <c r="Z182" s="152">
        <f>W182-X182-Y182</f>
        <v/>
      </c>
      <c r="AA182" s="152">
        <f>IF(AD181&lt;=0.005,0,AD181*(1+AA$6))</f>
        <v/>
      </c>
      <c r="AB182" s="152">
        <f>MIN(AA182,AA$7)</f>
        <v/>
      </c>
      <c r="AC182" s="152">
        <f>MAX(0,MIN(AA182-AB182,AQ182-(E182+I182+M182+Q182+U182+Y182)))</f>
        <v/>
      </c>
      <c r="AD182" s="152">
        <f>AA182-AB182-AC182</f>
        <v/>
      </c>
      <c r="AE182" s="152">
        <f>IF(AH181&lt;=0.005,0,AH181*(1+AE$6))</f>
        <v/>
      </c>
      <c r="AF182" s="152">
        <f>MIN(AE182,AE$7)</f>
        <v/>
      </c>
      <c r="AG182" s="152">
        <f>MAX(0,MIN(AE182-AF182,AQ182-(E182+I182+M182+Q182+U182+Y182+AC182)))</f>
        <v/>
      </c>
      <c r="AH182" s="152">
        <f>AE182-AF182-AG182</f>
        <v/>
      </c>
      <c r="AI182" s="152">
        <f>IF(AL181&lt;=0.005,0,AL181*(1+AI$6))</f>
        <v/>
      </c>
      <c r="AJ182" s="152">
        <f>MIN(AI182,AI$7)</f>
        <v/>
      </c>
      <c r="AK182" s="152">
        <f>MAX(0,MIN(AI182-AJ182,AQ182-(E182+I182+M182+Q182+U182+Y182+AC182+AG182)))</f>
        <v/>
      </c>
      <c r="AL182" s="152">
        <f>AI182-AJ182-AK182</f>
        <v/>
      </c>
      <c r="AM182" s="152">
        <f>IF(AP181&lt;=0.005,0,AP181*(1+AM$6))</f>
        <v/>
      </c>
      <c r="AN182" s="152">
        <f>MIN(AM182,AM$7)</f>
        <v/>
      </c>
      <c r="AO182" s="152">
        <f>MAX(0,MIN(AM182-AN182,AQ182-(E182+I182+M182+Q182+U182+Y182+AC182+AG182+AK182)))</f>
        <v/>
      </c>
      <c r="AP182" s="152">
        <f>AM182-AN182-AO182</f>
        <v/>
      </c>
      <c r="AQ182" s="152">
        <f>'Debt Payoff'!$C$8-SUM(D182,H182,L182,P182,T182,X182,AB182,AF182,AJ182,AN182)</f>
        <v/>
      </c>
      <c r="AR182" s="152">
        <f>SUM(D182,H182,L182,P182,T182,X182,AB182,AF182,AJ182,AN182)+SUM(E182,I182,M182,Q182,U182,Y182,AC182,AG182,AK182,AO182)</f>
        <v/>
      </c>
      <c r="AS182" s="152">
        <f>SUM(F182,J182,N182,R182,V182,Z182,AD182,AH182,AL182,AP182)</f>
        <v/>
      </c>
      <c r="AT182" s="152">
        <f>IF(B182&gt;AS$6,NA(),B182)</f>
        <v/>
      </c>
      <c r="AU182" s="152">
        <f>IF(B182&gt;AS$6,NA(),AS182)</f>
        <v/>
      </c>
      <c r="AV182" s="152" t="n"/>
      <c r="AW182" s="152" t="n">
        <v>171</v>
      </c>
      <c r="AX182" s="152">
        <f>IF(BA181&lt;=0.005,0,BA181*(1+AX$6))</f>
        <v/>
      </c>
      <c r="AY182" s="152">
        <f>MIN(AX182,AX$7)</f>
        <v/>
      </c>
      <c r="AZ182" s="152">
        <f>MAX(0,MIN(AX182-AY182,CL182))</f>
        <v/>
      </c>
      <c r="BA182" s="152">
        <f>AX182-AY182-AZ182</f>
        <v/>
      </c>
      <c r="BB182" s="152">
        <f>IF(BE181&lt;=0.005,0,BE181*(1+BB$6))</f>
        <v/>
      </c>
      <c r="BC182" s="152">
        <f>MIN(BB182,BB$7)</f>
        <v/>
      </c>
      <c r="BD182" s="152">
        <f>MAX(0,MIN(BB182-BC182,CL182-(AZ182)))</f>
        <v/>
      </c>
      <c r="BE182" s="152">
        <f>BB182-BC182-BD182</f>
        <v/>
      </c>
      <c r="BF182" s="152">
        <f>IF(BI181&lt;=0.005,0,BI181*(1+BF$6))</f>
        <v/>
      </c>
      <c r="BG182" s="152">
        <f>MIN(BF182,BF$7)</f>
        <v/>
      </c>
      <c r="BH182" s="152">
        <f>MAX(0,MIN(BF182-BG182,CL182-(AZ182+BD182)))</f>
        <v/>
      </c>
      <c r="BI182" s="152">
        <f>BF182-BG182-BH182</f>
        <v/>
      </c>
      <c r="BJ182" s="152">
        <f>IF(BM181&lt;=0.005,0,BM181*(1+BJ$6))</f>
        <v/>
      </c>
      <c r="BK182" s="152">
        <f>MIN(BJ182,BJ$7)</f>
        <v/>
      </c>
      <c r="BL182" s="152">
        <f>MAX(0,MIN(BJ182-BK182,CL182-(AZ182+BD182+BH182)))</f>
        <v/>
      </c>
      <c r="BM182" s="152">
        <f>BJ182-BK182-BL182</f>
        <v/>
      </c>
      <c r="BN182" s="152">
        <f>IF(BQ181&lt;=0.005,0,BQ181*(1+BN$6))</f>
        <v/>
      </c>
      <c r="BO182" s="152">
        <f>MIN(BN182,BN$7)</f>
        <v/>
      </c>
      <c r="BP182" s="152">
        <f>MAX(0,MIN(BN182-BO182,CL182-(AZ182+BD182+BH182+BL182)))</f>
        <v/>
      </c>
      <c r="BQ182" s="152">
        <f>BN182-BO182-BP182</f>
        <v/>
      </c>
      <c r="BR182" s="152">
        <f>IF(BU181&lt;=0.005,0,BU181*(1+BR$6))</f>
        <v/>
      </c>
      <c r="BS182" s="152">
        <f>MIN(BR182,BR$7)</f>
        <v/>
      </c>
      <c r="BT182" s="152">
        <f>MAX(0,MIN(BR182-BS182,CL182-(AZ182+BD182+BH182+BL182+BP182)))</f>
        <v/>
      </c>
      <c r="BU182" s="152">
        <f>BR182-BS182-BT182</f>
        <v/>
      </c>
      <c r="BV182" s="152">
        <f>IF(BY181&lt;=0.005,0,BY181*(1+BV$6))</f>
        <v/>
      </c>
      <c r="BW182" s="152">
        <f>MIN(BV182,BV$7)</f>
        <v/>
      </c>
      <c r="BX182" s="152">
        <f>MAX(0,MIN(BV182-BW182,CL182-(AZ182+BD182+BH182+BL182+BP182+BT182)))</f>
        <v/>
      </c>
      <c r="BY182" s="152">
        <f>BV182-BW182-BX182</f>
        <v/>
      </c>
      <c r="BZ182" s="152">
        <f>IF(CC181&lt;=0.005,0,CC181*(1+BZ$6))</f>
        <v/>
      </c>
      <c r="CA182" s="152">
        <f>MIN(BZ182,BZ$7)</f>
        <v/>
      </c>
      <c r="CB182" s="152">
        <f>MAX(0,MIN(BZ182-CA182,CL182-(AZ182+BD182+BH182+BL182+BP182+BT182+BX182)))</f>
        <v/>
      </c>
      <c r="CC182" s="152">
        <f>BZ182-CA182-CB182</f>
        <v/>
      </c>
      <c r="CD182" s="152">
        <f>IF(CG181&lt;=0.005,0,CG181*(1+CD$6))</f>
        <v/>
      </c>
      <c r="CE182" s="152">
        <f>MIN(CD182,CD$7)</f>
        <v/>
      </c>
      <c r="CF182" s="152">
        <f>MAX(0,MIN(CD182-CE182,CL182-(AZ182+BD182+BH182+BL182+BP182+BT182+BX182+CB182)))</f>
        <v/>
      </c>
      <c r="CG182" s="152">
        <f>CD182-CE182-CF182</f>
        <v/>
      </c>
      <c r="CH182" s="152">
        <f>IF(CK181&lt;=0.005,0,CK181*(1+CH$6))</f>
        <v/>
      </c>
      <c r="CI182" s="152">
        <f>MIN(CH182,CH$7)</f>
        <v/>
      </c>
      <c r="CJ182" s="152">
        <f>MAX(0,MIN(CH182-CI182,CL182-(AZ182+BD182+BH182+BL182+BP182+BT182+BX182+CB182+CF182)))</f>
        <v/>
      </c>
      <c r="CK182" s="152">
        <f>CH182-CI182-CJ182</f>
        <v/>
      </c>
      <c r="CL182" s="152">
        <f>'Debt Payoff'!$C$8-SUM(AY182,BC182,BG182,BK182,BO182,BS182,BW182,CA182,CE182,CI182)</f>
        <v/>
      </c>
      <c r="CM182" s="152">
        <f>SUM(AY182,BC182,BG182,BK182,BO182,BS182,BW182,CA182,CE182,CI182)+SUM(AZ182,BD182,BH182,BL182,BP182,BT182,BX182,CB182,CF182,CJ182)</f>
        <v/>
      </c>
      <c r="CN182" s="152">
        <f>SUM(BA182,BE182,BI182,BM182,BQ182,BU182,BY182,CC182,CG182,CK182)</f>
        <v/>
      </c>
      <c r="CO182" s="152">
        <f>IF(AW182&gt;CN$6,NA(),AW182)</f>
        <v/>
      </c>
      <c r="CP182" s="152">
        <f>IF(AW182&gt;CN$6,NA(),CN182)</f>
        <v/>
      </c>
    </row>
    <row r="183">
      <c r="B183" s="152" t="n">
        <v>172</v>
      </c>
      <c r="C183" s="152">
        <f>IF(F182&lt;=0.005,0,F182*(1+C$6))</f>
        <v/>
      </c>
      <c r="D183" s="152">
        <f>MIN(C183,C$7)</f>
        <v/>
      </c>
      <c r="E183" s="152">
        <f>MAX(0,MIN(C183-D183,AQ183))</f>
        <v/>
      </c>
      <c r="F183" s="152">
        <f>C183-D183-E183</f>
        <v/>
      </c>
      <c r="G183" s="152">
        <f>IF(J182&lt;=0.005,0,J182*(1+G$6))</f>
        <v/>
      </c>
      <c r="H183" s="152">
        <f>MIN(G183,G$7)</f>
        <v/>
      </c>
      <c r="I183" s="152">
        <f>MAX(0,MIN(G183-H183,AQ183-(E183)))</f>
        <v/>
      </c>
      <c r="J183" s="152">
        <f>G183-H183-I183</f>
        <v/>
      </c>
      <c r="K183" s="152">
        <f>IF(N182&lt;=0.005,0,N182*(1+K$6))</f>
        <v/>
      </c>
      <c r="L183" s="152">
        <f>MIN(K183,K$7)</f>
        <v/>
      </c>
      <c r="M183" s="152">
        <f>MAX(0,MIN(K183-L183,AQ183-(E183+I183)))</f>
        <v/>
      </c>
      <c r="N183" s="152">
        <f>K183-L183-M183</f>
        <v/>
      </c>
      <c r="O183" s="152">
        <f>IF(R182&lt;=0.005,0,R182*(1+O$6))</f>
        <v/>
      </c>
      <c r="P183" s="152">
        <f>MIN(O183,O$7)</f>
        <v/>
      </c>
      <c r="Q183" s="152">
        <f>MAX(0,MIN(O183-P183,AQ183-(E183+I183+M183)))</f>
        <v/>
      </c>
      <c r="R183" s="152">
        <f>O183-P183-Q183</f>
        <v/>
      </c>
      <c r="S183" s="152">
        <f>IF(V182&lt;=0.005,0,V182*(1+S$6))</f>
        <v/>
      </c>
      <c r="T183" s="152">
        <f>MIN(S183,S$7)</f>
        <v/>
      </c>
      <c r="U183" s="152">
        <f>MAX(0,MIN(S183-T183,AQ183-(E183+I183+M183+Q183)))</f>
        <v/>
      </c>
      <c r="V183" s="152">
        <f>S183-T183-U183</f>
        <v/>
      </c>
      <c r="W183" s="152">
        <f>IF(Z182&lt;=0.005,0,Z182*(1+W$6))</f>
        <v/>
      </c>
      <c r="X183" s="152">
        <f>MIN(W183,W$7)</f>
        <v/>
      </c>
      <c r="Y183" s="152">
        <f>MAX(0,MIN(W183-X183,AQ183-(E183+I183+M183+Q183+U183)))</f>
        <v/>
      </c>
      <c r="Z183" s="152">
        <f>W183-X183-Y183</f>
        <v/>
      </c>
      <c r="AA183" s="152">
        <f>IF(AD182&lt;=0.005,0,AD182*(1+AA$6))</f>
        <v/>
      </c>
      <c r="AB183" s="152">
        <f>MIN(AA183,AA$7)</f>
        <v/>
      </c>
      <c r="AC183" s="152">
        <f>MAX(0,MIN(AA183-AB183,AQ183-(E183+I183+M183+Q183+U183+Y183)))</f>
        <v/>
      </c>
      <c r="AD183" s="152">
        <f>AA183-AB183-AC183</f>
        <v/>
      </c>
      <c r="AE183" s="152">
        <f>IF(AH182&lt;=0.005,0,AH182*(1+AE$6))</f>
        <v/>
      </c>
      <c r="AF183" s="152">
        <f>MIN(AE183,AE$7)</f>
        <v/>
      </c>
      <c r="AG183" s="152">
        <f>MAX(0,MIN(AE183-AF183,AQ183-(E183+I183+M183+Q183+U183+Y183+AC183)))</f>
        <v/>
      </c>
      <c r="AH183" s="152">
        <f>AE183-AF183-AG183</f>
        <v/>
      </c>
      <c r="AI183" s="152">
        <f>IF(AL182&lt;=0.005,0,AL182*(1+AI$6))</f>
        <v/>
      </c>
      <c r="AJ183" s="152">
        <f>MIN(AI183,AI$7)</f>
        <v/>
      </c>
      <c r="AK183" s="152">
        <f>MAX(0,MIN(AI183-AJ183,AQ183-(E183+I183+M183+Q183+U183+Y183+AC183+AG183)))</f>
        <v/>
      </c>
      <c r="AL183" s="152">
        <f>AI183-AJ183-AK183</f>
        <v/>
      </c>
      <c r="AM183" s="152">
        <f>IF(AP182&lt;=0.005,0,AP182*(1+AM$6))</f>
        <v/>
      </c>
      <c r="AN183" s="152">
        <f>MIN(AM183,AM$7)</f>
        <v/>
      </c>
      <c r="AO183" s="152">
        <f>MAX(0,MIN(AM183-AN183,AQ183-(E183+I183+M183+Q183+U183+Y183+AC183+AG183+AK183)))</f>
        <v/>
      </c>
      <c r="AP183" s="152">
        <f>AM183-AN183-AO183</f>
        <v/>
      </c>
      <c r="AQ183" s="152">
        <f>'Debt Payoff'!$C$8-SUM(D183,H183,L183,P183,T183,X183,AB183,AF183,AJ183,AN183)</f>
        <v/>
      </c>
      <c r="AR183" s="152">
        <f>SUM(D183,H183,L183,P183,T183,X183,AB183,AF183,AJ183,AN183)+SUM(E183,I183,M183,Q183,U183,Y183,AC183,AG183,AK183,AO183)</f>
        <v/>
      </c>
      <c r="AS183" s="152">
        <f>SUM(F183,J183,N183,R183,V183,Z183,AD183,AH183,AL183,AP183)</f>
        <v/>
      </c>
      <c r="AT183" s="152">
        <f>IF(B183&gt;AS$6,NA(),B183)</f>
        <v/>
      </c>
      <c r="AU183" s="152">
        <f>IF(B183&gt;AS$6,NA(),AS183)</f>
        <v/>
      </c>
      <c r="AV183" s="152" t="n"/>
      <c r="AW183" s="152" t="n">
        <v>172</v>
      </c>
      <c r="AX183" s="152">
        <f>IF(BA182&lt;=0.005,0,BA182*(1+AX$6))</f>
        <v/>
      </c>
      <c r="AY183" s="152">
        <f>MIN(AX183,AX$7)</f>
        <v/>
      </c>
      <c r="AZ183" s="152">
        <f>MAX(0,MIN(AX183-AY183,CL183))</f>
        <v/>
      </c>
      <c r="BA183" s="152">
        <f>AX183-AY183-AZ183</f>
        <v/>
      </c>
      <c r="BB183" s="152">
        <f>IF(BE182&lt;=0.005,0,BE182*(1+BB$6))</f>
        <v/>
      </c>
      <c r="BC183" s="152">
        <f>MIN(BB183,BB$7)</f>
        <v/>
      </c>
      <c r="BD183" s="152">
        <f>MAX(0,MIN(BB183-BC183,CL183-(AZ183)))</f>
        <v/>
      </c>
      <c r="BE183" s="152">
        <f>BB183-BC183-BD183</f>
        <v/>
      </c>
      <c r="BF183" s="152">
        <f>IF(BI182&lt;=0.005,0,BI182*(1+BF$6))</f>
        <v/>
      </c>
      <c r="BG183" s="152">
        <f>MIN(BF183,BF$7)</f>
        <v/>
      </c>
      <c r="BH183" s="152">
        <f>MAX(0,MIN(BF183-BG183,CL183-(AZ183+BD183)))</f>
        <v/>
      </c>
      <c r="BI183" s="152">
        <f>BF183-BG183-BH183</f>
        <v/>
      </c>
      <c r="BJ183" s="152">
        <f>IF(BM182&lt;=0.005,0,BM182*(1+BJ$6))</f>
        <v/>
      </c>
      <c r="BK183" s="152">
        <f>MIN(BJ183,BJ$7)</f>
        <v/>
      </c>
      <c r="BL183" s="152">
        <f>MAX(0,MIN(BJ183-BK183,CL183-(AZ183+BD183+BH183)))</f>
        <v/>
      </c>
      <c r="BM183" s="152">
        <f>BJ183-BK183-BL183</f>
        <v/>
      </c>
      <c r="BN183" s="152">
        <f>IF(BQ182&lt;=0.005,0,BQ182*(1+BN$6))</f>
        <v/>
      </c>
      <c r="BO183" s="152">
        <f>MIN(BN183,BN$7)</f>
        <v/>
      </c>
      <c r="BP183" s="152">
        <f>MAX(0,MIN(BN183-BO183,CL183-(AZ183+BD183+BH183+BL183)))</f>
        <v/>
      </c>
      <c r="BQ183" s="152">
        <f>BN183-BO183-BP183</f>
        <v/>
      </c>
      <c r="BR183" s="152">
        <f>IF(BU182&lt;=0.005,0,BU182*(1+BR$6))</f>
        <v/>
      </c>
      <c r="BS183" s="152">
        <f>MIN(BR183,BR$7)</f>
        <v/>
      </c>
      <c r="BT183" s="152">
        <f>MAX(0,MIN(BR183-BS183,CL183-(AZ183+BD183+BH183+BL183+BP183)))</f>
        <v/>
      </c>
      <c r="BU183" s="152">
        <f>BR183-BS183-BT183</f>
        <v/>
      </c>
      <c r="BV183" s="152">
        <f>IF(BY182&lt;=0.005,0,BY182*(1+BV$6))</f>
        <v/>
      </c>
      <c r="BW183" s="152">
        <f>MIN(BV183,BV$7)</f>
        <v/>
      </c>
      <c r="BX183" s="152">
        <f>MAX(0,MIN(BV183-BW183,CL183-(AZ183+BD183+BH183+BL183+BP183+BT183)))</f>
        <v/>
      </c>
      <c r="BY183" s="152">
        <f>BV183-BW183-BX183</f>
        <v/>
      </c>
      <c r="BZ183" s="152">
        <f>IF(CC182&lt;=0.005,0,CC182*(1+BZ$6))</f>
        <v/>
      </c>
      <c r="CA183" s="152">
        <f>MIN(BZ183,BZ$7)</f>
        <v/>
      </c>
      <c r="CB183" s="152">
        <f>MAX(0,MIN(BZ183-CA183,CL183-(AZ183+BD183+BH183+BL183+BP183+BT183+BX183)))</f>
        <v/>
      </c>
      <c r="CC183" s="152">
        <f>BZ183-CA183-CB183</f>
        <v/>
      </c>
      <c r="CD183" s="152">
        <f>IF(CG182&lt;=0.005,0,CG182*(1+CD$6))</f>
        <v/>
      </c>
      <c r="CE183" s="152">
        <f>MIN(CD183,CD$7)</f>
        <v/>
      </c>
      <c r="CF183" s="152">
        <f>MAX(0,MIN(CD183-CE183,CL183-(AZ183+BD183+BH183+BL183+BP183+BT183+BX183+CB183)))</f>
        <v/>
      </c>
      <c r="CG183" s="152">
        <f>CD183-CE183-CF183</f>
        <v/>
      </c>
      <c r="CH183" s="152">
        <f>IF(CK182&lt;=0.005,0,CK182*(1+CH$6))</f>
        <v/>
      </c>
      <c r="CI183" s="152">
        <f>MIN(CH183,CH$7)</f>
        <v/>
      </c>
      <c r="CJ183" s="152">
        <f>MAX(0,MIN(CH183-CI183,CL183-(AZ183+BD183+BH183+BL183+BP183+BT183+BX183+CB183+CF183)))</f>
        <v/>
      </c>
      <c r="CK183" s="152">
        <f>CH183-CI183-CJ183</f>
        <v/>
      </c>
      <c r="CL183" s="152">
        <f>'Debt Payoff'!$C$8-SUM(AY183,BC183,BG183,BK183,BO183,BS183,BW183,CA183,CE183,CI183)</f>
        <v/>
      </c>
      <c r="CM183" s="152">
        <f>SUM(AY183,BC183,BG183,BK183,BO183,BS183,BW183,CA183,CE183,CI183)+SUM(AZ183,BD183,BH183,BL183,BP183,BT183,BX183,CB183,CF183,CJ183)</f>
        <v/>
      </c>
      <c r="CN183" s="152">
        <f>SUM(BA183,BE183,BI183,BM183,BQ183,BU183,BY183,CC183,CG183,CK183)</f>
        <v/>
      </c>
      <c r="CO183" s="152">
        <f>IF(AW183&gt;CN$6,NA(),AW183)</f>
        <v/>
      </c>
      <c r="CP183" s="152">
        <f>IF(AW183&gt;CN$6,NA(),CN183)</f>
        <v/>
      </c>
    </row>
    <row r="184">
      <c r="B184" s="152" t="n">
        <v>173</v>
      </c>
      <c r="C184" s="152">
        <f>IF(F183&lt;=0.005,0,F183*(1+C$6))</f>
        <v/>
      </c>
      <c r="D184" s="152">
        <f>MIN(C184,C$7)</f>
        <v/>
      </c>
      <c r="E184" s="152">
        <f>MAX(0,MIN(C184-D184,AQ184))</f>
        <v/>
      </c>
      <c r="F184" s="152">
        <f>C184-D184-E184</f>
        <v/>
      </c>
      <c r="G184" s="152">
        <f>IF(J183&lt;=0.005,0,J183*(1+G$6))</f>
        <v/>
      </c>
      <c r="H184" s="152">
        <f>MIN(G184,G$7)</f>
        <v/>
      </c>
      <c r="I184" s="152">
        <f>MAX(0,MIN(G184-H184,AQ184-(E184)))</f>
        <v/>
      </c>
      <c r="J184" s="152">
        <f>G184-H184-I184</f>
        <v/>
      </c>
      <c r="K184" s="152">
        <f>IF(N183&lt;=0.005,0,N183*(1+K$6))</f>
        <v/>
      </c>
      <c r="L184" s="152">
        <f>MIN(K184,K$7)</f>
        <v/>
      </c>
      <c r="M184" s="152">
        <f>MAX(0,MIN(K184-L184,AQ184-(E184+I184)))</f>
        <v/>
      </c>
      <c r="N184" s="152">
        <f>K184-L184-M184</f>
        <v/>
      </c>
      <c r="O184" s="152">
        <f>IF(R183&lt;=0.005,0,R183*(1+O$6))</f>
        <v/>
      </c>
      <c r="P184" s="152">
        <f>MIN(O184,O$7)</f>
        <v/>
      </c>
      <c r="Q184" s="152">
        <f>MAX(0,MIN(O184-P184,AQ184-(E184+I184+M184)))</f>
        <v/>
      </c>
      <c r="R184" s="152">
        <f>O184-P184-Q184</f>
        <v/>
      </c>
      <c r="S184" s="152">
        <f>IF(V183&lt;=0.005,0,V183*(1+S$6))</f>
        <v/>
      </c>
      <c r="T184" s="152">
        <f>MIN(S184,S$7)</f>
        <v/>
      </c>
      <c r="U184" s="152">
        <f>MAX(0,MIN(S184-T184,AQ184-(E184+I184+M184+Q184)))</f>
        <v/>
      </c>
      <c r="V184" s="152">
        <f>S184-T184-U184</f>
        <v/>
      </c>
      <c r="W184" s="152">
        <f>IF(Z183&lt;=0.005,0,Z183*(1+W$6))</f>
        <v/>
      </c>
      <c r="X184" s="152">
        <f>MIN(W184,W$7)</f>
        <v/>
      </c>
      <c r="Y184" s="152">
        <f>MAX(0,MIN(W184-X184,AQ184-(E184+I184+M184+Q184+U184)))</f>
        <v/>
      </c>
      <c r="Z184" s="152">
        <f>W184-X184-Y184</f>
        <v/>
      </c>
      <c r="AA184" s="152">
        <f>IF(AD183&lt;=0.005,0,AD183*(1+AA$6))</f>
        <v/>
      </c>
      <c r="AB184" s="152">
        <f>MIN(AA184,AA$7)</f>
        <v/>
      </c>
      <c r="AC184" s="152">
        <f>MAX(0,MIN(AA184-AB184,AQ184-(E184+I184+M184+Q184+U184+Y184)))</f>
        <v/>
      </c>
      <c r="AD184" s="152">
        <f>AA184-AB184-AC184</f>
        <v/>
      </c>
      <c r="AE184" s="152">
        <f>IF(AH183&lt;=0.005,0,AH183*(1+AE$6))</f>
        <v/>
      </c>
      <c r="AF184" s="152">
        <f>MIN(AE184,AE$7)</f>
        <v/>
      </c>
      <c r="AG184" s="152">
        <f>MAX(0,MIN(AE184-AF184,AQ184-(E184+I184+M184+Q184+U184+Y184+AC184)))</f>
        <v/>
      </c>
      <c r="AH184" s="152">
        <f>AE184-AF184-AG184</f>
        <v/>
      </c>
      <c r="AI184" s="152">
        <f>IF(AL183&lt;=0.005,0,AL183*(1+AI$6))</f>
        <v/>
      </c>
      <c r="AJ184" s="152">
        <f>MIN(AI184,AI$7)</f>
        <v/>
      </c>
      <c r="AK184" s="152">
        <f>MAX(0,MIN(AI184-AJ184,AQ184-(E184+I184+M184+Q184+U184+Y184+AC184+AG184)))</f>
        <v/>
      </c>
      <c r="AL184" s="152">
        <f>AI184-AJ184-AK184</f>
        <v/>
      </c>
      <c r="AM184" s="152">
        <f>IF(AP183&lt;=0.005,0,AP183*(1+AM$6))</f>
        <v/>
      </c>
      <c r="AN184" s="152">
        <f>MIN(AM184,AM$7)</f>
        <v/>
      </c>
      <c r="AO184" s="152">
        <f>MAX(0,MIN(AM184-AN184,AQ184-(E184+I184+M184+Q184+U184+Y184+AC184+AG184+AK184)))</f>
        <v/>
      </c>
      <c r="AP184" s="152">
        <f>AM184-AN184-AO184</f>
        <v/>
      </c>
      <c r="AQ184" s="152">
        <f>'Debt Payoff'!$C$8-SUM(D184,H184,L184,P184,T184,X184,AB184,AF184,AJ184,AN184)</f>
        <v/>
      </c>
      <c r="AR184" s="152">
        <f>SUM(D184,H184,L184,P184,T184,X184,AB184,AF184,AJ184,AN184)+SUM(E184,I184,M184,Q184,U184,Y184,AC184,AG184,AK184,AO184)</f>
        <v/>
      </c>
      <c r="AS184" s="152">
        <f>SUM(F184,J184,N184,R184,V184,Z184,AD184,AH184,AL184,AP184)</f>
        <v/>
      </c>
      <c r="AT184" s="152">
        <f>IF(B184&gt;AS$6,NA(),B184)</f>
        <v/>
      </c>
      <c r="AU184" s="152">
        <f>IF(B184&gt;AS$6,NA(),AS184)</f>
        <v/>
      </c>
      <c r="AV184" s="152" t="n"/>
      <c r="AW184" s="152" t="n">
        <v>173</v>
      </c>
      <c r="AX184" s="152">
        <f>IF(BA183&lt;=0.005,0,BA183*(1+AX$6))</f>
        <v/>
      </c>
      <c r="AY184" s="152">
        <f>MIN(AX184,AX$7)</f>
        <v/>
      </c>
      <c r="AZ184" s="152">
        <f>MAX(0,MIN(AX184-AY184,CL184))</f>
        <v/>
      </c>
      <c r="BA184" s="152">
        <f>AX184-AY184-AZ184</f>
        <v/>
      </c>
      <c r="BB184" s="152">
        <f>IF(BE183&lt;=0.005,0,BE183*(1+BB$6))</f>
        <v/>
      </c>
      <c r="BC184" s="152">
        <f>MIN(BB184,BB$7)</f>
        <v/>
      </c>
      <c r="BD184" s="152">
        <f>MAX(0,MIN(BB184-BC184,CL184-(AZ184)))</f>
        <v/>
      </c>
      <c r="BE184" s="152">
        <f>BB184-BC184-BD184</f>
        <v/>
      </c>
      <c r="BF184" s="152">
        <f>IF(BI183&lt;=0.005,0,BI183*(1+BF$6))</f>
        <v/>
      </c>
      <c r="BG184" s="152">
        <f>MIN(BF184,BF$7)</f>
        <v/>
      </c>
      <c r="BH184" s="152">
        <f>MAX(0,MIN(BF184-BG184,CL184-(AZ184+BD184)))</f>
        <v/>
      </c>
      <c r="BI184" s="152">
        <f>BF184-BG184-BH184</f>
        <v/>
      </c>
      <c r="BJ184" s="152">
        <f>IF(BM183&lt;=0.005,0,BM183*(1+BJ$6))</f>
        <v/>
      </c>
      <c r="BK184" s="152">
        <f>MIN(BJ184,BJ$7)</f>
        <v/>
      </c>
      <c r="BL184" s="152">
        <f>MAX(0,MIN(BJ184-BK184,CL184-(AZ184+BD184+BH184)))</f>
        <v/>
      </c>
      <c r="BM184" s="152">
        <f>BJ184-BK184-BL184</f>
        <v/>
      </c>
      <c r="BN184" s="152">
        <f>IF(BQ183&lt;=0.005,0,BQ183*(1+BN$6))</f>
        <v/>
      </c>
      <c r="BO184" s="152">
        <f>MIN(BN184,BN$7)</f>
        <v/>
      </c>
      <c r="BP184" s="152">
        <f>MAX(0,MIN(BN184-BO184,CL184-(AZ184+BD184+BH184+BL184)))</f>
        <v/>
      </c>
      <c r="BQ184" s="152">
        <f>BN184-BO184-BP184</f>
        <v/>
      </c>
      <c r="BR184" s="152">
        <f>IF(BU183&lt;=0.005,0,BU183*(1+BR$6))</f>
        <v/>
      </c>
      <c r="BS184" s="152">
        <f>MIN(BR184,BR$7)</f>
        <v/>
      </c>
      <c r="BT184" s="152">
        <f>MAX(0,MIN(BR184-BS184,CL184-(AZ184+BD184+BH184+BL184+BP184)))</f>
        <v/>
      </c>
      <c r="BU184" s="152">
        <f>BR184-BS184-BT184</f>
        <v/>
      </c>
      <c r="BV184" s="152">
        <f>IF(BY183&lt;=0.005,0,BY183*(1+BV$6))</f>
        <v/>
      </c>
      <c r="BW184" s="152">
        <f>MIN(BV184,BV$7)</f>
        <v/>
      </c>
      <c r="BX184" s="152">
        <f>MAX(0,MIN(BV184-BW184,CL184-(AZ184+BD184+BH184+BL184+BP184+BT184)))</f>
        <v/>
      </c>
      <c r="BY184" s="152">
        <f>BV184-BW184-BX184</f>
        <v/>
      </c>
      <c r="BZ184" s="152">
        <f>IF(CC183&lt;=0.005,0,CC183*(1+BZ$6))</f>
        <v/>
      </c>
      <c r="CA184" s="152">
        <f>MIN(BZ184,BZ$7)</f>
        <v/>
      </c>
      <c r="CB184" s="152">
        <f>MAX(0,MIN(BZ184-CA184,CL184-(AZ184+BD184+BH184+BL184+BP184+BT184+BX184)))</f>
        <v/>
      </c>
      <c r="CC184" s="152">
        <f>BZ184-CA184-CB184</f>
        <v/>
      </c>
      <c r="CD184" s="152">
        <f>IF(CG183&lt;=0.005,0,CG183*(1+CD$6))</f>
        <v/>
      </c>
      <c r="CE184" s="152">
        <f>MIN(CD184,CD$7)</f>
        <v/>
      </c>
      <c r="CF184" s="152">
        <f>MAX(0,MIN(CD184-CE184,CL184-(AZ184+BD184+BH184+BL184+BP184+BT184+BX184+CB184)))</f>
        <v/>
      </c>
      <c r="CG184" s="152">
        <f>CD184-CE184-CF184</f>
        <v/>
      </c>
      <c r="CH184" s="152">
        <f>IF(CK183&lt;=0.005,0,CK183*(1+CH$6))</f>
        <v/>
      </c>
      <c r="CI184" s="152">
        <f>MIN(CH184,CH$7)</f>
        <v/>
      </c>
      <c r="CJ184" s="152">
        <f>MAX(0,MIN(CH184-CI184,CL184-(AZ184+BD184+BH184+BL184+BP184+BT184+BX184+CB184+CF184)))</f>
        <v/>
      </c>
      <c r="CK184" s="152">
        <f>CH184-CI184-CJ184</f>
        <v/>
      </c>
      <c r="CL184" s="152">
        <f>'Debt Payoff'!$C$8-SUM(AY184,BC184,BG184,BK184,BO184,BS184,BW184,CA184,CE184,CI184)</f>
        <v/>
      </c>
      <c r="CM184" s="152">
        <f>SUM(AY184,BC184,BG184,BK184,BO184,BS184,BW184,CA184,CE184,CI184)+SUM(AZ184,BD184,BH184,BL184,BP184,BT184,BX184,CB184,CF184,CJ184)</f>
        <v/>
      </c>
      <c r="CN184" s="152">
        <f>SUM(BA184,BE184,BI184,BM184,BQ184,BU184,BY184,CC184,CG184,CK184)</f>
        <v/>
      </c>
      <c r="CO184" s="152">
        <f>IF(AW184&gt;CN$6,NA(),AW184)</f>
        <v/>
      </c>
      <c r="CP184" s="152">
        <f>IF(AW184&gt;CN$6,NA(),CN184)</f>
        <v/>
      </c>
    </row>
    <row r="185">
      <c r="B185" s="152" t="n">
        <v>174</v>
      </c>
      <c r="C185" s="152">
        <f>IF(F184&lt;=0.005,0,F184*(1+C$6))</f>
        <v/>
      </c>
      <c r="D185" s="152">
        <f>MIN(C185,C$7)</f>
        <v/>
      </c>
      <c r="E185" s="152">
        <f>MAX(0,MIN(C185-D185,AQ185))</f>
        <v/>
      </c>
      <c r="F185" s="152">
        <f>C185-D185-E185</f>
        <v/>
      </c>
      <c r="G185" s="152">
        <f>IF(J184&lt;=0.005,0,J184*(1+G$6))</f>
        <v/>
      </c>
      <c r="H185" s="152">
        <f>MIN(G185,G$7)</f>
        <v/>
      </c>
      <c r="I185" s="152">
        <f>MAX(0,MIN(G185-H185,AQ185-(E185)))</f>
        <v/>
      </c>
      <c r="J185" s="152">
        <f>G185-H185-I185</f>
        <v/>
      </c>
      <c r="K185" s="152">
        <f>IF(N184&lt;=0.005,0,N184*(1+K$6))</f>
        <v/>
      </c>
      <c r="L185" s="152">
        <f>MIN(K185,K$7)</f>
        <v/>
      </c>
      <c r="M185" s="152">
        <f>MAX(0,MIN(K185-L185,AQ185-(E185+I185)))</f>
        <v/>
      </c>
      <c r="N185" s="152">
        <f>K185-L185-M185</f>
        <v/>
      </c>
      <c r="O185" s="152">
        <f>IF(R184&lt;=0.005,0,R184*(1+O$6))</f>
        <v/>
      </c>
      <c r="P185" s="152">
        <f>MIN(O185,O$7)</f>
        <v/>
      </c>
      <c r="Q185" s="152">
        <f>MAX(0,MIN(O185-P185,AQ185-(E185+I185+M185)))</f>
        <v/>
      </c>
      <c r="R185" s="152">
        <f>O185-P185-Q185</f>
        <v/>
      </c>
      <c r="S185" s="152">
        <f>IF(V184&lt;=0.005,0,V184*(1+S$6))</f>
        <v/>
      </c>
      <c r="T185" s="152">
        <f>MIN(S185,S$7)</f>
        <v/>
      </c>
      <c r="U185" s="152">
        <f>MAX(0,MIN(S185-T185,AQ185-(E185+I185+M185+Q185)))</f>
        <v/>
      </c>
      <c r="V185" s="152">
        <f>S185-T185-U185</f>
        <v/>
      </c>
      <c r="W185" s="152">
        <f>IF(Z184&lt;=0.005,0,Z184*(1+W$6))</f>
        <v/>
      </c>
      <c r="X185" s="152">
        <f>MIN(W185,W$7)</f>
        <v/>
      </c>
      <c r="Y185" s="152">
        <f>MAX(0,MIN(W185-X185,AQ185-(E185+I185+M185+Q185+U185)))</f>
        <v/>
      </c>
      <c r="Z185" s="152">
        <f>W185-X185-Y185</f>
        <v/>
      </c>
      <c r="AA185" s="152">
        <f>IF(AD184&lt;=0.005,0,AD184*(1+AA$6))</f>
        <v/>
      </c>
      <c r="AB185" s="152">
        <f>MIN(AA185,AA$7)</f>
        <v/>
      </c>
      <c r="AC185" s="152">
        <f>MAX(0,MIN(AA185-AB185,AQ185-(E185+I185+M185+Q185+U185+Y185)))</f>
        <v/>
      </c>
      <c r="AD185" s="152">
        <f>AA185-AB185-AC185</f>
        <v/>
      </c>
      <c r="AE185" s="152">
        <f>IF(AH184&lt;=0.005,0,AH184*(1+AE$6))</f>
        <v/>
      </c>
      <c r="AF185" s="152">
        <f>MIN(AE185,AE$7)</f>
        <v/>
      </c>
      <c r="AG185" s="152">
        <f>MAX(0,MIN(AE185-AF185,AQ185-(E185+I185+M185+Q185+U185+Y185+AC185)))</f>
        <v/>
      </c>
      <c r="AH185" s="152">
        <f>AE185-AF185-AG185</f>
        <v/>
      </c>
      <c r="AI185" s="152">
        <f>IF(AL184&lt;=0.005,0,AL184*(1+AI$6))</f>
        <v/>
      </c>
      <c r="AJ185" s="152">
        <f>MIN(AI185,AI$7)</f>
        <v/>
      </c>
      <c r="AK185" s="152">
        <f>MAX(0,MIN(AI185-AJ185,AQ185-(E185+I185+M185+Q185+U185+Y185+AC185+AG185)))</f>
        <v/>
      </c>
      <c r="AL185" s="152">
        <f>AI185-AJ185-AK185</f>
        <v/>
      </c>
      <c r="AM185" s="152">
        <f>IF(AP184&lt;=0.005,0,AP184*(1+AM$6))</f>
        <v/>
      </c>
      <c r="AN185" s="152">
        <f>MIN(AM185,AM$7)</f>
        <v/>
      </c>
      <c r="AO185" s="152">
        <f>MAX(0,MIN(AM185-AN185,AQ185-(E185+I185+M185+Q185+U185+Y185+AC185+AG185+AK185)))</f>
        <v/>
      </c>
      <c r="AP185" s="152">
        <f>AM185-AN185-AO185</f>
        <v/>
      </c>
      <c r="AQ185" s="152">
        <f>'Debt Payoff'!$C$8-SUM(D185,H185,L185,P185,T185,X185,AB185,AF185,AJ185,AN185)</f>
        <v/>
      </c>
      <c r="AR185" s="152">
        <f>SUM(D185,H185,L185,P185,T185,X185,AB185,AF185,AJ185,AN185)+SUM(E185,I185,M185,Q185,U185,Y185,AC185,AG185,AK185,AO185)</f>
        <v/>
      </c>
      <c r="AS185" s="152">
        <f>SUM(F185,J185,N185,R185,V185,Z185,AD185,AH185,AL185,AP185)</f>
        <v/>
      </c>
      <c r="AT185" s="152">
        <f>IF(B185&gt;AS$6,NA(),B185)</f>
        <v/>
      </c>
      <c r="AU185" s="152">
        <f>IF(B185&gt;AS$6,NA(),AS185)</f>
        <v/>
      </c>
      <c r="AV185" s="152" t="n"/>
      <c r="AW185" s="152" t="n">
        <v>174</v>
      </c>
      <c r="AX185" s="152">
        <f>IF(BA184&lt;=0.005,0,BA184*(1+AX$6))</f>
        <v/>
      </c>
      <c r="AY185" s="152">
        <f>MIN(AX185,AX$7)</f>
        <v/>
      </c>
      <c r="AZ185" s="152">
        <f>MAX(0,MIN(AX185-AY185,CL185))</f>
        <v/>
      </c>
      <c r="BA185" s="152">
        <f>AX185-AY185-AZ185</f>
        <v/>
      </c>
      <c r="BB185" s="152">
        <f>IF(BE184&lt;=0.005,0,BE184*(1+BB$6))</f>
        <v/>
      </c>
      <c r="BC185" s="152">
        <f>MIN(BB185,BB$7)</f>
        <v/>
      </c>
      <c r="BD185" s="152">
        <f>MAX(0,MIN(BB185-BC185,CL185-(AZ185)))</f>
        <v/>
      </c>
      <c r="BE185" s="152">
        <f>BB185-BC185-BD185</f>
        <v/>
      </c>
      <c r="BF185" s="152">
        <f>IF(BI184&lt;=0.005,0,BI184*(1+BF$6))</f>
        <v/>
      </c>
      <c r="BG185" s="152">
        <f>MIN(BF185,BF$7)</f>
        <v/>
      </c>
      <c r="BH185" s="152">
        <f>MAX(0,MIN(BF185-BG185,CL185-(AZ185+BD185)))</f>
        <v/>
      </c>
      <c r="BI185" s="152">
        <f>BF185-BG185-BH185</f>
        <v/>
      </c>
      <c r="BJ185" s="152">
        <f>IF(BM184&lt;=0.005,0,BM184*(1+BJ$6))</f>
        <v/>
      </c>
      <c r="BK185" s="152">
        <f>MIN(BJ185,BJ$7)</f>
        <v/>
      </c>
      <c r="BL185" s="152">
        <f>MAX(0,MIN(BJ185-BK185,CL185-(AZ185+BD185+BH185)))</f>
        <v/>
      </c>
      <c r="BM185" s="152">
        <f>BJ185-BK185-BL185</f>
        <v/>
      </c>
      <c r="BN185" s="152">
        <f>IF(BQ184&lt;=0.005,0,BQ184*(1+BN$6))</f>
        <v/>
      </c>
      <c r="BO185" s="152">
        <f>MIN(BN185,BN$7)</f>
        <v/>
      </c>
      <c r="BP185" s="152">
        <f>MAX(0,MIN(BN185-BO185,CL185-(AZ185+BD185+BH185+BL185)))</f>
        <v/>
      </c>
      <c r="BQ185" s="152">
        <f>BN185-BO185-BP185</f>
        <v/>
      </c>
      <c r="BR185" s="152">
        <f>IF(BU184&lt;=0.005,0,BU184*(1+BR$6))</f>
        <v/>
      </c>
      <c r="BS185" s="152">
        <f>MIN(BR185,BR$7)</f>
        <v/>
      </c>
      <c r="BT185" s="152">
        <f>MAX(0,MIN(BR185-BS185,CL185-(AZ185+BD185+BH185+BL185+BP185)))</f>
        <v/>
      </c>
      <c r="BU185" s="152">
        <f>BR185-BS185-BT185</f>
        <v/>
      </c>
      <c r="BV185" s="152">
        <f>IF(BY184&lt;=0.005,0,BY184*(1+BV$6))</f>
        <v/>
      </c>
      <c r="BW185" s="152">
        <f>MIN(BV185,BV$7)</f>
        <v/>
      </c>
      <c r="BX185" s="152">
        <f>MAX(0,MIN(BV185-BW185,CL185-(AZ185+BD185+BH185+BL185+BP185+BT185)))</f>
        <v/>
      </c>
      <c r="BY185" s="152">
        <f>BV185-BW185-BX185</f>
        <v/>
      </c>
      <c r="BZ185" s="152">
        <f>IF(CC184&lt;=0.005,0,CC184*(1+BZ$6))</f>
        <v/>
      </c>
      <c r="CA185" s="152">
        <f>MIN(BZ185,BZ$7)</f>
        <v/>
      </c>
      <c r="CB185" s="152">
        <f>MAX(0,MIN(BZ185-CA185,CL185-(AZ185+BD185+BH185+BL185+BP185+BT185+BX185)))</f>
        <v/>
      </c>
      <c r="CC185" s="152">
        <f>BZ185-CA185-CB185</f>
        <v/>
      </c>
      <c r="CD185" s="152">
        <f>IF(CG184&lt;=0.005,0,CG184*(1+CD$6))</f>
        <v/>
      </c>
      <c r="CE185" s="152">
        <f>MIN(CD185,CD$7)</f>
        <v/>
      </c>
      <c r="CF185" s="152">
        <f>MAX(0,MIN(CD185-CE185,CL185-(AZ185+BD185+BH185+BL185+BP185+BT185+BX185+CB185)))</f>
        <v/>
      </c>
      <c r="CG185" s="152">
        <f>CD185-CE185-CF185</f>
        <v/>
      </c>
      <c r="CH185" s="152">
        <f>IF(CK184&lt;=0.005,0,CK184*(1+CH$6))</f>
        <v/>
      </c>
      <c r="CI185" s="152">
        <f>MIN(CH185,CH$7)</f>
        <v/>
      </c>
      <c r="CJ185" s="152">
        <f>MAX(0,MIN(CH185-CI185,CL185-(AZ185+BD185+BH185+BL185+BP185+BT185+BX185+CB185+CF185)))</f>
        <v/>
      </c>
      <c r="CK185" s="152">
        <f>CH185-CI185-CJ185</f>
        <v/>
      </c>
      <c r="CL185" s="152">
        <f>'Debt Payoff'!$C$8-SUM(AY185,BC185,BG185,BK185,BO185,BS185,BW185,CA185,CE185,CI185)</f>
        <v/>
      </c>
      <c r="CM185" s="152">
        <f>SUM(AY185,BC185,BG185,BK185,BO185,BS185,BW185,CA185,CE185,CI185)+SUM(AZ185,BD185,BH185,BL185,BP185,BT185,BX185,CB185,CF185,CJ185)</f>
        <v/>
      </c>
      <c r="CN185" s="152">
        <f>SUM(BA185,BE185,BI185,BM185,BQ185,BU185,BY185,CC185,CG185,CK185)</f>
        <v/>
      </c>
      <c r="CO185" s="152">
        <f>IF(AW185&gt;CN$6,NA(),AW185)</f>
        <v/>
      </c>
      <c r="CP185" s="152">
        <f>IF(AW185&gt;CN$6,NA(),CN185)</f>
        <v/>
      </c>
    </row>
    <row r="186">
      <c r="B186" s="152" t="n">
        <v>175</v>
      </c>
      <c r="C186" s="152">
        <f>IF(F185&lt;=0.005,0,F185*(1+C$6))</f>
        <v/>
      </c>
      <c r="D186" s="152">
        <f>MIN(C186,C$7)</f>
        <v/>
      </c>
      <c r="E186" s="152">
        <f>MAX(0,MIN(C186-D186,AQ186))</f>
        <v/>
      </c>
      <c r="F186" s="152">
        <f>C186-D186-E186</f>
        <v/>
      </c>
      <c r="G186" s="152">
        <f>IF(J185&lt;=0.005,0,J185*(1+G$6))</f>
        <v/>
      </c>
      <c r="H186" s="152">
        <f>MIN(G186,G$7)</f>
        <v/>
      </c>
      <c r="I186" s="152">
        <f>MAX(0,MIN(G186-H186,AQ186-(E186)))</f>
        <v/>
      </c>
      <c r="J186" s="152">
        <f>G186-H186-I186</f>
        <v/>
      </c>
      <c r="K186" s="152">
        <f>IF(N185&lt;=0.005,0,N185*(1+K$6))</f>
        <v/>
      </c>
      <c r="L186" s="152">
        <f>MIN(K186,K$7)</f>
        <v/>
      </c>
      <c r="M186" s="152">
        <f>MAX(0,MIN(K186-L186,AQ186-(E186+I186)))</f>
        <v/>
      </c>
      <c r="N186" s="152">
        <f>K186-L186-M186</f>
        <v/>
      </c>
      <c r="O186" s="152">
        <f>IF(R185&lt;=0.005,0,R185*(1+O$6))</f>
        <v/>
      </c>
      <c r="P186" s="152">
        <f>MIN(O186,O$7)</f>
        <v/>
      </c>
      <c r="Q186" s="152">
        <f>MAX(0,MIN(O186-P186,AQ186-(E186+I186+M186)))</f>
        <v/>
      </c>
      <c r="R186" s="152">
        <f>O186-P186-Q186</f>
        <v/>
      </c>
      <c r="S186" s="152">
        <f>IF(V185&lt;=0.005,0,V185*(1+S$6))</f>
        <v/>
      </c>
      <c r="T186" s="152">
        <f>MIN(S186,S$7)</f>
        <v/>
      </c>
      <c r="U186" s="152">
        <f>MAX(0,MIN(S186-T186,AQ186-(E186+I186+M186+Q186)))</f>
        <v/>
      </c>
      <c r="V186" s="152">
        <f>S186-T186-U186</f>
        <v/>
      </c>
      <c r="W186" s="152">
        <f>IF(Z185&lt;=0.005,0,Z185*(1+W$6))</f>
        <v/>
      </c>
      <c r="X186" s="152">
        <f>MIN(W186,W$7)</f>
        <v/>
      </c>
      <c r="Y186" s="152">
        <f>MAX(0,MIN(W186-X186,AQ186-(E186+I186+M186+Q186+U186)))</f>
        <v/>
      </c>
      <c r="Z186" s="152">
        <f>W186-X186-Y186</f>
        <v/>
      </c>
      <c r="AA186" s="152">
        <f>IF(AD185&lt;=0.005,0,AD185*(1+AA$6))</f>
        <v/>
      </c>
      <c r="AB186" s="152">
        <f>MIN(AA186,AA$7)</f>
        <v/>
      </c>
      <c r="AC186" s="152">
        <f>MAX(0,MIN(AA186-AB186,AQ186-(E186+I186+M186+Q186+U186+Y186)))</f>
        <v/>
      </c>
      <c r="AD186" s="152">
        <f>AA186-AB186-AC186</f>
        <v/>
      </c>
      <c r="AE186" s="152">
        <f>IF(AH185&lt;=0.005,0,AH185*(1+AE$6))</f>
        <v/>
      </c>
      <c r="AF186" s="152">
        <f>MIN(AE186,AE$7)</f>
        <v/>
      </c>
      <c r="AG186" s="152">
        <f>MAX(0,MIN(AE186-AF186,AQ186-(E186+I186+M186+Q186+U186+Y186+AC186)))</f>
        <v/>
      </c>
      <c r="AH186" s="152">
        <f>AE186-AF186-AG186</f>
        <v/>
      </c>
      <c r="AI186" s="152">
        <f>IF(AL185&lt;=0.005,0,AL185*(1+AI$6))</f>
        <v/>
      </c>
      <c r="AJ186" s="152">
        <f>MIN(AI186,AI$7)</f>
        <v/>
      </c>
      <c r="AK186" s="152">
        <f>MAX(0,MIN(AI186-AJ186,AQ186-(E186+I186+M186+Q186+U186+Y186+AC186+AG186)))</f>
        <v/>
      </c>
      <c r="AL186" s="152">
        <f>AI186-AJ186-AK186</f>
        <v/>
      </c>
      <c r="AM186" s="152">
        <f>IF(AP185&lt;=0.005,0,AP185*(1+AM$6))</f>
        <v/>
      </c>
      <c r="AN186" s="152">
        <f>MIN(AM186,AM$7)</f>
        <v/>
      </c>
      <c r="AO186" s="152">
        <f>MAX(0,MIN(AM186-AN186,AQ186-(E186+I186+M186+Q186+U186+Y186+AC186+AG186+AK186)))</f>
        <v/>
      </c>
      <c r="AP186" s="152">
        <f>AM186-AN186-AO186</f>
        <v/>
      </c>
      <c r="AQ186" s="152">
        <f>'Debt Payoff'!$C$8-SUM(D186,H186,L186,P186,T186,X186,AB186,AF186,AJ186,AN186)</f>
        <v/>
      </c>
      <c r="AR186" s="152">
        <f>SUM(D186,H186,L186,P186,T186,X186,AB186,AF186,AJ186,AN186)+SUM(E186,I186,M186,Q186,U186,Y186,AC186,AG186,AK186,AO186)</f>
        <v/>
      </c>
      <c r="AS186" s="152">
        <f>SUM(F186,J186,N186,R186,V186,Z186,AD186,AH186,AL186,AP186)</f>
        <v/>
      </c>
      <c r="AT186" s="152">
        <f>IF(B186&gt;AS$6,NA(),B186)</f>
        <v/>
      </c>
      <c r="AU186" s="152">
        <f>IF(B186&gt;AS$6,NA(),AS186)</f>
        <v/>
      </c>
      <c r="AV186" s="152" t="n"/>
      <c r="AW186" s="152" t="n">
        <v>175</v>
      </c>
      <c r="AX186" s="152">
        <f>IF(BA185&lt;=0.005,0,BA185*(1+AX$6))</f>
        <v/>
      </c>
      <c r="AY186" s="152">
        <f>MIN(AX186,AX$7)</f>
        <v/>
      </c>
      <c r="AZ186" s="152">
        <f>MAX(0,MIN(AX186-AY186,CL186))</f>
        <v/>
      </c>
      <c r="BA186" s="152">
        <f>AX186-AY186-AZ186</f>
        <v/>
      </c>
      <c r="BB186" s="152">
        <f>IF(BE185&lt;=0.005,0,BE185*(1+BB$6))</f>
        <v/>
      </c>
      <c r="BC186" s="152">
        <f>MIN(BB186,BB$7)</f>
        <v/>
      </c>
      <c r="BD186" s="152">
        <f>MAX(0,MIN(BB186-BC186,CL186-(AZ186)))</f>
        <v/>
      </c>
      <c r="BE186" s="152">
        <f>BB186-BC186-BD186</f>
        <v/>
      </c>
      <c r="BF186" s="152">
        <f>IF(BI185&lt;=0.005,0,BI185*(1+BF$6))</f>
        <v/>
      </c>
      <c r="BG186" s="152">
        <f>MIN(BF186,BF$7)</f>
        <v/>
      </c>
      <c r="BH186" s="152">
        <f>MAX(0,MIN(BF186-BG186,CL186-(AZ186+BD186)))</f>
        <v/>
      </c>
      <c r="BI186" s="152">
        <f>BF186-BG186-BH186</f>
        <v/>
      </c>
      <c r="BJ186" s="152">
        <f>IF(BM185&lt;=0.005,0,BM185*(1+BJ$6))</f>
        <v/>
      </c>
      <c r="BK186" s="152">
        <f>MIN(BJ186,BJ$7)</f>
        <v/>
      </c>
      <c r="BL186" s="152">
        <f>MAX(0,MIN(BJ186-BK186,CL186-(AZ186+BD186+BH186)))</f>
        <v/>
      </c>
      <c r="BM186" s="152">
        <f>BJ186-BK186-BL186</f>
        <v/>
      </c>
      <c r="BN186" s="152">
        <f>IF(BQ185&lt;=0.005,0,BQ185*(1+BN$6))</f>
        <v/>
      </c>
      <c r="BO186" s="152">
        <f>MIN(BN186,BN$7)</f>
        <v/>
      </c>
      <c r="BP186" s="152">
        <f>MAX(0,MIN(BN186-BO186,CL186-(AZ186+BD186+BH186+BL186)))</f>
        <v/>
      </c>
      <c r="BQ186" s="152">
        <f>BN186-BO186-BP186</f>
        <v/>
      </c>
      <c r="BR186" s="152">
        <f>IF(BU185&lt;=0.005,0,BU185*(1+BR$6))</f>
        <v/>
      </c>
      <c r="BS186" s="152">
        <f>MIN(BR186,BR$7)</f>
        <v/>
      </c>
      <c r="BT186" s="152">
        <f>MAX(0,MIN(BR186-BS186,CL186-(AZ186+BD186+BH186+BL186+BP186)))</f>
        <v/>
      </c>
      <c r="BU186" s="152">
        <f>BR186-BS186-BT186</f>
        <v/>
      </c>
      <c r="BV186" s="152">
        <f>IF(BY185&lt;=0.005,0,BY185*(1+BV$6))</f>
        <v/>
      </c>
      <c r="BW186" s="152">
        <f>MIN(BV186,BV$7)</f>
        <v/>
      </c>
      <c r="BX186" s="152">
        <f>MAX(0,MIN(BV186-BW186,CL186-(AZ186+BD186+BH186+BL186+BP186+BT186)))</f>
        <v/>
      </c>
      <c r="BY186" s="152">
        <f>BV186-BW186-BX186</f>
        <v/>
      </c>
      <c r="BZ186" s="152">
        <f>IF(CC185&lt;=0.005,0,CC185*(1+BZ$6))</f>
        <v/>
      </c>
      <c r="CA186" s="152">
        <f>MIN(BZ186,BZ$7)</f>
        <v/>
      </c>
      <c r="CB186" s="152">
        <f>MAX(0,MIN(BZ186-CA186,CL186-(AZ186+BD186+BH186+BL186+BP186+BT186+BX186)))</f>
        <v/>
      </c>
      <c r="CC186" s="152">
        <f>BZ186-CA186-CB186</f>
        <v/>
      </c>
      <c r="CD186" s="152">
        <f>IF(CG185&lt;=0.005,0,CG185*(1+CD$6))</f>
        <v/>
      </c>
      <c r="CE186" s="152">
        <f>MIN(CD186,CD$7)</f>
        <v/>
      </c>
      <c r="CF186" s="152">
        <f>MAX(0,MIN(CD186-CE186,CL186-(AZ186+BD186+BH186+BL186+BP186+BT186+BX186+CB186)))</f>
        <v/>
      </c>
      <c r="CG186" s="152">
        <f>CD186-CE186-CF186</f>
        <v/>
      </c>
      <c r="CH186" s="152">
        <f>IF(CK185&lt;=0.005,0,CK185*(1+CH$6))</f>
        <v/>
      </c>
      <c r="CI186" s="152">
        <f>MIN(CH186,CH$7)</f>
        <v/>
      </c>
      <c r="CJ186" s="152">
        <f>MAX(0,MIN(CH186-CI186,CL186-(AZ186+BD186+BH186+BL186+BP186+BT186+BX186+CB186+CF186)))</f>
        <v/>
      </c>
      <c r="CK186" s="152">
        <f>CH186-CI186-CJ186</f>
        <v/>
      </c>
      <c r="CL186" s="152">
        <f>'Debt Payoff'!$C$8-SUM(AY186,BC186,BG186,BK186,BO186,BS186,BW186,CA186,CE186,CI186)</f>
        <v/>
      </c>
      <c r="CM186" s="152">
        <f>SUM(AY186,BC186,BG186,BK186,BO186,BS186,BW186,CA186,CE186,CI186)+SUM(AZ186,BD186,BH186,BL186,BP186,BT186,BX186,CB186,CF186,CJ186)</f>
        <v/>
      </c>
      <c r="CN186" s="152">
        <f>SUM(BA186,BE186,BI186,BM186,BQ186,BU186,BY186,CC186,CG186,CK186)</f>
        <v/>
      </c>
      <c r="CO186" s="152">
        <f>IF(AW186&gt;CN$6,NA(),AW186)</f>
        <v/>
      </c>
      <c r="CP186" s="152">
        <f>IF(AW186&gt;CN$6,NA(),CN186)</f>
        <v/>
      </c>
    </row>
    <row r="187">
      <c r="B187" s="152" t="n">
        <v>176</v>
      </c>
      <c r="C187" s="152">
        <f>IF(F186&lt;=0.005,0,F186*(1+C$6))</f>
        <v/>
      </c>
      <c r="D187" s="152">
        <f>MIN(C187,C$7)</f>
        <v/>
      </c>
      <c r="E187" s="152">
        <f>MAX(0,MIN(C187-D187,AQ187))</f>
        <v/>
      </c>
      <c r="F187" s="152">
        <f>C187-D187-E187</f>
        <v/>
      </c>
      <c r="G187" s="152">
        <f>IF(J186&lt;=0.005,0,J186*(1+G$6))</f>
        <v/>
      </c>
      <c r="H187" s="152">
        <f>MIN(G187,G$7)</f>
        <v/>
      </c>
      <c r="I187" s="152">
        <f>MAX(0,MIN(G187-H187,AQ187-(E187)))</f>
        <v/>
      </c>
      <c r="J187" s="152">
        <f>G187-H187-I187</f>
        <v/>
      </c>
      <c r="K187" s="152">
        <f>IF(N186&lt;=0.005,0,N186*(1+K$6))</f>
        <v/>
      </c>
      <c r="L187" s="152">
        <f>MIN(K187,K$7)</f>
        <v/>
      </c>
      <c r="M187" s="152">
        <f>MAX(0,MIN(K187-L187,AQ187-(E187+I187)))</f>
        <v/>
      </c>
      <c r="N187" s="152">
        <f>K187-L187-M187</f>
        <v/>
      </c>
      <c r="O187" s="152">
        <f>IF(R186&lt;=0.005,0,R186*(1+O$6))</f>
        <v/>
      </c>
      <c r="P187" s="152">
        <f>MIN(O187,O$7)</f>
        <v/>
      </c>
      <c r="Q187" s="152">
        <f>MAX(0,MIN(O187-P187,AQ187-(E187+I187+M187)))</f>
        <v/>
      </c>
      <c r="R187" s="152">
        <f>O187-P187-Q187</f>
        <v/>
      </c>
      <c r="S187" s="152">
        <f>IF(V186&lt;=0.005,0,V186*(1+S$6))</f>
        <v/>
      </c>
      <c r="T187" s="152">
        <f>MIN(S187,S$7)</f>
        <v/>
      </c>
      <c r="U187" s="152">
        <f>MAX(0,MIN(S187-T187,AQ187-(E187+I187+M187+Q187)))</f>
        <v/>
      </c>
      <c r="V187" s="152">
        <f>S187-T187-U187</f>
        <v/>
      </c>
      <c r="W187" s="152">
        <f>IF(Z186&lt;=0.005,0,Z186*(1+W$6))</f>
        <v/>
      </c>
      <c r="X187" s="152">
        <f>MIN(W187,W$7)</f>
        <v/>
      </c>
      <c r="Y187" s="152">
        <f>MAX(0,MIN(W187-X187,AQ187-(E187+I187+M187+Q187+U187)))</f>
        <v/>
      </c>
      <c r="Z187" s="152">
        <f>W187-X187-Y187</f>
        <v/>
      </c>
      <c r="AA187" s="152">
        <f>IF(AD186&lt;=0.005,0,AD186*(1+AA$6))</f>
        <v/>
      </c>
      <c r="AB187" s="152">
        <f>MIN(AA187,AA$7)</f>
        <v/>
      </c>
      <c r="AC187" s="152">
        <f>MAX(0,MIN(AA187-AB187,AQ187-(E187+I187+M187+Q187+U187+Y187)))</f>
        <v/>
      </c>
      <c r="AD187" s="152">
        <f>AA187-AB187-AC187</f>
        <v/>
      </c>
      <c r="AE187" s="152">
        <f>IF(AH186&lt;=0.005,0,AH186*(1+AE$6))</f>
        <v/>
      </c>
      <c r="AF187" s="152">
        <f>MIN(AE187,AE$7)</f>
        <v/>
      </c>
      <c r="AG187" s="152">
        <f>MAX(0,MIN(AE187-AF187,AQ187-(E187+I187+M187+Q187+U187+Y187+AC187)))</f>
        <v/>
      </c>
      <c r="AH187" s="152">
        <f>AE187-AF187-AG187</f>
        <v/>
      </c>
      <c r="AI187" s="152">
        <f>IF(AL186&lt;=0.005,0,AL186*(1+AI$6))</f>
        <v/>
      </c>
      <c r="AJ187" s="152">
        <f>MIN(AI187,AI$7)</f>
        <v/>
      </c>
      <c r="AK187" s="152">
        <f>MAX(0,MIN(AI187-AJ187,AQ187-(E187+I187+M187+Q187+U187+Y187+AC187+AG187)))</f>
        <v/>
      </c>
      <c r="AL187" s="152">
        <f>AI187-AJ187-AK187</f>
        <v/>
      </c>
      <c r="AM187" s="152">
        <f>IF(AP186&lt;=0.005,0,AP186*(1+AM$6))</f>
        <v/>
      </c>
      <c r="AN187" s="152">
        <f>MIN(AM187,AM$7)</f>
        <v/>
      </c>
      <c r="AO187" s="152">
        <f>MAX(0,MIN(AM187-AN187,AQ187-(E187+I187+M187+Q187+U187+Y187+AC187+AG187+AK187)))</f>
        <v/>
      </c>
      <c r="AP187" s="152">
        <f>AM187-AN187-AO187</f>
        <v/>
      </c>
      <c r="AQ187" s="152">
        <f>'Debt Payoff'!$C$8-SUM(D187,H187,L187,P187,T187,X187,AB187,AF187,AJ187,AN187)</f>
        <v/>
      </c>
      <c r="AR187" s="152">
        <f>SUM(D187,H187,L187,P187,T187,X187,AB187,AF187,AJ187,AN187)+SUM(E187,I187,M187,Q187,U187,Y187,AC187,AG187,AK187,AO187)</f>
        <v/>
      </c>
      <c r="AS187" s="152">
        <f>SUM(F187,J187,N187,R187,V187,Z187,AD187,AH187,AL187,AP187)</f>
        <v/>
      </c>
      <c r="AT187" s="152">
        <f>IF(B187&gt;AS$6,NA(),B187)</f>
        <v/>
      </c>
      <c r="AU187" s="152">
        <f>IF(B187&gt;AS$6,NA(),AS187)</f>
        <v/>
      </c>
      <c r="AV187" s="152" t="n"/>
      <c r="AW187" s="152" t="n">
        <v>176</v>
      </c>
      <c r="AX187" s="152">
        <f>IF(BA186&lt;=0.005,0,BA186*(1+AX$6))</f>
        <v/>
      </c>
      <c r="AY187" s="152">
        <f>MIN(AX187,AX$7)</f>
        <v/>
      </c>
      <c r="AZ187" s="152">
        <f>MAX(0,MIN(AX187-AY187,CL187))</f>
        <v/>
      </c>
      <c r="BA187" s="152">
        <f>AX187-AY187-AZ187</f>
        <v/>
      </c>
      <c r="BB187" s="152">
        <f>IF(BE186&lt;=0.005,0,BE186*(1+BB$6))</f>
        <v/>
      </c>
      <c r="BC187" s="152">
        <f>MIN(BB187,BB$7)</f>
        <v/>
      </c>
      <c r="BD187" s="152">
        <f>MAX(0,MIN(BB187-BC187,CL187-(AZ187)))</f>
        <v/>
      </c>
      <c r="BE187" s="152">
        <f>BB187-BC187-BD187</f>
        <v/>
      </c>
      <c r="BF187" s="152">
        <f>IF(BI186&lt;=0.005,0,BI186*(1+BF$6))</f>
        <v/>
      </c>
      <c r="BG187" s="152">
        <f>MIN(BF187,BF$7)</f>
        <v/>
      </c>
      <c r="BH187" s="152">
        <f>MAX(0,MIN(BF187-BG187,CL187-(AZ187+BD187)))</f>
        <v/>
      </c>
      <c r="BI187" s="152">
        <f>BF187-BG187-BH187</f>
        <v/>
      </c>
      <c r="BJ187" s="152">
        <f>IF(BM186&lt;=0.005,0,BM186*(1+BJ$6))</f>
        <v/>
      </c>
      <c r="BK187" s="152">
        <f>MIN(BJ187,BJ$7)</f>
        <v/>
      </c>
      <c r="BL187" s="152">
        <f>MAX(0,MIN(BJ187-BK187,CL187-(AZ187+BD187+BH187)))</f>
        <v/>
      </c>
      <c r="BM187" s="152">
        <f>BJ187-BK187-BL187</f>
        <v/>
      </c>
      <c r="BN187" s="152">
        <f>IF(BQ186&lt;=0.005,0,BQ186*(1+BN$6))</f>
        <v/>
      </c>
      <c r="BO187" s="152">
        <f>MIN(BN187,BN$7)</f>
        <v/>
      </c>
      <c r="BP187" s="152">
        <f>MAX(0,MIN(BN187-BO187,CL187-(AZ187+BD187+BH187+BL187)))</f>
        <v/>
      </c>
      <c r="BQ187" s="152">
        <f>BN187-BO187-BP187</f>
        <v/>
      </c>
      <c r="BR187" s="152">
        <f>IF(BU186&lt;=0.005,0,BU186*(1+BR$6))</f>
        <v/>
      </c>
      <c r="BS187" s="152">
        <f>MIN(BR187,BR$7)</f>
        <v/>
      </c>
      <c r="BT187" s="152">
        <f>MAX(0,MIN(BR187-BS187,CL187-(AZ187+BD187+BH187+BL187+BP187)))</f>
        <v/>
      </c>
      <c r="BU187" s="152">
        <f>BR187-BS187-BT187</f>
        <v/>
      </c>
      <c r="BV187" s="152">
        <f>IF(BY186&lt;=0.005,0,BY186*(1+BV$6))</f>
        <v/>
      </c>
      <c r="BW187" s="152">
        <f>MIN(BV187,BV$7)</f>
        <v/>
      </c>
      <c r="BX187" s="152">
        <f>MAX(0,MIN(BV187-BW187,CL187-(AZ187+BD187+BH187+BL187+BP187+BT187)))</f>
        <v/>
      </c>
      <c r="BY187" s="152">
        <f>BV187-BW187-BX187</f>
        <v/>
      </c>
      <c r="BZ187" s="152">
        <f>IF(CC186&lt;=0.005,0,CC186*(1+BZ$6))</f>
        <v/>
      </c>
      <c r="CA187" s="152">
        <f>MIN(BZ187,BZ$7)</f>
        <v/>
      </c>
      <c r="CB187" s="152">
        <f>MAX(0,MIN(BZ187-CA187,CL187-(AZ187+BD187+BH187+BL187+BP187+BT187+BX187)))</f>
        <v/>
      </c>
      <c r="CC187" s="152">
        <f>BZ187-CA187-CB187</f>
        <v/>
      </c>
      <c r="CD187" s="152">
        <f>IF(CG186&lt;=0.005,0,CG186*(1+CD$6))</f>
        <v/>
      </c>
      <c r="CE187" s="152">
        <f>MIN(CD187,CD$7)</f>
        <v/>
      </c>
      <c r="CF187" s="152">
        <f>MAX(0,MIN(CD187-CE187,CL187-(AZ187+BD187+BH187+BL187+BP187+BT187+BX187+CB187)))</f>
        <v/>
      </c>
      <c r="CG187" s="152">
        <f>CD187-CE187-CF187</f>
        <v/>
      </c>
      <c r="CH187" s="152">
        <f>IF(CK186&lt;=0.005,0,CK186*(1+CH$6))</f>
        <v/>
      </c>
      <c r="CI187" s="152">
        <f>MIN(CH187,CH$7)</f>
        <v/>
      </c>
      <c r="CJ187" s="152">
        <f>MAX(0,MIN(CH187-CI187,CL187-(AZ187+BD187+BH187+BL187+BP187+BT187+BX187+CB187+CF187)))</f>
        <v/>
      </c>
      <c r="CK187" s="152">
        <f>CH187-CI187-CJ187</f>
        <v/>
      </c>
      <c r="CL187" s="152">
        <f>'Debt Payoff'!$C$8-SUM(AY187,BC187,BG187,BK187,BO187,BS187,BW187,CA187,CE187,CI187)</f>
        <v/>
      </c>
      <c r="CM187" s="152">
        <f>SUM(AY187,BC187,BG187,BK187,BO187,BS187,BW187,CA187,CE187,CI187)+SUM(AZ187,BD187,BH187,BL187,BP187,BT187,BX187,CB187,CF187,CJ187)</f>
        <v/>
      </c>
      <c r="CN187" s="152">
        <f>SUM(BA187,BE187,BI187,BM187,BQ187,BU187,BY187,CC187,CG187,CK187)</f>
        <v/>
      </c>
      <c r="CO187" s="152">
        <f>IF(AW187&gt;CN$6,NA(),AW187)</f>
        <v/>
      </c>
      <c r="CP187" s="152">
        <f>IF(AW187&gt;CN$6,NA(),CN187)</f>
        <v/>
      </c>
    </row>
    <row r="188">
      <c r="B188" s="152" t="n">
        <v>177</v>
      </c>
      <c r="C188" s="152">
        <f>IF(F187&lt;=0.005,0,F187*(1+C$6))</f>
        <v/>
      </c>
      <c r="D188" s="152">
        <f>MIN(C188,C$7)</f>
        <v/>
      </c>
      <c r="E188" s="152">
        <f>MAX(0,MIN(C188-D188,AQ188))</f>
        <v/>
      </c>
      <c r="F188" s="152">
        <f>C188-D188-E188</f>
        <v/>
      </c>
      <c r="G188" s="152">
        <f>IF(J187&lt;=0.005,0,J187*(1+G$6))</f>
        <v/>
      </c>
      <c r="H188" s="152">
        <f>MIN(G188,G$7)</f>
        <v/>
      </c>
      <c r="I188" s="152">
        <f>MAX(0,MIN(G188-H188,AQ188-(E188)))</f>
        <v/>
      </c>
      <c r="J188" s="152">
        <f>G188-H188-I188</f>
        <v/>
      </c>
      <c r="K188" s="152">
        <f>IF(N187&lt;=0.005,0,N187*(1+K$6))</f>
        <v/>
      </c>
      <c r="L188" s="152">
        <f>MIN(K188,K$7)</f>
        <v/>
      </c>
      <c r="M188" s="152">
        <f>MAX(0,MIN(K188-L188,AQ188-(E188+I188)))</f>
        <v/>
      </c>
      <c r="N188" s="152">
        <f>K188-L188-M188</f>
        <v/>
      </c>
      <c r="O188" s="152">
        <f>IF(R187&lt;=0.005,0,R187*(1+O$6))</f>
        <v/>
      </c>
      <c r="P188" s="152">
        <f>MIN(O188,O$7)</f>
        <v/>
      </c>
      <c r="Q188" s="152">
        <f>MAX(0,MIN(O188-P188,AQ188-(E188+I188+M188)))</f>
        <v/>
      </c>
      <c r="R188" s="152">
        <f>O188-P188-Q188</f>
        <v/>
      </c>
      <c r="S188" s="152">
        <f>IF(V187&lt;=0.005,0,V187*(1+S$6))</f>
        <v/>
      </c>
      <c r="T188" s="152">
        <f>MIN(S188,S$7)</f>
        <v/>
      </c>
      <c r="U188" s="152">
        <f>MAX(0,MIN(S188-T188,AQ188-(E188+I188+M188+Q188)))</f>
        <v/>
      </c>
      <c r="V188" s="152">
        <f>S188-T188-U188</f>
        <v/>
      </c>
      <c r="W188" s="152">
        <f>IF(Z187&lt;=0.005,0,Z187*(1+W$6))</f>
        <v/>
      </c>
      <c r="X188" s="152">
        <f>MIN(W188,W$7)</f>
        <v/>
      </c>
      <c r="Y188" s="152">
        <f>MAX(0,MIN(W188-X188,AQ188-(E188+I188+M188+Q188+U188)))</f>
        <v/>
      </c>
      <c r="Z188" s="152">
        <f>W188-X188-Y188</f>
        <v/>
      </c>
      <c r="AA188" s="152">
        <f>IF(AD187&lt;=0.005,0,AD187*(1+AA$6))</f>
        <v/>
      </c>
      <c r="AB188" s="152">
        <f>MIN(AA188,AA$7)</f>
        <v/>
      </c>
      <c r="AC188" s="152">
        <f>MAX(0,MIN(AA188-AB188,AQ188-(E188+I188+M188+Q188+U188+Y188)))</f>
        <v/>
      </c>
      <c r="AD188" s="152">
        <f>AA188-AB188-AC188</f>
        <v/>
      </c>
      <c r="AE188" s="152">
        <f>IF(AH187&lt;=0.005,0,AH187*(1+AE$6))</f>
        <v/>
      </c>
      <c r="AF188" s="152">
        <f>MIN(AE188,AE$7)</f>
        <v/>
      </c>
      <c r="AG188" s="152">
        <f>MAX(0,MIN(AE188-AF188,AQ188-(E188+I188+M188+Q188+U188+Y188+AC188)))</f>
        <v/>
      </c>
      <c r="AH188" s="152">
        <f>AE188-AF188-AG188</f>
        <v/>
      </c>
      <c r="AI188" s="152">
        <f>IF(AL187&lt;=0.005,0,AL187*(1+AI$6))</f>
        <v/>
      </c>
      <c r="AJ188" s="152">
        <f>MIN(AI188,AI$7)</f>
        <v/>
      </c>
      <c r="AK188" s="152">
        <f>MAX(0,MIN(AI188-AJ188,AQ188-(E188+I188+M188+Q188+U188+Y188+AC188+AG188)))</f>
        <v/>
      </c>
      <c r="AL188" s="152">
        <f>AI188-AJ188-AK188</f>
        <v/>
      </c>
      <c r="AM188" s="152">
        <f>IF(AP187&lt;=0.005,0,AP187*(1+AM$6))</f>
        <v/>
      </c>
      <c r="AN188" s="152">
        <f>MIN(AM188,AM$7)</f>
        <v/>
      </c>
      <c r="AO188" s="152">
        <f>MAX(0,MIN(AM188-AN188,AQ188-(E188+I188+M188+Q188+U188+Y188+AC188+AG188+AK188)))</f>
        <v/>
      </c>
      <c r="AP188" s="152">
        <f>AM188-AN188-AO188</f>
        <v/>
      </c>
      <c r="AQ188" s="152">
        <f>'Debt Payoff'!$C$8-SUM(D188,H188,L188,P188,T188,X188,AB188,AF188,AJ188,AN188)</f>
        <v/>
      </c>
      <c r="AR188" s="152">
        <f>SUM(D188,H188,L188,P188,T188,X188,AB188,AF188,AJ188,AN188)+SUM(E188,I188,M188,Q188,U188,Y188,AC188,AG188,AK188,AO188)</f>
        <v/>
      </c>
      <c r="AS188" s="152">
        <f>SUM(F188,J188,N188,R188,V188,Z188,AD188,AH188,AL188,AP188)</f>
        <v/>
      </c>
      <c r="AT188" s="152">
        <f>IF(B188&gt;AS$6,NA(),B188)</f>
        <v/>
      </c>
      <c r="AU188" s="152">
        <f>IF(B188&gt;AS$6,NA(),AS188)</f>
        <v/>
      </c>
      <c r="AV188" s="152" t="n"/>
      <c r="AW188" s="152" t="n">
        <v>177</v>
      </c>
      <c r="AX188" s="152">
        <f>IF(BA187&lt;=0.005,0,BA187*(1+AX$6))</f>
        <v/>
      </c>
      <c r="AY188" s="152">
        <f>MIN(AX188,AX$7)</f>
        <v/>
      </c>
      <c r="AZ188" s="152">
        <f>MAX(0,MIN(AX188-AY188,CL188))</f>
        <v/>
      </c>
      <c r="BA188" s="152">
        <f>AX188-AY188-AZ188</f>
        <v/>
      </c>
      <c r="BB188" s="152">
        <f>IF(BE187&lt;=0.005,0,BE187*(1+BB$6))</f>
        <v/>
      </c>
      <c r="BC188" s="152">
        <f>MIN(BB188,BB$7)</f>
        <v/>
      </c>
      <c r="BD188" s="152">
        <f>MAX(0,MIN(BB188-BC188,CL188-(AZ188)))</f>
        <v/>
      </c>
      <c r="BE188" s="152">
        <f>BB188-BC188-BD188</f>
        <v/>
      </c>
      <c r="BF188" s="152">
        <f>IF(BI187&lt;=0.005,0,BI187*(1+BF$6))</f>
        <v/>
      </c>
      <c r="BG188" s="152">
        <f>MIN(BF188,BF$7)</f>
        <v/>
      </c>
      <c r="BH188" s="152">
        <f>MAX(0,MIN(BF188-BG188,CL188-(AZ188+BD188)))</f>
        <v/>
      </c>
      <c r="BI188" s="152">
        <f>BF188-BG188-BH188</f>
        <v/>
      </c>
      <c r="BJ188" s="152">
        <f>IF(BM187&lt;=0.005,0,BM187*(1+BJ$6))</f>
        <v/>
      </c>
      <c r="BK188" s="152">
        <f>MIN(BJ188,BJ$7)</f>
        <v/>
      </c>
      <c r="BL188" s="152">
        <f>MAX(0,MIN(BJ188-BK188,CL188-(AZ188+BD188+BH188)))</f>
        <v/>
      </c>
      <c r="BM188" s="152">
        <f>BJ188-BK188-BL188</f>
        <v/>
      </c>
      <c r="BN188" s="152">
        <f>IF(BQ187&lt;=0.005,0,BQ187*(1+BN$6))</f>
        <v/>
      </c>
      <c r="BO188" s="152">
        <f>MIN(BN188,BN$7)</f>
        <v/>
      </c>
      <c r="BP188" s="152">
        <f>MAX(0,MIN(BN188-BO188,CL188-(AZ188+BD188+BH188+BL188)))</f>
        <v/>
      </c>
      <c r="BQ188" s="152">
        <f>BN188-BO188-BP188</f>
        <v/>
      </c>
      <c r="BR188" s="152">
        <f>IF(BU187&lt;=0.005,0,BU187*(1+BR$6))</f>
        <v/>
      </c>
      <c r="BS188" s="152">
        <f>MIN(BR188,BR$7)</f>
        <v/>
      </c>
      <c r="BT188" s="152">
        <f>MAX(0,MIN(BR188-BS188,CL188-(AZ188+BD188+BH188+BL188+BP188)))</f>
        <v/>
      </c>
      <c r="BU188" s="152">
        <f>BR188-BS188-BT188</f>
        <v/>
      </c>
      <c r="BV188" s="152">
        <f>IF(BY187&lt;=0.005,0,BY187*(1+BV$6))</f>
        <v/>
      </c>
      <c r="BW188" s="152">
        <f>MIN(BV188,BV$7)</f>
        <v/>
      </c>
      <c r="BX188" s="152">
        <f>MAX(0,MIN(BV188-BW188,CL188-(AZ188+BD188+BH188+BL188+BP188+BT188)))</f>
        <v/>
      </c>
      <c r="BY188" s="152">
        <f>BV188-BW188-BX188</f>
        <v/>
      </c>
      <c r="BZ188" s="152">
        <f>IF(CC187&lt;=0.005,0,CC187*(1+BZ$6))</f>
        <v/>
      </c>
      <c r="CA188" s="152">
        <f>MIN(BZ188,BZ$7)</f>
        <v/>
      </c>
      <c r="CB188" s="152">
        <f>MAX(0,MIN(BZ188-CA188,CL188-(AZ188+BD188+BH188+BL188+BP188+BT188+BX188)))</f>
        <v/>
      </c>
      <c r="CC188" s="152">
        <f>BZ188-CA188-CB188</f>
        <v/>
      </c>
      <c r="CD188" s="152">
        <f>IF(CG187&lt;=0.005,0,CG187*(1+CD$6))</f>
        <v/>
      </c>
      <c r="CE188" s="152">
        <f>MIN(CD188,CD$7)</f>
        <v/>
      </c>
      <c r="CF188" s="152">
        <f>MAX(0,MIN(CD188-CE188,CL188-(AZ188+BD188+BH188+BL188+BP188+BT188+BX188+CB188)))</f>
        <v/>
      </c>
      <c r="CG188" s="152">
        <f>CD188-CE188-CF188</f>
        <v/>
      </c>
      <c r="CH188" s="152">
        <f>IF(CK187&lt;=0.005,0,CK187*(1+CH$6))</f>
        <v/>
      </c>
      <c r="CI188" s="152">
        <f>MIN(CH188,CH$7)</f>
        <v/>
      </c>
      <c r="CJ188" s="152">
        <f>MAX(0,MIN(CH188-CI188,CL188-(AZ188+BD188+BH188+BL188+BP188+BT188+BX188+CB188+CF188)))</f>
        <v/>
      </c>
      <c r="CK188" s="152">
        <f>CH188-CI188-CJ188</f>
        <v/>
      </c>
      <c r="CL188" s="152">
        <f>'Debt Payoff'!$C$8-SUM(AY188,BC188,BG188,BK188,BO188,BS188,BW188,CA188,CE188,CI188)</f>
        <v/>
      </c>
      <c r="CM188" s="152">
        <f>SUM(AY188,BC188,BG188,BK188,BO188,BS188,BW188,CA188,CE188,CI188)+SUM(AZ188,BD188,BH188,BL188,BP188,BT188,BX188,CB188,CF188,CJ188)</f>
        <v/>
      </c>
      <c r="CN188" s="152">
        <f>SUM(BA188,BE188,BI188,BM188,BQ188,BU188,BY188,CC188,CG188,CK188)</f>
        <v/>
      </c>
      <c r="CO188" s="152">
        <f>IF(AW188&gt;CN$6,NA(),AW188)</f>
        <v/>
      </c>
      <c r="CP188" s="152">
        <f>IF(AW188&gt;CN$6,NA(),CN188)</f>
        <v/>
      </c>
    </row>
    <row r="189">
      <c r="B189" s="152" t="n">
        <v>178</v>
      </c>
      <c r="C189" s="152">
        <f>IF(F188&lt;=0.005,0,F188*(1+C$6))</f>
        <v/>
      </c>
      <c r="D189" s="152">
        <f>MIN(C189,C$7)</f>
        <v/>
      </c>
      <c r="E189" s="152">
        <f>MAX(0,MIN(C189-D189,AQ189))</f>
        <v/>
      </c>
      <c r="F189" s="152">
        <f>C189-D189-E189</f>
        <v/>
      </c>
      <c r="G189" s="152">
        <f>IF(J188&lt;=0.005,0,J188*(1+G$6))</f>
        <v/>
      </c>
      <c r="H189" s="152">
        <f>MIN(G189,G$7)</f>
        <v/>
      </c>
      <c r="I189" s="152">
        <f>MAX(0,MIN(G189-H189,AQ189-(E189)))</f>
        <v/>
      </c>
      <c r="J189" s="152">
        <f>G189-H189-I189</f>
        <v/>
      </c>
      <c r="K189" s="152">
        <f>IF(N188&lt;=0.005,0,N188*(1+K$6))</f>
        <v/>
      </c>
      <c r="L189" s="152">
        <f>MIN(K189,K$7)</f>
        <v/>
      </c>
      <c r="M189" s="152">
        <f>MAX(0,MIN(K189-L189,AQ189-(E189+I189)))</f>
        <v/>
      </c>
      <c r="N189" s="152">
        <f>K189-L189-M189</f>
        <v/>
      </c>
      <c r="O189" s="152">
        <f>IF(R188&lt;=0.005,0,R188*(1+O$6))</f>
        <v/>
      </c>
      <c r="P189" s="152">
        <f>MIN(O189,O$7)</f>
        <v/>
      </c>
      <c r="Q189" s="152">
        <f>MAX(0,MIN(O189-P189,AQ189-(E189+I189+M189)))</f>
        <v/>
      </c>
      <c r="R189" s="152">
        <f>O189-P189-Q189</f>
        <v/>
      </c>
      <c r="S189" s="152">
        <f>IF(V188&lt;=0.005,0,V188*(1+S$6))</f>
        <v/>
      </c>
      <c r="T189" s="152">
        <f>MIN(S189,S$7)</f>
        <v/>
      </c>
      <c r="U189" s="152">
        <f>MAX(0,MIN(S189-T189,AQ189-(E189+I189+M189+Q189)))</f>
        <v/>
      </c>
      <c r="V189" s="152">
        <f>S189-T189-U189</f>
        <v/>
      </c>
      <c r="W189" s="152">
        <f>IF(Z188&lt;=0.005,0,Z188*(1+W$6))</f>
        <v/>
      </c>
      <c r="X189" s="152">
        <f>MIN(W189,W$7)</f>
        <v/>
      </c>
      <c r="Y189" s="152">
        <f>MAX(0,MIN(W189-X189,AQ189-(E189+I189+M189+Q189+U189)))</f>
        <v/>
      </c>
      <c r="Z189" s="152">
        <f>W189-X189-Y189</f>
        <v/>
      </c>
      <c r="AA189" s="152">
        <f>IF(AD188&lt;=0.005,0,AD188*(1+AA$6))</f>
        <v/>
      </c>
      <c r="AB189" s="152">
        <f>MIN(AA189,AA$7)</f>
        <v/>
      </c>
      <c r="AC189" s="152">
        <f>MAX(0,MIN(AA189-AB189,AQ189-(E189+I189+M189+Q189+U189+Y189)))</f>
        <v/>
      </c>
      <c r="AD189" s="152">
        <f>AA189-AB189-AC189</f>
        <v/>
      </c>
      <c r="AE189" s="152">
        <f>IF(AH188&lt;=0.005,0,AH188*(1+AE$6))</f>
        <v/>
      </c>
      <c r="AF189" s="152">
        <f>MIN(AE189,AE$7)</f>
        <v/>
      </c>
      <c r="AG189" s="152">
        <f>MAX(0,MIN(AE189-AF189,AQ189-(E189+I189+M189+Q189+U189+Y189+AC189)))</f>
        <v/>
      </c>
      <c r="AH189" s="152">
        <f>AE189-AF189-AG189</f>
        <v/>
      </c>
      <c r="AI189" s="152">
        <f>IF(AL188&lt;=0.005,0,AL188*(1+AI$6))</f>
        <v/>
      </c>
      <c r="AJ189" s="152">
        <f>MIN(AI189,AI$7)</f>
        <v/>
      </c>
      <c r="AK189" s="152">
        <f>MAX(0,MIN(AI189-AJ189,AQ189-(E189+I189+M189+Q189+U189+Y189+AC189+AG189)))</f>
        <v/>
      </c>
      <c r="AL189" s="152">
        <f>AI189-AJ189-AK189</f>
        <v/>
      </c>
      <c r="AM189" s="152">
        <f>IF(AP188&lt;=0.005,0,AP188*(1+AM$6))</f>
        <v/>
      </c>
      <c r="AN189" s="152">
        <f>MIN(AM189,AM$7)</f>
        <v/>
      </c>
      <c r="AO189" s="152">
        <f>MAX(0,MIN(AM189-AN189,AQ189-(E189+I189+M189+Q189+U189+Y189+AC189+AG189+AK189)))</f>
        <v/>
      </c>
      <c r="AP189" s="152">
        <f>AM189-AN189-AO189</f>
        <v/>
      </c>
      <c r="AQ189" s="152">
        <f>'Debt Payoff'!$C$8-SUM(D189,H189,L189,P189,T189,X189,AB189,AF189,AJ189,AN189)</f>
        <v/>
      </c>
      <c r="AR189" s="152">
        <f>SUM(D189,H189,L189,P189,T189,X189,AB189,AF189,AJ189,AN189)+SUM(E189,I189,M189,Q189,U189,Y189,AC189,AG189,AK189,AO189)</f>
        <v/>
      </c>
      <c r="AS189" s="152">
        <f>SUM(F189,J189,N189,R189,V189,Z189,AD189,AH189,AL189,AP189)</f>
        <v/>
      </c>
      <c r="AT189" s="152">
        <f>IF(B189&gt;AS$6,NA(),B189)</f>
        <v/>
      </c>
      <c r="AU189" s="152">
        <f>IF(B189&gt;AS$6,NA(),AS189)</f>
        <v/>
      </c>
      <c r="AV189" s="152" t="n"/>
      <c r="AW189" s="152" t="n">
        <v>178</v>
      </c>
      <c r="AX189" s="152">
        <f>IF(BA188&lt;=0.005,0,BA188*(1+AX$6))</f>
        <v/>
      </c>
      <c r="AY189" s="152">
        <f>MIN(AX189,AX$7)</f>
        <v/>
      </c>
      <c r="AZ189" s="152">
        <f>MAX(0,MIN(AX189-AY189,CL189))</f>
        <v/>
      </c>
      <c r="BA189" s="152">
        <f>AX189-AY189-AZ189</f>
        <v/>
      </c>
      <c r="BB189" s="152">
        <f>IF(BE188&lt;=0.005,0,BE188*(1+BB$6))</f>
        <v/>
      </c>
      <c r="BC189" s="152">
        <f>MIN(BB189,BB$7)</f>
        <v/>
      </c>
      <c r="BD189" s="152">
        <f>MAX(0,MIN(BB189-BC189,CL189-(AZ189)))</f>
        <v/>
      </c>
      <c r="BE189" s="152">
        <f>BB189-BC189-BD189</f>
        <v/>
      </c>
      <c r="BF189" s="152">
        <f>IF(BI188&lt;=0.005,0,BI188*(1+BF$6))</f>
        <v/>
      </c>
      <c r="BG189" s="152">
        <f>MIN(BF189,BF$7)</f>
        <v/>
      </c>
      <c r="BH189" s="152">
        <f>MAX(0,MIN(BF189-BG189,CL189-(AZ189+BD189)))</f>
        <v/>
      </c>
      <c r="BI189" s="152">
        <f>BF189-BG189-BH189</f>
        <v/>
      </c>
      <c r="BJ189" s="152">
        <f>IF(BM188&lt;=0.005,0,BM188*(1+BJ$6))</f>
        <v/>
      </c>
      <c r="BK189" s="152">
        <f>MIN(BJ189,BJ$7)</f>
        <v/>
      </c>
      <c r="BL189" s="152">
        <f>MAX(0,MIN(BJ189-BK189,CL189-(AZ189+BD189+BH189)))</f>
        <v/>
      </c>
      <c r="BM189" s="152">
        <f>BJ189-BK189-BL189</f>
        <v/>
      </c>
      <c r="BN189" s="152">
        <f>IF(BQ188&lt;=0.005,0,BQ188*(1+BN$6))</f>
        <v/>
      </c>
      <c r="BO189" s="152">
        <f>MIN(BN189,BN$7)</f>
        <v/>
      </c>
      <c r="BP189" s="152">
        <f>MAX(0,MIN(BN189-BO189,CL189-(AZ189+BD189+BH189+BL189)))</f>
        <v/>
      </c>
      <c r="BQ189" s="152">
        <f>BN189-BO189-BP189</f>
        <v/>
      </c>
      <c r="BR189" s="152">
        <f>IF(BU188&lt;=0.005,0,BU188*(1+BR$6))</f>
        <v/>
      </c>
      <c r="BS189" s="152">
        <f>MIN(BR189,BR$7)</f>
        <v/>
      </c>
      <c r="BT189" s="152">
        <f>MAX(0,MIN(BR189-BS189,CL189-(AZ189+BD189+BH189+BL189+BP189)))</f>
        <v/>
      </c>
      <c r="BU189" s="152">
        <f>BR189-BS189-BT189</f>
        <v/>
      </c>
      <c r="BV189" s="152">
        <f>IF(BY188&lt;=0.005,0,BY188*(1+BV$6))</f>
        <v/>
      </c>
      <c r="BW189" s="152">
        <f>MIN(BV189,BV$7)</f>
        <v/>
      </c>
      <c r="BX189" s="152">
        <f>MAX(0,MIN(BV189-BW189,CL189-(AZ189+BD189+BH189+BL189+BP189+BT189)))</f>
        <v/>
      </c>
      <c r="BY189" s="152">
        <f>BV189-BW189-BX189</f>
        <v/>
      </c>
      <c r="BZ189" s="152">
        <f>IF(CC188&lt;=0.005,0,CC188*(1+BZ$6))</f>
        <v/>
      </c>
      <c r="CA189" s="152">
        <f>MIN(BZ189,BZ$7)</f>
        <v/>
      </c>
      <c r="CB189" s="152">
        <f>MAX(0,MIN(BZ189-CA189,CL189-(AZ189+BD189+BH189+BL189+BP189+BT189+BX189)))</f>
        <v/>
      </c>
      <c r="CC189" s="152">
        <f>BZ189-CA189-CB189</f>
        <v/>
      </c>
      <c r="CD189" s="152">
        <f>IF(CG188&lt;=0.005,0,CG188*(1+CD$6))</f>
        <v/>
      </c>
      <c r="CE189" s="152">
        <f>MIN(CD189,CD$7)</f>
        <v/>
      </c>
      <c r="CF189" s="152">
        <f>MAX(0,MIN(CD189-CE189,CL189-(AZ189+BD189+BH189+BL189+BP189+BT189+BX189+CB189)))</f>
        <v/>
      </c>
      <c r="CG189" s="152">
        <f>CD189-CE189-CF189</f>
        <v/>
      </c>
      <c r="CH189" s="152">
        <f>IF(CK188&lt;=0.005,0,CK188*(1+CH$6))</f>
        <v/>
      </c>
      <c r="CI189" s="152">
        <f>MIN(CH189,CH$7)</f>
        <v/>
      </c>
      <c r="CJ189" s="152">
        <f>MAX(0,MIN(CH189-CI189,CL189-(AZ189+BD189+BH189+BL189+BP189+BT189+BX189+CB189+CF189)))</f>
        <v/>
      </c>
      <c r="CK189" s="152">
        <f>CH189-CI189-CJ189</f>
        <v/>
      </c>
      <c r="CL189" s="152">
        <f>'Debt Payoff'!$C$8-SUM(AY189,BC189,BG189,BK189,BO189,BS189,BW189,CA189,CE189,CI189)</f>
        <v/>
      </c>
      <c r="CM189" s="152">
        <f>SUM(AY189,BC189,BG189,BK189,BO189,BS189,BW189,CA189,CE189,CI189)+SUM(AZ189,BD189,BH189,BL189,BP189,BT189,BX189,CB189,CF189,CJ189)</f>
        <v/>
      </c>
      <c r="CN189" s="152">
        <f>SUM(BA189,BE189,BI189,BM189,BQ189,BU189,BY189,CC189,CG189,CK189)</f>
        <v/>
      </c>
      <c r="CO189" s="152">
        <f>IF(AW189&gt;CN$6,NA(),AW189)</f>
        <v/>
      </c>
      <c r="CP189" s="152">
        <f>IF(AW189&gt;CN$6,NA(),CN189)</f>
        <v/>
      </c>
    </row>
    <row r="190">
      <c r="B190" s="152" t="n">
        <v>179</v>
      </c>
      <c r="C190" s="152">
        <f>IF(F189&lt;=0.005,0,F189*(1+C$6))</f>
        <v/>
      </c>
      <c r="D190" s="152">
        <f>MIN(C190,C$7)</f>
        <v/>
      </c>
      <c r="E190" s="152">
        <f>MAX(0,MIN(C190-D190,AQ190))</f>
        <v/>
      </c>
      <c r="F190" s="152">
        <f>C190-D190-E190</f>
        <v/>
      </c>
      <c r="G190" s="152">
        <f>IF(J189&lt;=0.005,0,J189*(1+G$6))</f>
        <v/>
      </c>
      <c r="H190" s="152">
        <f>MIN(G190,G$7)</f>
        <v/>
      </c>
      <c r="I190" s="152">
        <f>MAX(0,MIN(G190-H190,AQ190-(E190)))</f>
        <v/>
      </c>
      <c r="J190" s="152">
        <f>G190-H190-I190</f>
        <v/>
      </c>
      <c r="K190" s="152">
        <f>IF(N189&lt;=0.005,0,N189*(1+K$6))</f>
        <v/>
      </c>
      <c r="L190" s="152">
        <f>MIN(K190,K$7)</f>
        <v/>
      </c>
      <c r="M190" s="152">
        <f>MAX(0,MIN(K190-L190,AQ190-(E190+I190)))</f>
        <v/>
      </c>
      <c r="N190" s="152">
        <f>K190-L190-M190</f>
        <v/>
      </c>
      <c r="O190" s="152">
        <f>IF(R189&lt;=0.005,0,R189*(1+O$6))</f>
        <v/>
      </c>
      <c r="P190" s="152">
        <f>MIN(O190,O$7)</f>
        <v/>
      </c>
      <c r="Q190" s="152">
        <f>MAX(0,MIN(O190-P190,AQ190-(E190+I190+M190)))</f>
        <v/>
      </c>
      <c r="R190" s="152">
        <f>O190-P190-Q190</f>
        <v/>
      </c>
      <c r="S190" s="152">
        <f>IF(V189&lt;=0.005,0,V189*(1+S$6))</f>
        <v/>
      </c>
      <c r="T190" s="152">
        <f>MIN(S190,S$7)</f>
        <v/>
      </c>
      <c r="U190" s="152">
        <f>MAX(0,MIN(S190-T190,AQ190-(E190+I190+M190+Q190)))</f>
        <v/>
      </c>
      <c r="V190" s="152">
        <f>S190-T190-U190</f>
        <v/>
      </c>
      <c r="W190" s="152">
        <f>IF(Z189&lt;=0.005,0,Z189*(1+W$6))</f>
        <v/>
      </c>
      <c r="X190" s="152">
        <f>MIN(W190,W$7)</f>
        <v/>
      </c>
      <c r="Y190" s="152">
        <f>MAX(0,MIN(W190-X190,AQ190-(E190+I190+M190+Q190+U190)))</f>
        <v/>
      </c>
      <c r="Z190" s="152">
        <f>W190-X190-Y190</f>
        <v/>
      </c>
      <c r="AA190" s="152">
        <f>IF(AD189&lt;=0.005,0,AD189*(1+AA$6))</f>
        <v/>
      </c>
      <c r="AB190" s="152">
        <f>MIN(AA190,AA$7)</f>
        <v/>
      </c>
      <c r="AC190" s="152">
        <f>MAX(0,MIN(AA190-AB190,AQ190-(E190+I190+M190+Q190+U190+Y190)))</f>
        <v/>
      </c>
      <c r="AD190" s="152">
        <f>AA190-AB190-AC190</f>
        <v/>
      </c>
      <c r="AE190" s="152">
        <f>IF(AH189&lt;=0.005,0,AH189*(1+AE$6))</f>
        <v/>
      </c>
      <c r="AF190" s="152">
        <f>MIN(AE190,AE$7)</f>
        <v/>
      </c>
      <c r="AG190" s="152">
        <f>MAX(0,MIN(AE190-AF190,AQ190-(E190+I190+M190+Q190+U190+Y190+AC190)))</f>
        <v/>
      </c>
      <c r="AH190" s="152">
        <f>AE190-AF190-AG190</f>
        <v/>
      </c>
      <c r="AI190" s="152">
        <f>IF(AL189&lt;=0.005,0,AL189*(1+AI$6))</f>
        <v/>
      </c>
      <c r="AJ190" s="152">
        <f>MIN(AI190,AI$7)</f>
        <v/>
      </c>
      <c r="AK190" s="152">
        <f>MAX(0,MIN(AI190-AJ190,AQ190-(E190+I190+M190+Q190+U190+Y190+AC190+AG190)))</f>
        <v/>
      </c>
      <c r="AL190" s="152">
        <f>AI190-AJ190-AK190</f>
        <v/>
      </c>
      <c r="AM190" s="152">
        <f>IF(AP189&lt;=0.005,0,AP189*(1+AM$6))</f>
        <v/>
      </c>
      <c r="AN190" s="152">
        <f>MIN(AM190,AM$7)</f>
        <v/>
      </c>
      <c r="AO190" s="152">
        <f>MAX(0,MIN(AM190-AN190,AQ190-(E190+I190+M190+Q190+U190+Y190+AC190+AG190+AK190)))</f>
        <v/>
      </c>
      <c r="AP190" s="152">
        <f>AM190-AN190-AO190</f>
        <v/>
      </c>
      <c r="AQ190" s="152">
        <f>'Debt Payoff'!$C$8-SUM(D190,H190,L190,P190,T190,X190,AB190,AF190,AJ190,AN190)</f>
        <v/>
      </c>
      <c r="AR190" s="152">
        <f>SUM(D190,H190,L190,P190,T190,X190,AB190,AF190,AJ190,AN190)+SUM(E190,I190,M190,Q190,U190,Y190,AC190,AG190,AK190,AO190)</f>
        <v/>
      </c>
      <c r="AS190" s="152">
        <f>SUM(F190,J190,N190,R190,V190,Z190,AD190,AH190,AL190,AP190)</f>
        <v/>
      </c>
      <c r="AT190" s="152">
        <f>IF(B190&gt;AS$6,NA(),B190)</f>
        <v/>
      </c>
      <c r="AU190" s="152">
        <f>IF(B190&gt;AS$6,NA(),AS190)</f>
        <v/>
      </c>
      <c r="AV190" s="152" t="n"/>
      <c r="AW190" s="152" t="n">
        <v>179</v>
      </c>
      <c r="AX190" s="152">
        <f>IF(BA189&lt;=0.005,0,BA189*(1+AX$6))</f>
        <v/>
      </c>
      <c r="AY190" s="152">
        <f>MIN(AX190,AX$7)</f>
        <v/>
      </c>
      <c r="AZ190" s="152">
        <f>MAX(0,MIN(AX190-AY190,CL190))</f>
        <v/>
      </c>
      <c r="BA190" s="152">
        <f>AX190-AY190-AZ190</f>
        <v/>
      </c>
      <c r="BB190" s="152">
        <f>IF(BE189&lt;=0.005,0,BE189*(1+BB$6))</f>
        <v/>
      </c>
      <c r="BC190" s="152">
        <f>MIN(BB190,BB$7)</f>
        <v/>
      </c>
      <c r="BD190" s="152">
        <f>MAX(0,MIN(BB190-BC190,CL190-(AZ190)))</f>
        <v/>
      </c>
      <c r="BE190" s="152">
        <f>BB190-BC190-BD190</f>
        <v/>
      </c>
      <c r="BF190" s="152">
        <f>IF(BI189&lt;=0.005,0,BI189*(1+BF$6))</f>
        <v/>
      </c>
      <c r="BG190" s="152">
        <f>MIN(BF190,BF$7)</f>
        <v/>
      </c>
      <c r="BH190" s="152">
        <f>MAX(0,MIN(BF190-BG190,CL190-(AZ190+BD190)))</f>
        <v/>
      </c>
      <c r="BI190" s="152">
        <f>BF190-BG190-BH190</f>
        <v/>
      </c>
      <c r="BJ190" s="152">
        <f>IF(BM189&lt;=0.005,0,BM189*(1+BJ$6))</f>
        <v/>
      </c>
      <c r="BK190" s="152">
        <f>MIN(BJ190,BJ$7)</f>
        <v/>
      </c>
      <c r="BL190" s="152">
        <f>MAX(0,MIN(BJ190-BK190,CL190-(AZ190+BD190+BH190)))</f>
        <v/>
      </c>
      <c r="BM190" s="152">
        <f>BJ190-BK190-BL190</f>
        <v/>
      </c>
      <c r="BN190" s="152">
        <f>IF(BQ189&lt;=0.005,0,BQ189*(1+BN$6))</f>
        <v/>
      </c>
      <c r="BO190" s="152">
        <f>MIN(BN190,BN$7)</f>
        <v/>
      </c>
      <c r="BP190" s="152">
        <f>MAX(0,MIN(BN190-BO190,CL190-(AZ190+BD190+BH190+BL190)))</f>
        <v/>
      </c>
      <c r="BQ190" s="152">
        <f>BN190-BO190-BP190</f>
        <v/>
      </c>
      <c r="BR190" s="152">
        <f>IF(BU189&lt;=0.005,0,BU189*(1+BR$6))</f>
        <v/>
      </c>
      <c r="BS190" s="152">
        <f>MIN(BR190,BR$7)</f>
        <v/>
      </c>
      <c r="BT190" s="152">
        <f>MAX(0,MIN(BR190-BS190,CL190-(AZ190+BD190+BH190+BL190+BP190)))</f>
        <v/>
      </c>
      <c r="BU190" s="152">
        <f>BR190-BS190-BT190</f>
        <v/>
      </c>
      <c r="BV190" s="152">
        <f>IF(BY189&lt;=0.005,0,BY189*(1+BV$6))</f>
        <v/>
      </c>
      <c r="BW190" s="152">
        <f>MIN(BV190,BV$7)</f>
        <v/>
      </c>
      <c r="BX190" s="152">
        <f>MAX(0,MIN(BV190-BW190,CL190-(AZ190+BD190+BH190+BL190+BP190+BT190)))</f>
        <v/>
      </c>
      <c r="BY190" s="152">
        <f>BV190-BW190-BX190</f>
        <v/>
      </c>
      <c r="BZ190" s="152">
        <f>IF(CC189&lt;=0.005,0,CC189*(1+BZ$6))</f>
        <v/>
      </c>
      <c r="CA190" s="152">
        <f>MIN(BZ190,BZ$7)</f>
        <v/>
      </c>
      <c r="CB190" s="152">
        <f>MAX(0,MIN(BZ190-CA190,CL190-(AZ190+BD190+BH190+BL190+BP190+BT190+BX190)))</f>
        <v/>
      </c>
      <c r="CC190" s="152">
        <f>BZ190-CA190-CB190</f>
        <v/>
      </c>
      <c r="CD190" s="152">
        <f>IF(CG189&lt;=0.005,0,CG189*(1+CD$6))</f>
        <v/>
      </c>
      <c r="CE190" s="152">
        <f>MIN(CD190,CD$7)</f>
        <v/>
      </c>
      <c r="CF190" s="152">
        <f>MAX(0,MIN(CD190-CE190,CL190-(AZ190+BD190+BH190+BL190+BP190+BT190+BX190+CB190)))</f>
        <v/>
      </c>
      <c r="CG190" s="152">
        <f>CD190-CE190-CF190</f>
        <v/>
      </c>
      <c r="CH190" s="152">
        <f>IF(CK189&lt;=0.005,0,CK189*(1+CH$6))</f>
        <v/>
      </c>
      <c r="CI190" s="152">
        <f>MIN(CH190,CH$7)</f>
        <v/>
      </c>
      <c r="CJ190" s="152">
        <f>MAX(0,MIN(CH190-CI190,CL190-(AZ190+BD190+BH190+BL190+BP190+BT190+BX190+CB190+CF190)))</f>
        <v/>
      </c>
      <c r="CK190" s="152">
        <f>CH190-CI190-CJ190</f>
        <v/>
      </c>
      <c r="CL190" s="152">
        <f>'Debt Payoff'!$C$8-SUM(AY190,BC190,BG190,BK190,BO190,BS190,BW190,CA190,CE190,CI190)</f>
        <v/>
      </c>
      <c r="CM190" s="152">
        <f>SUM(AY190,BC190,BG190,BK190,BO190,BS190,BW190,CA190,CE190,CI190)+SUM(AZ190,BD190,BH190,BL190,BP190,BT190,BX190,CB190,CF190,CJ190)</f>
        <v/>
      </c>
      <c r="CN190" s="152">
        <f>SUM(BA190,BE190,BI190,BM190,BQ190,BU190,BY190,CC190,CG190,CK190)</f>
        <v/>
      </c>
      <c r="CO190" s="152">
        <f>IF(AW190&gt;CN$6,NA(),AW190)</f>
        <v/>
      </c>
      <c r="CP190" s="152">
        <f>IF(AW190&gt;CN$6,NA(),CN190)</f>
        <v/>
      </c>
    </row>
    <row r="191">
      <c r="B191" s="152" t="n">
        <v>180</v>
      </c>
      <c r="C191" s="152">
        <f>IF(F190&lt;=0.005,0,F190*(1+C$6))</f>
        <v/>
      </c>
      <c r="D191" s="152">
        <f>MIN(C191,C$7)</f>
        <v/>
      </c>
      <c r="E191" s="152">
        <f>MAX(0,MIN(C191-D191,AQ191))</f>
        <v/>
      </c>
      <c r="F191" s="152">
        <f>C191-D191-E191</f>
        <v/>
      </c>
      <c r="G191" s="152">
        <f>IF(J190&lt;=0.005,0,J190*(1+G$6))</f>
        <v/>
      </c>
      <c r="H191" s="152">
        <f>MIN(G191,G$7)</f>
        <v/>
      </c>
      <c r="I191" s="152">
        <f>MAX(0,MIN(G191-H191,AQ191-(E191)))</f>
        <v/>
      </c>
      <c r="J191" s="152">
        <f>G191-H191-I191</f>
        <v/>
      </c>
      <c r="K191" s="152">
        <f>IF(N190&lt;=0.005,0,N190*(1+K$6))</f>
        <v/>
      </c>
      <c r="L191" s="152">
        <f>MIN(K191,K$7)</f>
        <v/>
      </c>
      <c r="M191" s="152">
        <f>MAX(0,MIN(K191-L191,AQ191-(E191+I191)))</f>
        <v/>
      </c>
      <c r="N191" s="152">
        <f>K191-L191-M191</f>
        <v/>
      </c>
      <c r="O191" s="152">
        <f>IF(R190&lt;=0.005,0,R190*(1+O$6))</f>
        <v/>
      </c>
      <c r="P191" s="152">
        <f>MIN(O191,O$7)</f>
        <v/>
      </c>
      <c r="Q191" s="152">
        <f>MAX(0,MIN(O191-P191,AQ191-(E191+I191+M191)))</f>
        <v/>
      </c>
      <c r="R191" s="152">
        <f>O191-P191-Q191</f>
        <v/>
      </c>
      <c r="S191" s="152">
        <f>IF(V190&lt;=0.005,0,V190*(1+S$6))</f>
        <v/>
      </c>
      <c r="T191" s="152">
        <f>MIN(S191,S$7)</f>
        <v/>
      </c>
      <c r="U191" s="152">
        <f>MAX(0,MIN(S191-T191,AQ191-(E191+I191+M191+Q191)))</f>
        <v/>
      </c>
      <c r="V191" s="152">
        <f>S191-T191-U191</f>
        <v/>
      </c>
      <c r="W191" s="152">
        <f>IF(Z190&lt;=0.005,0,Z190*(1+W$6))</f>
        <v/>
      </c>
      <c r="X191" s="152">
        <f>MIN(W191,W$7)</f>
        <v/>
      </c>
      <c r="Y191" s="152">
        <f>MAX(0,MIN(W191-X191,AQ191-(E191+I191+M191+Q191+U191)))</f>
        <v/>
      </c>
      <c r="Z191" s="152">
        <f>W191-X191-Y191</f>
        <v/>
      </c>
      <c r="AA191" s="152">
        <f>IF(AD190&lt;=0.005,0,AD190*(1+AA$6))</f>
        <v/>
      </c>
      <c r="AB191" s="152">
        <f>MIN(AA191,AA$7)</f>
        <v/>
      </c>
      <c r="AC191" s="152">
        <f>MAX(0,MIN(AA191-AB191,AQ191-(E191+I191+M191+Q191+U191+Y191)))</f>
        <v/>
      </c>
      <c r="AD191" s="152">
        <f>AA191-AB191-AC191</f>
        <v/>
      </c>
      <c r="AE191" s="152">
        <f>IF(AH190&lt;=0.005,0,AH190*(1+AE$6))</f>
        <v/>
      </c>
      <c r="AF191" s="152">
        <f>MIN(AE191,AE$7)</f>
        <v/>
      </c>
      <c r="AG191" s="152">
        <f>MAX(0,MIN(AE191-AF191,AQ191-(E191+I191+M191+Q191+U191+Y191+AC191)))</f>
        <v/>
      </c>
      <c r="AH191" s="152">
        <f>AE191-AF191-AG191</f>
        <v/>
      </c>
      <c r="AI191" s="152">
        <f>IF(AL190&lt;=0.005,0,AL190*(1+AI$6))</f>
        <v/>
      </c>
      <c r="AJ191" s="152">
        <f>MIN(AI191,AI$7)</f>
        <v/>
      </c>
      <c r="AK191" s="152">
        <f>MAX(0,MIN(AI191-AJ191,AQ191-(E191+I191+M191+Q191+U191+Y191+AC191+AG191)))</f>
        <v/>
      </c>
      <c r="AL191" s="152">
        <f>AI191-AJ191-AK191</f>
        <v/>
      </c>
      <c r="AM191" s="152">
        <f>IF(AP190&lt;=0.005,0,AP190*(1+AM$6))</f>
        <v/>
      </c>
      <c r="AN191" s="152">
        <f>MIN(AM191,AM$7)</f>
        <v/>
      </c>
      <c r="AO191" s="152">
        <f>MAX(0,MIN(AM191-AN191,AQ191-(E191+I191+M191+Q191+U191+Y191+AC191+AG191+AK191)))</f>
        <v/>
      </c>
      <c r="AP191" s="152">
        <f>AM191-AN191-AO191</f>
        <v/>
      </c>
      <c r="AQ191" s="152">
        <f>'Debt Payoff'!$C$8-SUM(D191,H191,L191,P191,T191,X191,AB191,AF191,AJ191,AN191)</f>
        <v/>
      </c>
      <c r="AR191" s="152">
        <f>SUM(D191,H191,L191,P191,T191,X191,AB191,AF191,AJ191,AN191)+SUM(E191,I191,M191,Q191,U191,Y191,AC191,AG191,AK191,AO191)</f>
        <v/>
      </c>
      <c r="AS191" s="152">
        <f>SUM(F191,J191,N191,R191,V191,Z191,AD191,AH191,AL191,AP191)</f>
        <v/>
      </c>
      <c r="AT191" s="152">
        <f>IF(B191&gt;AS$6,NA(),B191)</f>
        <v/>
      </c>
      <c r="AU191" s="152">
        <f>IF(B191&gt;AS$6,NA(),AS191)</f>
        <v/>
      </c>
      <c r="AV191" s="152" t="n"/>
      <c r="AW191" s="152" t="n">
        <v>180</v>
      </c>
      <c r="AX191" s="152">
        <f>IF(BA190&lt;=0.005,0,BA190*(1+AX$6))</f>
        <v/>
      </c>
      <c r="AY191" s="152">
        <f>MIN(AX191,AX$7)</f>
        <v/>
      </c>
      <c r="AZ191" s="152">
        <f>MAX(0,MIN(AX191-AY191,CL191))</f>
        <v/>
      </c>
      <c r="BA191" s="152">
        <f>AX191-AY191-AZ191</f>
        <v/>
      </c>
      <c r="BB191" s="152">
        <f>IF(BE190&lt;=0.005,0,BE190*(1+BB$6))</f>
        <v/>
      </c>
      <c r="BC191" s="152">
        <f>MIN(BB191,BB$7)</f>
        <v/>
      </c>
      <c r="BD191" s="152">
        <f>MAX(0,MIN(BB191-BC191,CL191-(AZ191)))</f>
        <v/>
      </c>
      <c r="BE191" s="152">
        <f>BB191-BC191-BD191</f>
        <v/>
      </c>
      <c r="BF191" s="152">
        <f>IF(BI190&lt;=0.005,0,BI190*(1+BF$6))</f>
        <v/>
      </c>
      <c r="BG191" s="152">
        <f>MIN(BF191,BF$7)</f>
        <v/>
      </c>
      <c r="BH191" s="152">
        <f>MAX(0,MIN(BF191-BG191,CL191-(AZ191+BD191)))</f>
        <v/>
      </c>
      <c r="BI191" s="152">
        <f>BF191-BG191-BH191</f>
        <v/>
      </c>
      <c r="BJ191" s="152">
        <f>IF(BM190&lt;=0.005,0,BM190*(1+BJ$6))</f>
        <v/>
      </c>
      <c r="BK191" s="152">
        <f>MIN(BJ191,BJ$7)</f>
        <v/>
      </c>
      <c r="BL191" s="152">
        <f>MAX(0,MIN(BJ191-BK191,CL191-(AZ191+BD191+BH191)))</f>
        <v/>
      </c>
      <c r="BM191" s="152">
        <f>BJ191-BK191-BL191</f>
        <v/>
      </c>
      <c r="BN191" s="152">
        <f>IF(BQ190&lt;=0.005,0,BQ190*(1+BN$6))</f>
        <v/>
      </c>
      <c r="BO191" s="152">
        <f>MIN(BN191,BN$7)</f>
        <v/>
      </c>
      <c r="BP191" s="152">
        <f>MAX(0,MIN(BN191-BO191,CL191-(AZ191+BD191+BH191+BL191)))</f>
        <v/>
      </c>
      <c r="BQ191" s="152">
        <f>BN191-BO191-BP191</f>
        <v/>
      </c>
      <c r="BR191" s="152">
        <f>IF(BU190&lt;=0.005,0,BU190*(1+BR$6))</f>
        <v/>
      </c>
      <c r="BS191" s="152">
        <f>MIN(BR191,BR$7)</f>
        <v/>
      </c>
      <c r="BT191" s="152">
        <f>MAX(0,MIN(BR191-BS191,CL191-(AZ191+BD191+BH191+BL191+BP191)))</f>
        <v/>
      </c>
      <c r="BU191" s="152">
        <f>BR191-BS191-BT191</f>
        <v/>
      </c>
      <c r="BV191" s="152">
        <f>IF(BY190&lt;=0.005,0,BY190*(1+BV$6))</f>
        <v/>
      </c>
      <c r="BW191" s="152">
        <f>MIN(BV191,BV$7)</f>
        <v/>
      </c>
      <c r="BX191" s="152">
        <f>MAX(0,MIN(BV191-BW191,CL191-(AZ191+BD191+BH191+BL191+BP191+BT191)))</f>
        <v/>
      </c>
      <c r="BY191" s="152">
        <f>BV191-BW191-BX191</f>
        <v/>
      </c>
      <c r="BZ191" s="152">
        <f>IF(CC190&lt;=0.005,0,CC190*(1+BZ$6))</f>
        <v/>
      </c>
      <c r="CA191" s="152">
        <f>MIN(BZ191,BZ$7)</f>
        <v/>
      </c>
      <c r="CB191" s="152">
        <f>MAX(0,MIN(BZ191-CA191,CL191-(AZ191+BD191+BH191+BL191+BP191+BT191+BX191)))</f>
        <v/>
      </c>
      <c r="CC191" s="152">
        <f>BZ191-CA191-CB191</f>
        <v/>
      </c>
      <c r="CD191" s="152">
        <f>IF(CG190&lt;=0.005,0,CG190*(1+CD$6))</f>
        <v/>
      </c>
      <c r="CE191" s="152">
        <f>MIN(CD191,CD$7)</f>
        <v/>
      </c>
      <c r="CF191" s="152">
        <f>MAX(0,MIN(CD191-CE191,CL191-(AZ191+BD191+BH191+BL191+BP191+BT191+BX191+CB191)))</f>
        <v/>
      </c>
      <c r="CG191" s="152">
        <f>CD191-CE191-CF191</f>
        <v/>
      </c>
      <c r="CH191" s="152">
        <f>IF(CK190&lt;=0.005,0,CK190*(1+CH$6))</f>
        <v/>
      </c>
      <c r="CI191" s="152">
        <f>MIN(CH191,CH$7)</f>
        <v/>
      </c>
      <c r="CJ191" s="152">
        <f>MAX(0,MIN(CH191-CI191,CL191-(AZ191+BD191+BH191+BL191+BP191+BT191+BX191+CB191+CF191)))</f>
        <v/>
      </c>
      <c r="CK191" s="152">
        <f>CH191-CI191-CJ191</f>
        <v/>
      </c>
      <c r="CL191" s="152">
        <f>'Debt Payoff'!$C$8-SUM(AY191,BC191,BG191,BK191,BO191,BS191,BW191,CA191,CE191,CI191)</f>
        <v/>
      </c>
      <c r="CM191" s="152">
        <f>SUM(AY191,BC191,BG191,BK191,BO191,BS191,BW191,CA191,CE191,CI191)+SUM(AZ191,BD191,BH191,BL191,BP191,BT191,BX191,CB191,CF191,CJ191)</f>
        <v/>
      </c>
      <c r="CN191" s="152">
        <f>SUM(BA191,BE191,BI191,BM191,BQ191,BU191,BY191,CC191,CG191,CK191)</f>
        <v/>
      </c>
      <c r="CO191" s="152">
        <f>IF(AW191&gt;CN$6,NA(),AW191)</f>
        <v/>
      </c>
      <c r="CP191" s="152">
        <f>IF(AW191&gt;CN$6,NA(),CN191)</f>
        <v/>
      </c>
    </row>
    <row r="192">
      <c r="B192" s="152" t="n">
        <v>181</v>
      </c>
      <c r="C192" s="152">
        <f>IF(F191&lt;=0.005,0,F191*(1+C$6))</f>
        <v/>
      </c>
      <c r="D192" s="152">
        <f>MIN(C192,C$7)</f>
        <v/>
      </c>
      <c r="E192" s="152">
        <f>MAX(0,MIN(C192-D192,AQ192))</f>
        <v/>
      </c>
      <c r="F192" s="152">
        <f>C192-D192-E192</f>
        <v/>
      </c>
      <c r="G192" s="152">
        <f>IF(J191&lt;=0.005,0,J191*(1+G$6))</f>
        <v/>
      </c>
      <c r="H192" s="152">
        <f>MIN(G192,G$7)</f>
        <v/>
      </c>
      <c r="I192" s="152">
        <f>MAX(0,MIN(G192-H192,AQ192-(E192)))</f>
        <v/>
      </c>
      <c r="J192" s="152">
        <f>G192-H192-I192</f>
        <v/>
      </c>
      <c r="K192" s="152">
        <f>IF(N191&lt;=0.005,0,N191*(1+K$6))</f>
        <v/>
      </c>
      <c r="L192" s="152">
        <f>MIN(K192,K$7)</f>
        <v/>
      </c>
      <c r="M192" s="152">
        <f>MAX(0,MIN(K192-L192,AQ192-(E192+I192)))</f>
        <v/>
      </c>
      <c r="N192" s="152">
        <f>K192-L192-M192</f>
        <v/>
      </c>
      <c r="O192" s="152">
        <f>IF(R191&lt;=0.005,0,R191*(1+O$6))</f>
        <v/>
      </c>
      <c r="P192" s="152">
        <f>MIN(O192,O$7)</f>
        <v/>
      </c>
      <c r="Q192" s="152">
        <f>MAX(0,MIN(O192-P192,AQ192-(E192+I192+M192)))</f>
        <v/>
      </c>
      <c r="R192" s="152">
        <f>O192-P192-Q192</f>
        <v/>
      </c>
      <c r="S192" s="152">
        <f>IF(V191&lt;=0.005,0,V191*(1+S$6))</f>
        <v/>
      </c>
      <c r="T192" s="152">
        <f>MIN(S192,S$7)</f>
        <v/>
      </c>
      <c r="U192" s="152">
        <f>MAX(0,MIN(S192-T192,AQ192-(E192+I192+M192+Q192)))</f>
        <v/>
      </c>
      <c r="V192" s="152">
        <f>S192-T192-U192</f>
        <v/>
      </c>
      <c r="W192" s="152">
        <f>IF(Z191&lt;=0.005,0,Z191*(1+W$6))</f>
        <v/>
      </c>
      <c r="X192" s="152">
        <f>MIN(W192,W$7)</f>
        <v/>
      </c>
      <c r="Y192" s="152">
        <f>MAX(0,MIN(W192-X192,AQ192-(E192+I192+M192+Q192+U192)))</f>
        <v/>
      </c>
      <c r="Z192" s="152">
        <f>W192-X192-Y192</f>
        <v/>
      </c>
      <c r="AA192" s="152">
        <f>IF(AD191&lt;=0.005,0,AD191*(1+AA$6))</f>
        <v/>
      </c>
      <c r="AB192" s="152">
        <f>MIN(AA192,AA$7)</f>
        <v/>
      </c>
      <c r="AC192" s="152">
        <f>MAX(0,MIN(AA192-AB192,AQ192-(E192+I192+M192+Q192+U192+Y192)))</f>
        <v/>
      </c>
      <c r="AD192" s="152">
        <f>AA192-AB192-AC192</f>
        <v/>
      </c>
      <c r="AE192" s="152">
        <f>IF(AH191&lt;=0.005,0,AH191*(1+AE$6))</f>
        <v/>
      </c>
      <c r="AF192" s="152">
        <f>MIN(AE192,AE$7)</f>
        <v/>
      </c>
      <c r="AG192" s="152">
        <f>MAX(0,MIN(AE192-AF192,AQ192-(E192+I192+M192+Q192+U192+Y192+AC192)))</f>
        <v/>
      </c>
      <c r="AH192" s="152">
        <f>AE192-AF192-AG192</f>
        <v/>
      </c>
      <c r="AI192" s="152">
        <f>IF(AL191&lt;=0.005,0,AL191*(1+AI$6))</f>
        <v/>
      </c>
      <c r="AJ192" s="152">
        <f>MIN(AI192,AI$7)</f>
        <v/>
      </c>
      <c r="AK192" s="152">
        <f>MAX(0,MIN(AI192-AJ192,AQ192-(E192+I192+M192+Q192+U192+Y192+AC192+AG192)))</f>
        <v/>
      </c>
      <c r="AL192" s="152">
        <f>AI192-AJ192-AK192</f>
        <v/>
      </c>
      <c r="AM192" s="152">
        <f>IF(AP191&lt;=0.005,0,AP191*(1+AM$6))</f>
        <v/>
      </c>
      <c r="AN192" s="152">
        <f>MIN(AM192,AM$7)</f>
        <v/>
      </c>
      <c r="AO192" s="152">
        <f>MAX(0,MIN(AM192-AN192,AQ192-(E192+I192+M192+Q192+U192+Y192+AC192+AG192+AK192)))</f>
        <v/>
      </c>
      <c r="AP192" s="152">
        <f>AM192-AN192-AO192</f>
        <v/>
      </c>
      <c r="AQ192" s="152">
        <f>'Debt Payoff'!$C$8-SUM(D192,H192,L192,P192,T192,X192,AB192,AF192,AJ192,AN192)</f>
        <v/>
      </c>
      <c r="AR192" s="152">
        <f>SUM(D192,H192,L192,P192,T192,X192,AB192,AF192,AJ192,AN192)+SUM(E192,I192,M192,Q192,U192,Y192,AC192,AG192,AK192,AO192)</f>
        <v/>
      </c>
      <c r="AS192" s="152">
        <f>SUM(F192,J192,N192,R192,V192,Z192,AD192,AH192,AL192,AP192)</f>
        <v/>
      </c>
      <c r="AT192" s="152">
        <f>IF(B192&gt;AS$6,NA(),B192)</f>
        <v/>
      </c>
      <c r="AU192" s="152">
        <f>IF(B192&gt;AS$6,NA(),AS192)</f>
        <v/>
      </c>
      <c r="AV192" s="152" t="n"/>
      <c r="AW192" s="152" t="n">
        <v>181</v>
      </c>
      <c r="AX192" s="152">
        <f>IF(BA191&lt;=0.005,0,BA191*(1+AX$6))</f>
        <v/>
      </c>
      <c r="AY192" s="152">
        <f>MIN(AX192,AX$7)</f>
        <v/>
      </c>
      <c r="AZ192" s="152">
        <f>MAX(0,MIN(AX192-AY192,CL192))</f>
        <v/>
      </c>
      <c r="BA192" s="152">
        <f>AX192-AY192-AZ192</f>
        <v/>
      </c>
      <c r="BB192" s="152">
        <f>IF(BE191&lt;=0.005,0,BE191*(1+BB$6))</f>
        <v/>
      </c>
      <c r="BC192" s="152">
        <f>MIN(BB192,BB$7)</f>
        <v/>
      </c>
      <c r="BD192" s="152">
        <f>MAX(0,MIN(BB192-BC192,CL192-(AZ192)))</f>
        <v/>
      </c>
      <c r="BE192" s="152">
        <f>BB192-BC192-BD192</f>
        <v/>
      </c>
      <c r="BF192" s="152">
        <f>IF(BI191&lt;=0.005,0,BI191*(1+BF$6))</f>
        <v/>
      </c>
      <c r="BG192" s="152">
        <f>MIN(BF192,BF$7)</f>
        <v/>
      </c>
      <c r="BH192" s="152">
        <f>MAX(0,MIN(BF192-BG192,CL192-(AZ192+BD192)))</f>
        <v/>
      </c>
      <c r="BI192" s="152">
        <f>BF192-BG192-BH192</f>
        <v/>
      </c>
      <c r="BJ192" s="152">
        <f>IF(BM191&lt;=0.005,0,BM191*(1+BJ$6))</f>
        <v/>
      </c>
      <c r="BK192" s="152">
        <f>MIN(BJ192,BJ$7)</f>
        <v/>
      </c>
      <c r="BL192" s="152">
        <f>MAX(0,MIN(BJ192-BK192,CL192-(AZ192+BD192+BH192)))</f>
        <v/>
      </c>
      <c r="BM192" s="152">
        <f>BJ192-BK192-BL192</f>
        <v/>
      </c>
      <c r="BN192" s="152">
        <f>IF(BQ191&lt;=0.005,0,BQ191*(1+BN$6))</f>
        <v/>
      </c>
      <c r="BO192" s="152">
        <f>MIN(BN192,BN$7)</f>
        <v/>
      </c>
      <c r="BP192" s="152">
        <f>MAX(0,MIN(BN192-BO192,CL192-(AZ192+BD192+BH192+BL192)))</f>
        <v/>
      </c>
      <c r="BQ192" s="152">
        <f>BN192-BO192-BP192</f>
        <v/>
      </c>
      <c r="BR192" s="152">
        <f>IF(BU191&lt;=0.005,0,BU191*(1+BR$6))</f>
        <v/>
      </c>
      <c r="BS192" s="152">
        <f>MIN(BR192,BR$7)</f>
        <v/>
      </c>
      <c r="BT192" s="152">
        <f>MAX(0,MIN(BR192-BS192,CL192-(AZ192+BD192+BH192+BL192+BP192)))</f>
        <v/>
      </c>
      <c r="BU192" s="152">
        <f>BR192-BS192-BT192</f>
        <v/>
      </c>
      <c r="BV192" s="152">
        <f>IF(BY191&lt;=0.005,0,BY191*(1+BV$6))</f>
        <v/>
      </c>
      <c r="BW192" s="152">
        <f>MIN(BV192,BV$7)</f>
        <v/>
      </c>
      <c r="BX192" s="152">
        <f>MAX(0,MIN(BV192-BW192,CL192-(AZ192+BD192+BH192+BL192+BP192+BT192)))</f>
        <v/>
      </c>
      <c r="BY192" s="152">
        <f>BV192-BW192-BX192</f>
        <v/>
      </c>
      <c r="BZ192" s="152">
        <f>IF(CC191&lt;=0.005,0,CC191*(1+BZ$6))</f>
        <v/>
      </c>
      <c r="CA192" s="152">
        <f>MIN(BZ192,BZ$7)</f>
        <v/>
      </c>
      <c r="CB192" s="152">
        <f>MAX(0,MIN(BZ192-CA192,CL192-(AZ192+BD192+BH192+BL192+BP192+BT192+BX192)))</f>
        <v/>
      </c>
      <c r="CC192" s="152">
        <f>BZ192-CA192-CB192</f>
        <v/>
      </c>
      <c r="CD192" s="152">
        <f>IF(CG191&lt;=0.005,0,CG191*(1+CD$6))</f>
        <v/>
      </c>
      <c r="CE192" s="152">
        <f>MIN(CD192,CD$7)</f>
        <v/>
      </c>
      <c r="CF192" s="152">
        <f>MAX(0,MIN(CD192-CE192,CL192-(AZ192+BD192+BH192+BL192+BP192+BT192+BX192+CB192)))</f>
        <v/>
      </c>
      <c r="CG192" s="152">
        <f>CD192-CE192-CF192</f>
        <v/>
      </c>
      <c r="CH192" s="152">
        <f>IF(CK191&lt;=0.005,0,CK191*(1+CH$6))</f>
        <v/>
      </c>
      <c r="CI192" s="152">
        <f>MIN(CH192,CH$7)</f>
        <v/>
      </c>
      <c r="CJ192" s="152">
        <f>MAX(0,MIN(CH192-CI192,CL192-(AZ192+BD192+BH192+BL192+BP192+BT192+BX192+CB192+CF192)))</f>
        <v/>
      </c>
      <c r="CK192" s="152">
        <f>CH192-CI192-CJ192</f>
        <v/>
      </c>
      <c r="CL192" s="152">
        <f>'Debt Payoff'!$C$8-SUM(AY192,BC192,BG192,BK192,BO192,BS192,BW192,CA192,CE192,CI192)</f>
        <v/>
      </c>
      <c r="CM192" s="152">
        <f>SUM(AY192,BC192,BG192,BK192,BO192,BS192,BW192,CA192,CE192,CI192)+SUM(AZ192,BD192,BH192,BL192,BP192,BT192,BX192,CB192,CF192,CJ192)</f>
        <v/>
      </c>
      <c r="CN192" s="152">
        <f>SUM(BA192,BE192,BI192,BM192,BQ192,BU192,BY192,CC192,CG192,CK192)</f>
        <v/>
      </c>
      <c r="CO192" s="152">
        <f>IF(AW192&gt;CN$6,NA(),AW192)</f>
        <v/>
      </c>
      <c r="CP192" s="152">
        <f>IF(AW192&gt;CN$6,NA(),CN192)</f>
        <v/>
      </c>
    </row>
    <row r="193">
      <c r="B193" s="152" t="n">
        <v>182</v>
      </c>
      <c r="C193" s="152">
        <f>IF(F192&lt;=0.005,0,F192*(1+C$6))</f>
        <v/>
      </c>
      <c r="D193" s="152">
        <f>MIN(C193,C$7)</f>
        <v/>
      </c>
      <c r="E193" s="152">
        <f>MAX(0,MIN(C193-D193,AQ193))</f>
        <v/>
      </c>
      <c r="F193" s="152">
        <f>C193-D193-E193</f>
        <v/>
      </c>
      <c r="G193" s="152">
        <f>IF(J192&lt;=0.005,0,J192*(1+G$6))</f>
        <v/>
      </c>
      <c r="H193" s="152">
        <f>MIN(G193,G$7)</f>
        <v/>
      </c>
      <c r="I193" s="152">
        <f>MAX(0,MIN(G193-H193,AQ193-(E193)))</f>
        <v/>
      </c>
      <c r="J193" s="152">
        <f>G193-H193-I193</f>
        <v/>
      </c>
      <c r="K193" s="152">
        <f>IF(N192&lt;=0.005,0,N192*(1+K$6))</f>
        <v/>
      </c>
      <c r="L193" s="152">
        <f>MIN(K193,K$7)</f>
        <v/>
      </c>
      <c r="M193" s="152">
        <f>MAX(0,MIN(K193-L193,AQ193-(E193+I193)))</f>
        <v/>
      </c>
      <c r="N193" s="152">
        <f>K193-L193-M193</f>
        <v/>
      </c>
      <c r="O193" s="152">
        <f>IF(R192&lt;=0.005,0,R192*(1+O$6))</f>
        <v/>
      </c>
      <c r="P193" s="152">
        <f>MIN(O193,O$7)</f>
        <v/>
      </c>
      <c r="Q193" s="152">
        <f>MAX(0,MIN(O193-P193,AQ193-(E193+I193+M193)))</f>
        <v/>
      </c>
      <c r="R193" s="152">
        <f>O193-P193-Q193</f>
        <v/>
      </c>
      <c r="S193" s="152">
        <f>IF(V192&lt;=0.005,0,V192*(1+S$6))</f>
        <v/>
      </c>
      <c r="T193" s="152">
        <f>MIN(S193,S$7)</f>
        <v/>
      </c>
      <c r="U193" s="152">
        <f>MAX(0,MIN(S193-T193,AQ193-(E193+I193+M193+Q193)))</f>
        <v/>
      </c>
      <c r="V193" s="152">
        <f>S193-T193-U193</f>
        <v/>
      </c>
      <c r="W193" s="152">
        <f>IF(Z192&lt;=0.005,0,Z192*(1+W$6))</f>
        <v/>
      </c>
      <c r="X193" s="152">
        <f>MIN(W193,W$7)</f>
        <v/>
      </c>
      <c r="Y193" s="152">
        <f>MAX(0,MIN(W193-X193,AQ193-(E193+I193+M193+Q193+U193)))</f>
        <v/>
      </c>
      <c r="Z193" s="152">
        <f>W193-X193-Y193</f>
        <v/>
      </c>
      <c r="AA193" s="152">
        <f>IF(AD192&lt;=0.005,0,AD192*(1+AA$6))</f>
        <v/>
      </c>
      <c r="AB193" s="152">
        <f>MIN(AA193,AA$7)</f>
        <v/>
      </c>
      <c r="AC193" s="152">
        <f>MAX(0,MIN(AA193-AB193,AQ193-(E193+I193+M193+Q193+U193+Y193)))</f>
        <v/>
      </c>
      <c r="AD193" s="152">
        <f>AA193-AB193-AC193</f>
        <v/>
      </c>
      <c r="AE193" s="152">
        <f>IF(AH192&lt;=0.005,0,AH192*(1+AE$6))</f>
        <v/>
      </c>
      <c r="AF193" s="152">
        <f>MIN(AE193,AE$7)</f>
        <v/>
      </c>
      <c r="AG193" s="152">
        <f>MAX(0,MIN(AE193-AF193,AQ193-(E193+I193+M193+Q193+U193+Y193+AC193)))</f>
        <v/>
      </c>
      <c r="AH193" s="152">
        <f>AE193-AF193-AG193</f>
        <v/>
      </c>
      <c r="AI193" s="152">
        <f>IF(AL192&lt;=0.005,0,AL192*(1+AI$6))</f>
        <v/>
      </c>
      <c r="AJ193" s="152">
        <f>MIN(AI193,AI$7)</f>
        <v/>
      </c>
      <c r="AK193" s="152">
        <f>MAX(0,MIN(AI193-AJ193,AQ193-(E193+I193+M193+Q193+U193+Y193+AC193+AG193)))</f>
        <v/>
      </c>
      <c r="AL193" s="152">
        <f>AI193-AJ193-AK193</f>
        <v/>
      </c>
      <c r="AM193" s="152">
        <f>IF(AP192&lt;=0.005,0,AP192*(1+AM$6))</f>
        <v/>
      </c>
      <c r="AN193" s="152">
        <f>MIN(AM193,AM$7)</f>
        <v/>
      </c>
      <c r="AO193" s="152">
        <f>MAX(0,MIN(AM193-AN193,AQ193-(E193+I193+M193+Q193+U193+Y193+AC193+AG193+AK193)))</f>
        <v/>
      </c>
      <c r="AP193" s="152">
        <f>AM193-AN193-AO193</f>
        <v/>
      </c>
      <c r="AQ193" s="152">
        <f>'Debt Payoff'!$C$8-SUM(D193,H193,L193,P193,T193,X193,AB193,AF193,AJ193,AN193)</f>
        <v/>
      </c>
      <c r="AR193" s="152">
        <f>SUM(D193,H193,L193,P193,T193,X193,AB193,AF193,AJ193,AN193)+SUM(E193,I193,M193,Q193,U193,Y193,AC193,AG193,AK193,AO193)</f>
        <v/>
      </c>
      <c r="AS193" s="152">
        <f>SUM(F193,J193,N193,R193,V193,Z193,AD193,AH193,AL193,AP193)</f>
        <v/>
      </c>
      <c r="AT193" s="152">
        <f>IF(B193&gt;AS$6,NA(),B193)</f>
        <v/>
      </c>
      <c r="AU193" s="152">
        <f>IF(B193&gt;AS$6,NA(),AS193)</f>
        <v/>
      </c>
      <c r="AV193" s="152" t="n"/>
      <c r="AW193" s="152" t="n">
        <v>182</v>
      </c>
      <c r="AX193" s="152">
        <f>IF(BA192&lt;=0.005,0,BA192*(1+AX$6))</f>
        <v/>
      </c>
      <c r="AY193" s="152">
        <f>MIN(AX193,AX$7)</f>
        <v/>
      </c>
      <c r="AZ193" s="152">
        <f>MAX(0,MIN(AX193-AY193,CL193))</f>
        <v/>
      </c>
      <c r="BA193" s="152">
        <f>AX193-AY193-AZ193</f>
        <v/>
      </c>
      <c r="BB193" s="152">
        <f>IF(BE192&lt;=0.005,0,BE192*(1+BB$6))</f>
        <v/>
      </c>
      <c r="BC193" s="152">
        <f>MIN(BB193,BB$7)</f>
        <v/>
      </c>
      <c r="BD193" s="152">
        <f>MAX(0,MIN(BB193-BC193,CL193-(AZ193)))</f>
        <v/>
      </c>
      <c r="BE193" s="152">
        <f>BB193-BC193-BD193</f>
        <v/>
      </c>
      <c r="BF193" s="152">
        <f>IF(BI192&lt;=0.005,0,BI192*(1+BF$6))</f>
        <v/>
      </c>
      <c r="BG193" s="152">
        <f>MIN(BF193,BF$7)</f>
        <v/>
      </c>
      <c r="BH193" s="152">
        <f>MAX(0,MIN(BF193-BG193,CL193-(AZ193+BD193)))</f>
        <v/>
      </c>
      <c r="BI193" s="152">
        <f>BF193-BG193-BH193</f>
        <v/>
      </c>
      <c r="BJ193" s="152">
        <f>IF(BM192&lt;=0.005,0,BM192*(1+BJ$6))</f>
        <v/>
      </c>
      <c r="BK193" s="152">
        <f>MIN(BJ193,BJ$7)</f>
        <v/>
      </c>
      <c r="BL193" s="152">
        <f>MAX(0,MIN(BJ193-BK193,CL193-(AZ193+BD193+BH193)))</f>
        <v/>
      </c>
      <c r="BM193" s="152">
        <f>BJ193-BK193-BL193</f>
        <v/>
      </c>
      <c r="BN193" s="152">
        <f>IF(BQ192&lt;=0.005,0,BQ192*(1+BN$6))</f>
        <v/>
      </c>
      <c r="BO193" s="152">
        <f>MIN(BN193,BN$7)</f>
        <v/>
      </c>
      <c r="BP193" s="152">
        <f>MAX(0,MIN(BN193-BO193,CL193-(AZ193+BD193+BH193+BL193)))</f>
        <v/>
      </c>
      <c r="BQ193" s="152">
        <f>BN193-BO193-BP193</f>
        <v/>
      </c>
      <c r="BR193" s="152">
        <f>IF(BU192&lt;=0.005,0,BU192*(1+BR$6))</f>
        <v/>
      </c>
      <c r="BS193" s="152">
        <f>MIN(BR193,BR$7)</f>
        <v/>
      </c>
      <c r="BT193" s="152">
        <f>MAX(0,MIN(BR193-BS193,CL193-(AZ193+BD193+BH193+BL193+BP193)))</f>
        <v/>
      </c>
      <c r="BU193" s="152">
        <f>BR193-BS193-BT193</f>
        <v/>
      </c>
      <c r="BV193" s="152">
        <f>IF(BY192&lt;=0.005,0,BY192*(1+BV$6))</f>
        <v/>
      </c>
      <c r="BW193" s="152">
        <f>MIN(BV193,BV$7)</f>
        <v/>
      </c>
      <c r="BX193" s="152">
        <f>MAX(0,MIN(BV193-BW193,CL193-(AZ193+BD193+BH193+BL193+BP193+BT193)))</f>
        <v/>
      </c>
      <c r="BY193" s="152">
        <f>BV193-BW193-BX193</f>
        <v/>
      </c>
      <c r="BZ193" s="152">
        <f>IF(CC192&lt;=0.005,0,CC192*(1+BZ$6))</f>
        <v/>
      </c>
      <c r="CA193" s="152">
        <f>MIN(BZ193,BZ$7)</f>
        <v/>
      </c>
      <c r="CB193" s="152">
        <f>MAX(0,MIN(BZ193-CA193,CL193-(AZ193+BD193+BH193+BL193+BP193+BT193+BX193)))</f>
        <v/>
      </c>
      <c r="CC193" s="152">
        <f>BZ193-CA193-CB193</f>
        <v/>
      </c>
      <c r="CD193" s="152">
        <f>IF(CG192&lt;=0.005,0,CG192*(1+CD$6))</f>
        <v/>
      </c>
      <c r="CE193" s="152">
        <f>MIN(CD193,CD$7)</f>
        <v/>
      </c>
      <c r="CF193" s="152">
        <f>MAX(0,MIN(CD193-CE193,CL193-(AZ193+BD193+BH193+BL193+BP193+BT193+BX193+CB193)))</f>
        <v/>
      </c>
      <c r="CG193" s="152">
        <f>CD193-CE193-CF193</f>
        <v/>
      </c>
      <c r="CH193" s="152">
        <f>IF(CK192&lt;=0.005,0,CK192*(1+CH$6))</f>
        <v/>
      </c>
      <c r="CI193" s="152">
        <f>MIN(CH193,CH$7)</f>
        <v/>
      </c>
      <c r="CJ193" s="152">
        <f>MAX(0,MIN(CH193-CI193,CL193-(AZ193+BD193+BH193+BL193+BP193+BT193+BX193+CB193+CF193)))</f>
        <v/>
      </c>
      <c r="CK193" s="152">
        <f>CH193-CI193-CJ193</f>
        <v/>
      </c>
      <c r="CL193" s="152">
        <f>'Debt Payoff'!$C$8-SUM(AY193,BC193,BG193,BK193,BO193,BS193,BW193,CA193,CE193,CI193)</f>
        <v/>
      </c>
      <c r="CM193" s="152">
        <f>SUM(AY193,BC193,BG193,BK193,BO193,BS193,BW193,CA193,CE193,CI193)+SUM(AZ193,BD193,BH193,BL193,BP193,BT193,BX193,CB193,CF193,CJ193)</f>
        <v/>
      </c>
      <c r="CN193" s="152">
        <f>SUM(BA193,BE193,BI193,BM193,BQ193,BU193,BY193,CC193,CG193,CK193)</f>
        <v/>
      </c>
      <c r="CO193" s="152">
        <f>IF(AW193&gt;CN$6,NA(),AW193)</f>
        <v/>
      </c>
      <c r="CP193" s="152">
        <f>IF(AW193&gt;CN$6,NA(),CN193)</f>
        <v/>
      </c>
    </row>
    <row r="194">
      <c r="B194" s="152" t="n">
        <v>183</v>
      </c>
      <c r="C194" s="152">
        <f>IF(F193&lt;=0.005,0,F193*(1+C$6))</f>
        <v/>
      </c>
      <c r="D194" s="152">
        <f>MIN(C194,C$7)</f>
        <v/>
      </c>
      <c r="E194" s="152">
        <f>MAX(0,MIN(C194-D194,AQ194))</f>
        <v/>
      </c>
      <c r="F194" s="152">
        <f>C194-D194-E194</f>
        <v/>
      </c>
      <c r="G194" s="152">
        <f>IF(J193&lt;=0.005,0,J193*(1+G$6))</f>
        <v/>
      </c>
      <c r="H194" s="152">
        <f>MIN(G194,G$7)</f>
        <v/>
      </c>
      <c r="I194" s="152">
        <f>MAX(0,MIN(G194-H194,AQ194-(E194)))</f>
        <v/>
      </c>
      <c r="J194" s="152">
        <f>G194-H194-I194</f>
        <v/>
      </c>
      <c r="K194" s="152">
        <f>IF(N193&lt;=0.005,0,N193*(1+K$6))</f>
        <v/>
      </c>
      <c r="L194" s="152">
        <f>MIN(K194,K$7)</f>
        <v/>
      </c>
      <c r="M194" s="152">
        <f>MAX(0,MIN(K194-L194,AQ194-(E194+I194)))</f>
        <v/>
      </c>
      <c r="N194" s="152">
        <f>K194-L194-M194</f>
        <v/>
      </c>
      <c r="O194" s="152">
        <f>IF(R193&lt;=0.005,0,R193*(1+O$6))</f>
        <v/>
      </c>
      <c r="P194" s="152">
        <f>MIN(O194,O$7)</f>
        <v/>
      </c>
      <c r="Q194" s="152">
        <f>MAX(0,MIN(O194-P194,AQ194-(E194+I194+M194)))</f>
        <v/>
      </c>
      <c r="R194" s="152">
        <f>O194-P194-Q194</f>
        <v/>
      </c>
      <c r="S194" s="152">
        <f>IF(V193&lt;=0.005,0,V193*(1+S$6))</f>
        <v/>
      </c>
      <c r="T194" s="152">
        <f>MIN(S194,S$7)</f>
        <v/>
      </c>
      <c r="U194" s="152">
        <f>MAX(0,MIN(S194-T194,AQ194-(E194+I194+M194+Q194)))</f>
        <v/>
      </c>
      <c r="V194" s="152">
        <f>S194-T194-U194</f>
        <v/>
      </c>
      <c r="W194" s="152">
        <f>IF(Z193&lt;=0.005,0,Z193*(1+W$6))</f>
        <v/>
      </c>
      <c r="X194" s="152">
        <f>MIN(W194,W$7)</f>
        <v/>
      </c>
      <c r="Y194" s="152">
        <f>MAX(0,MIN(W194-X194,AQ194-(E194+I194+M194+Q194+U194)))</f>
        <v/>
      </c>
      <c r="Z194" s="152">
        <f>W194-X194-Y194</f>
        <v/>
      </c>
      <c r="AA194" s="152">
        <f>IF(AD193&lt;=0.005,0,AD193*(1+AA$6))</f>
        <v/>
      </c>
      <c r="AB194" s="152">
        <f>MIN(AA194,AA$7)</f>
        <v/>
      </c>
      <c r="AC194" s="152">
        <f>MAX(0,MIN(AA194-AB194,AQ194-(E194+I194+M194+Q194+U194+Y194)))</f>
        <v/>
      </c>
      <c r="AD194" s="152">
        <f>AA194-AB194-AC194</f>
        <v/>
      </c>
      <c r="AE194" s="152">
        <f>IF(AH193&lt;=0.005,0,AH193*(1+AE$6))</f>
        <v/>
      </c>
      <c r="AF194" s="152">
        <f>MIN(AE194,AE$7)</f>
        <v/>
      </c>
      <c r="AG194" s="152">
        <f>MAX(0,MIN(AE194-AF194,AQ194-(E194+I194+M194+Q194+U194+Y194+AC194)))</f>
        <v/>
      </c>
      <c r="AH194" s="152">
        <f>AE194-AF194-AG194</f>
        <v/>
      </c>
      <c r="AI194" s="152">
        <f>IF(AL193&lt;=0.005,0,AL193*(1+AI$6))</f>
        <v/>
      </c>
      <c r="AJ194" s="152">
        <f>MIN(AI194,AI$7)</f>
        <v/>
      </c>
      <c r="AK194" s="152">
        <f>MAX(0,MIN(AI194-AJ194,AQ194-(E194+I194+M194+Q194+U194+Y194+AC194+AG194)))</f>
        <v/>
      </c>
      <c r="AL194" s="152">
        <f>AI194-AJ194-AK194</f>
        <v/>
      </c>
      <c r="AM194" s="152">
        <f>IF(AP193&lt;=0.005,0,AP193*(1+AM$6))</f>
        <v/>
      </c>
      <c r="AN194" s="152">
        <f>MIN(AM194,AM$7)</f>
        <v/>
      </c>
      <c r="AO194" s="152">
        <f>MAX(0,MIN(AM194-AN194,AQ194-(E194+I194+M194+Q194+U194+Y194+AC194+AG194+AK194)))</f>
        <v/>
      </c>
      <c r="AP194" s="152">
        <f>AM194-AN194-AO194</f>
        <v/>
      </c>
      <c r="AQ194" s="152">
        <f>'Debt Payoff'!$C$8-SUM(D194,H194,L194,P194,T194,X194,AB194,AF194,AJ194,AN194)</f>
        <v/>
      </c>
      <c r="AR194" s="152">
        <f>SUM(D194,H194,L194,P194,T194,X194,AB194,AF194,AJ194,AN194)+SUM(E194,I194,M194,Q194,U194,Y194,AC194,AG194,AK194,AO194)</f>
        <v/>
      </c>
      <c r="AS194" s="152">
        <f>SUM(F194,J194,N194,R194,V194,Z194,AD194,AH194,AL194,AP194)</f>
        <v/>
      </c>
      <c r="AT194" s="152">
        <f>IF(B194&gt;AS$6,NA(),B194)</f>
        <v/>
      </c>
      <c r="AU194" s="152">
        <f>IF(B194&gt;AS$6,NA(),AS194)</f>
        <v/>
      </c>
      <c r="AV194" s="152" t="n"/>
      <c r="AW194" s="152" t="n">
        <v>183</v>
      </c>
      <c r="AX194" s="152">
        <f>IF(BA193&lt;=0.005,0,BA193*(1+AX$6))</f>
        <v/>
      </c>
      <c r="AY194" s="152">
        <f>MIN(AX194,AX$7)</f>
        <v/>
      </c>
      <c r="AZ194" s="152">
        <f>MAX(0,MIN(AX194-AY194,CL194))</f>
        <v/>
      </c>
      <c r="BA194" s="152">
        <f>AX194-AY194-AZ194</f>
        <v/>
      </c>
      <c r="BB194" s="152">
        <f>IF(BE193&lt;=0.005,0,BE193*(1+BB$6))</f>
        <v/>
      </c>
      <c r="BC194" s="152">
        <f>MIN(BB194,BB$7)</f>
        <v/>
      </c>
      <c r="BD194" s="152">
        <f>MAX(0,MIN(BB194-BC194,CL194-(AZ194)))</f>
        <v/>
      </c>
      <c r="BE194" s="152">
        <f>BB194-BC194-BD194</f>
        <v/>
      </c>
      <c r="BF194" s="152">
        <f>IF(BI193&lt;=0.005,0,BI193*(1+BF$6))</f>
        <v/>
      </c>
      <c r="BG194" s="152">
        <f>MIN(BF194,BF$7)</f>
        <v/>
      </c>
      <c r="BH194" s="152">
        <f>MAX(0,MIN(BF194-BG194,CL194-(AZ194+BD194)))</f>
        <v/>
      </c>
      <c r="BI194" s="152">
        <f>BF194-BG194-BH194</f>
        <v/>
      </c>
      <c r="BJ194" s="152">
        <f>IF(BM193&lt;=0.005,0,BM193*(1+BJ$6))</f>
        <v/>
      </c>
      <c r="BK194" s="152">
        <f>MIN(BJ194,BJ$7)</f>
        <v/>
      </c>
      <c r="BL194" s="152">
        <f>MAX(0,MIN(BJ194-BK194,CL194-(AZ194+BD194+BH194)))</f>
        <v/>
      </c>
      <c r="BM194" s="152">
        <f>BJ194-BK194-BL194</f>
        <v/>
      </c>
      <c r="BN194" s="152">
        <f>IF(BQ193&lt;=0.005,0,BQ193*(1+BN$6))</f>
        <v/>
      </c>
      <c r="BO194" s="152">
        <f>MIN(BN194,BN$7)</f>
        <v/>
      </c>
      <c r="BP194" s="152">
        <f>MAX(0,MIN(BN194-BO194,CL194-(AZ194+BD194+BH194+BL194)))</f>
        <v/>
      </c>
      <c r="BQ194" s="152">
        <f>BN194-BO194-BP194</f>
        <v/>
      </c>
      <c r="BR194" s="152">
        <f>IF(BU193&lt;=0.005,0,BU193*(1+BR$6))</f>
        <v/>
      </c>
      <c r="BS194" s="152">
        <f>MIN(BR194,BR$7)</f>
        <v/>
      </c>
      <c r="BT194" s="152">
        <f>MAX(0,MIN(BR194-BS194,CL194-(AZ194+BD194+BH194+BL194+BP194)))</f>
        <v/>
      </c>
      <c r="BU194" s="152">
        <f>BR194-BS194-BT194</f>
        <v/>
      </c>
      <c r="BV194" s="152">
        <f>IF(BY193&lt;=0.005,0,BY193*(1+BV$6))</f>
        <v/>
      </c>
      <c r="BW194" s="152">
        <f>MIN(BV194,BV$7)</f>
        <v/>
      </c>
      <c r="BX194" s="152">
        <f>MAX(0,MIN(BV194-BW194,CL194-(AZ194+BD194+BH194+BL194+BP194+BT194)))</f>
        <v/>
      </c>
      <c r="BY194" s="152">
        <f>BV194-BW194-BX194</f>
        <v/>
      </c>
      <c r="BZ194" s="152">
        <f>IF(CC193&lt;=0.005,0,CC193*(1+BZ$6))</f>
        <v/>
      </c>
      <c r="CA194" s="152">
        <f>MIN(BZ194,BZ$7)</f>
        <v/>
      </c>
      <c r="CB194" s="152">
        <f>MAX(0,MIN(BZ194-CA194,CL194-(AZ194+BD194+BH194+BL194+BP194+BT194+BX194)))</f>
        <v/>
      </c>
      <c r="CC194" s="152">
        <f>BZ194-CA194-CB194</f>
        <v/>
      </c>
      <c r="CD194" s="152">
        <f>IF(CG193&lt;=0.005,0,CG193*(1+CD$6))</f>
        <v/>
      </c>
      <c r="CE194" s="152">
        <f>MIN(CD194,CD$7)</f>
        <v/>
      </c>
      <c r="CF194" s="152">
        <f>MAX(0,MIN(CD194-CE194,CL194-(AZ194+BD194+BH194+BL194+BP194+BT194+BX194+CB194)))</f>
        <v/>
      </c>
      <c r="CG194" s="152">
        <f>CD194-CE194-CF194</f>
        <v/>
      </c>
      <c r="CH194" s="152">
        <f>IF(CK193&lt;=0.005,0,CK193*(1+CH$6))</f>
        <v/>
      </c>
      <c r="CI194" s="152">
        <f>MIN(CH194,CH$7)</f>
        <v/>
      </c>
      <c r="CJ194" s="152">
        <f>MAX(0,MIN(CH194-CI194,CL194-(AZ194+BD194+BH194+BL194+BP194+BT194+BX194+CB194+CF194)))</f>
        <v/>
      </c>
      <c r="CK194" s="152">
        <f>CH194-CI194-CJ194</f>
        <v/>
      </c>
      <c r="CL194" s="152">
        <f>'Debt Payoff'!$C$8-SUM(AY194,BC194,BG194,BK194,BO194,BS194,BW194,CA194,CE194,CI194)</f>
        <v/>
      </c>
      <c r="CM194" s="152">
        <f>SUM(AY194,BC194,BG194,BK194,BO194,BS194,BW194,CA194,CE194,CI194)+SUM(AZ194,BD194,BH194,BL194,BP194,BT194,BX194,CB194,CF194,CJ194)</f>
        <v/>
      </c>
      <c r="CN194" s="152">
        <f>SUM(BA194,BE194,BI194,BM194,BQ194,BU194,BY194,CC194,CG194,CK194)</f>
        <v/>
      </c>
      <c r="CO194" s="152">
        <f>IF(AW194&gt;CN$6,NA(),AW194)</f>
        <v/>
      </c>
      <c r="CP194" s="152">
        <f>IF(AW194&gt;CN$6,NA(),CN194)</f>
        <v/>
      </c>
    </row>
    <row r="195">
      <c r="B195" s="152" t="n">
        <v>184</v>
      </c>
      <c r="C195" s="152">
        <f>IF(F194&lt;=0.005,0,F194*(1+C$6))</f>
        <v/>
      </c>
      <c r="D195" s="152">
        <f>MIN(C195,C$7)</f>
        <v/>
      </c>
      <c r="E195" s="152">
        <f>MAX(0,MIN(C195-D195,AQ195))</f>
        <v/>
      </c>
      <c r="F195" s="152">
        <f>C195-D195-E195</f>
        <v/>
      </c>
      <c r="G195" s="152">
        <f>IF(J194&lt;=0.005,0,J194*(1+G$6))</f>
        <v/>
      </c>
      <c r="H195" s="152">
        <f>MIN(G195,G$7)</f>
        <v/>
      </c>
      <c r="I195" s="152">
        <f>MAX(0,MIN(G195-H195,AQ195-(E195)))</f>
        <v/>
      </c>
      <c r="J195" s="152">
        <f>G195-H195-I195</f>
        <v/>
      </c>
      <c r="K195" s="152">
        <f>IF(N194&lt;=0.005,0,N194*(1+K$6))</f>
        <v/>
      </c>
      <c r="L195" s="152">
        <f>MIN(K195,K$7)</f>
        <v/>
      </c>
      <c r="M195" s="152">
        <f>MAX(0,MIN(K195-L195,AQ195-(E195+I195)))</f>
        <v/>
      </c>
      <c r="N195" s="152">
        <f>K195-L195-M195</f>
        <v/>
      </c>
      <c r="O195" s="152">
        <f>IF(R194&lt;=0.005,0,R194*(1+O$6))</f>
        <v/>
      </c>
      <c r="P195" s="152">
        <f>MIN(O195,O$7)</f>
        <v/>
      </c>
      <c r="Q195" s="152">
        <f>MAX(0,MIN(O195-P195,AQ195-(E195+I195+M195)))</f>
        <v/>
      </c>
      <c r="R195" s="152">
        <f>O195-P195-Q195</f>
        <v/>
      </c>
      <c r="S195" s="152">
        <f>IF(V194&lt;=0.005,0,V194*(1+S$6))</f>
        <v/>
      </c>
      <c r="T195" s="152">
        <f>MIN(S195,S$7)</f>
        <v/>
      </c>
      <c r="U195" s="152">
        <f>MAX(0,MIN(S195-T195,AQ195-(E195+I195+M195+Q195)))</f>
        <v/>
      </c>
      <c r="V195" s="152">
        <f>S195-T195-U195</f>
        <v/>
      </c>
      <c r="W195" s="152">
        <f>IF(Z194&lt;=0.005,0,Z194*(1+W$6))</f>
        <v/>
      </c>
      <c r="X195" s="152">
        <f>MIN(W195,W$7)</f>
        <v/>
      </c>
      <c r="Y195" s="152">
        <f>MAX(0,MIN(W195-X195,AQ195-(E195+I195+M195+Q195+U195)))</f>
        <v/>
      </c>
      <c r="Z195" s="152">
        <f>W195-X195-Y195</f>
        <v/>
      </c>
      <c r="AA195" s="152">
        <f>IF(AD194&lt;=0.005,0,AD194*(1+AA$6))</f>
        <v/>
      </c>
      <c r="AB195" s="152">
        <f>MIN(AA195,AA$7)</f>
        <v/>
      </c>
      <c r="AC195" s="152">
        <f>MAX(0,MIN(AA195-AB195,AQ195-(E195+I195+M195+Q195+U195+Y195)))</f>
        <v/>
      </c>
      <c r="AD195" s="152">
        <f>AA195-AB195-AC195</f>
        <v/>
      </c>
      <c r="AE195" s="152">
        <f>IF(AH194&lt;=0.005,0,AH194*(1+AE$6))</f>
        <v/>
      </c>
      <c r="AF195" s="152">
        <f>MIN(AE195,AE$7)</f>
        <v/>
      </c>
      <c r="AG195" s="152">
        <f>MAX(0,MIN(AE195-AF195,AQ195-(E195+I195+M195+Q195+U195+Y195+AC195)))</f>
        <v/>
      </c>
      <c r="AH195" s="152">
        <f>AE195-AF195-AG195</f>
        <v/>
      </c>
      <c r="AI195" s="152">
        <f>IF(AL194&lt;=0.005,0,AL194*(1+AI$6))</f>
        <v/>
      </c>
      <c r="AJ195" s="152">
        <f>MIN(AI195,AI$7)</f>
        <v/>
      </c>
      <c r="AK195" s="152">
        <f>MAX(0,MIN(AI195-AJ195,AQ195-(E195+I195+M195+Q195+U195+Y195+AC195+AG195)))</f>
        <v/>
      </c>
      <c r="AL195" s="152">
        <f>AI195-AJ195-AK195</f>
        <v/>
      </c>
      <c r="AM195" s="152">
        <f>IF(AP194&lt;=0.005,0,AP194*(1+AM$6))</f>
        <v/>
      </c>
      <c r="AN195" s="152">
        <f>MIN(AM195,AM$7)</f>
        <v/>
      </c>
      <c r="AO195" s="152">
        <f>MAX(0,MIN(AM195-AN195,AQ195-(E195+I195+M195+Q195+U195+Y195+AC195+AG195+AK195)))</f>
        <v/>
      </c>
      <c r="AP195" s="152">
        <f>AM195-AN195-AO195</f>
        <v/>
      </c>
      <c r="AQ195" s="152">
        <f>'Debt Payoff'!$C$8-SUM(D195,H195,L195,P195,T195,X195,AB195,AF195,AJ195,AN195)</f>
        <v/>
      </c>
      <c r="AR195" s="152">
        <f>SUM(D195,H195,L195,P195,T195,X195,AB195,AF195,AJ195,AN195)+SUM(E195,I195,M195,Q195,U195,Y195,AC195,AG195,AK195,AO195)</f>
        <v/>
      </c>
      <c r="AS195" s="152">
        <f>SUM(F195,J195,N195,R195,V195,Z195,AD195,AH195,AL195,AP195)</f>
        <v/>
      </c>
      <c r="AT195" s="152">
        <f>IF(B195&gt;AS$6,NA(),B195)</f>
        <v/>
      </c>
      <c r="AU195" s="152">
        <f>IF(B195&gt;AS$6,NA(),AS195)</f>
        <v/>
      </c>
      <c r="AV195" s="152" t="n"/>
      <c r="AW195" s="152" t="n">
        <v>184</v>
      </c>
      <c r="AX195" s="152">
        <f>IF(BA194&lt;=0.005,0,BA194*(1+AX$6))</f>
        <v/>
      </c>
      <c r="AY195" s="152">
        <f>MIN(AX195,AX$7)</f>
        <v/>
      </c>
      <c r="AZ195" s="152">
        <f>MAX(0,MIN(AX195-AY195,CL195))</f>
        <v/>
      </c>
      <c r="BA195" s="152">
        <f>AX195-AY195-AZ195</f>
        <v/>
      </c>
      <c r="BB195" s="152">
        <f>IF(BE194&lt;=0.005,0,BE194*(1+BB$6))</f>
        <v/>
      </c>
      <c r="BC195" s="152">
        <f>MIN(BB195,BB$7)</f>
        <v/>
      </c>
      <c r="BD195" s="152">
        <f>MAX(0,MIN(BB195-BC195,CL195-(AZ195)))</f>
        <v/>
      </c>
      <c r="BE195" s="152">
        <f>BB195-BC195-BD195</f>
        <v/>
      </c>
      <c r="BF195" s="152">
        <f>IF(BI194&lt;=0.005,0,BI194*(1+BF$6))</f>
        <v/>
      </c>
      <c r="BG195" s="152">
        <f>MIN(BF195,BF$7)</f>
        <v/>
      </c>
      <c r="BH195" s="152">
        <f>MAX(0,MIN(BF195-BG195,CL195-(AZ195+BD195)))</f>
        <v/>
      </c>
      <c r="BI195" s="152">
        <f>BF195-BG195-BH195</f>
        <v/>
      </c>
      <c r="BJ195" s="152">
        <f>IF(BM194&lt;=0.005,0,BM194*(1+BJ$6))</f>
        <v/>
      </c>
      <c r="BK195" s="152">
        <f>MIN(BJ195,BJ$7)</f>
        <v/>
      </c>
      <c r="BL195" s="152">
        <f>MAX(0,MIN(BJ195-BK195,CL195-(AZ195+BD195+BH195)))</f>
        <v/>
      </c>
      <c r="BM195" s="152">
        <f>BJ195-BK195-BL195</f>
        <v/>
      </c>
      <c r="BN195" s="152">
        <f>IF(BQ194&lt;=0.005,0,BQ194*(1+BN$6))</f>
        <v/>
      </c>
      <c r="BO195" s="152">
        <f>MIN(BN195,BN$7)</f>
        <v/>
      </c>
      <c r="BP195" s="152">
        <f>MAX(0,MIN(BN195-BO195,CL195-(AZ195+BD195+BH195+BL195)))</f>
        <v/>
      </c>
      <c r="BQ195" s="152">
        <f>BN195-BO195-BP195</f>
        <v/>
      </c>
      <c r="BR195" s="152">
        <f>IF(BU194&lt;=0.005,0,BU194*(1+BR$6))</f>
        <v/>
      </c>
      <c r="BS195" s="152">
        <f>MIN(BR195,BR$7)</f>
        <v/>
      </c>
      <c r="BT195" s="152">
        <f>MAX(0,MIN(BR195-BS195,CL195-(AZ195+BD195+BH195+BL195+BP195)))</f>
        <v/>
      </c>
      <c r="BU195" s="152">
        <f>BR195-BS195-BT195</f>
        <v/>
      </c>
      <c r="BV195" s="152">
        <f>IF(BY194&lt;=0.005,0,BY194*(1+BV$6))</f>
        <v/>
      </c>
      <c r="BW195" s="152">
        <f>MIN(BV195,BV$7)</f>
        <v/>
      </c>
      <c r="BX195" s="152">
        <f>MAX(0,MIN(BV195-BW195,CL195-(AZ195+BD195+BH195+BL195+BP195+BT195)))</f>
        <v/>
      </c>
      <c r="BY195" s="152">
        <f>BV195-BW195-BX195</f>
        <v/>
      </c>
      <c r="BZ195" s="152">
        <f>IF(CC194&lt;=0.005,0,CC194*(1+BZ$6))</f>
        <v/>
      </c>
      <c r="CA195" s="152">
        <f>MIN(BZ195,BZ$7)</f>
        <v/>
      </c>
      <c r="CB195" s="152">
        <f>MAX(0,MIN(BZ195-CA195,CL195-(AZ195+BD195+BH195+BL195+BP195+BT195+BX195)))</f>
        <v/>
      </c>
      <c r="CC195" s="152">
        <f>BZ195-CA195-CB195</f>
        <v/>
      </c>
      <c r="CD195" s="152">
        <f>IF(CG194&lt;=0.005,0,CG194*(1+CD$6))</f>
        <v/>
      </c>
      <c r="CE195" s="152">
        <f>MIN(CD195,CD$7)</f>
        <v/>
      </c>
      <c r="CF195" s="152">
        <f>MAX(0,MIN(CD195-CE195,CL195-(AZ195+BD195+BH195+BL195+BP195+BT195+BX195+CB195)))</f>
        <v/>
      </c>
      <c r="CG195" s="152">
        <f>CD195-CE195-CF195</f>
        <v/>
      </c>
      <c r="CH195" s="152">
        <f>IF(CK194&lt;=0.005,0,CK194*(1+CH$6))</f>
        <v/>
      </c>
      <c r="CI195" s="152">
        <f>MIN(CH195,CH$7)</f>
        <v/>
      </c>
      <c r="CJ195" s="152">
        <f>MAX(0,MIN(CH195-CI195,CL195-(AZ195+BD195+BH195+BL195+BP195+BT195+BX195+CB195+CF195)))</f>
        <v/>
      </c>
      <c r="CK195" s="152">
        <f>CH195-CI195-CJ195</f>
        <v/>
      </c>
      <c r="CL195" s="152">
        <f>'Debt Payoff'!$C$8-SUM(AY195,BC195,BG195,BK195,BO195,BS195,BW195,CA195,CE195,CI195)</f>
        <v/>
      </c>
      <c r="CM195" s="152">
        <f>SUM(AY195,BC195,BG195,BK195,BO195,BS195,BW195,CA195,CE195,CI195)+SUM(AZ195,BD195,BH195,BL195,BP195,BT195,BX195,CB195,CF195,CJ195)</f>
        <v/>
      </c>
      <c r="CN195" s="152">
        <f>SUM(BA195,BE195,BI195,BM195,BQ195,BU195,BY195,CC195,CG195,CK195)</f>
        <v/>
      </c>
      <c r="CO195" s="152">
        <f>IF(AW195&gt;CN$6,NA(),AW195)</f>
        <v/>
      </c>
      <c r="CP195" s="152">
        <f>IF(AW195&gt;CN$6,NA(),CN195)</f>
        <v/>
      </c>
    </row>
    <row r="196">
      <c r="B196" s="152" t="n">
        <v>185</v>
      </c>
      <c r="C196" s="152">
        <f>IF(F195&lt;=0.005,0,F195*(1+C$6))</f>
        <v/>
      </c>
      <c r="D196" s="152">
        <f>MIN(C196,C$7)</f>
        <v/>
      </c>
      <c r="E196" s="152">
        <f>MAX(0,MIN(C196-D196,AQ196))</f>
        <v/>
      </c>
      <c r="F196" s="152">
        <f>C196-D196-E196</f>
        <v/>
      </c>
      <c r="G196" s="152">
        <f>IF(J195&lt;=0.005,0,J195*(1+G$6))</f>
        <v/>
      </c>
      <c r="H196" s="152">
        <f>MIN(G196,G$7)</f>
        <v/>
      </c>
      <c r="I196" s="152">
        <f>MAX(0,MIN(G196-H196,AQ196-(E196)))</f>
        <v/>
      </c>
      <c r="J196" s="152">
        <f>G196-H196-I196</f>
        <v/>
      </c>
      <c r="K196" s="152">
        <f>IF(N195&lt;=0.005,0,N195*(1+K$6))</f>
        <v/>
      </c>
      <c r="L196" s="152">
        <f>MIN(K196,K$7)</f>
        <v/>
      </c>
      <c r="M196" s="152">
        <f>MAX(0,MIN(K196-L196,AQ196-(E196+I196)))</f>
        <v/>
      </c>
      <c r="N196" s="152">
        <f>K196-L196-M196</f>
        <v/>
      </c>
      <c r="O196" s="152">
        <f>IF(R195&lt;=0.005,0,R195*(1+O$6))</f>
        <v/>
      </c>
      <c r="P196" s="152">
        <f>MIN(O196,O$7)</f>
        <v/>
      </c>
      <c r="Q196" s="152">
        <f>MAX(0,MIN(O196-P196,AQ196-(E196+I196+M196)))</f>
        <v/>
      </c>
      <c r="R196" s="152">
        <f>O196-P196-Q196</f>
        <v/>
      </c>
      <c r="S196" s="152">
        <f>IF(V195&lt;=0.005,0,V195*(1+S$6))</f>
        <v/>
      </c>
      <c r="T196" s="152">
        <f>MIN(S196,S$7)</f>
        <v/>
      </c>
      <c r="U196" s="152">
        <f>MAX(0,MIN(S196-T196,AQ196-(E196+I196+M196+Q196)))</f>
        <v/>
      </c>
      <c r="V196" s="152">
        <f>S196-T196-U196</f>
        <v/>
      </c>
      <c r="W196" s="152">
        <f>IF(Z195&lt;=0.005,0,Z195*(1+W$6))</f>
        <v/>
      </c>
      <c r="X196" s="152">
        <f>MIN(W196,W$7)</f>
        <v/>
      </c>
      <c r="Y196" s="152">
        <f>MAX(0,MIN(W196-X196,AQ196-(E196+I196+M196+Q196+U196)))</f>
        <v/>
      </c>
      <c r="Z196" s="152">
        <f>W196-X196-Y196</f>
        <v/>
      </c>
      <c r="AA196" s="152">
        <f>IF(AD195&lt;=0.005,0,AD195*(1+AA$6))</f>
        <v/>
      </c>
      <c r="AB196" s="152">
        <f>MIN(AA196,AA$7)</f>
        <v/>
      </c>
      <c r="AC196" s="152">
        <f>MAX(0,MIN(AA196-AB196,AQ196-(E196+I196+M196+Q196+U196+Y196)))</f>
        <v/>
      </c>
      <c r="AD196" s="152">
        <f>AA196-AB196-AC196</f>
        <v/>
      </c>
      <c r="AE196" s="152">
        <f>IF(AH195&lt;=0.005,0,AH195*(1+AE$6))</f>
        <v/>
      </c>
      <c r="AF196" s="152">
        <f>MIN(AE196,AE$7)</f>
        <v/>
      </c>
      <c r="AG196" s="152">
        <f>MAX(0,MIN(AE196-AF196,AQ196-(E196+I196+M196+Q196+U196+Y196+AC196)))</f>
        <v/>
      </c>
      <c r="AH196" s="152">
        <f>AE196-AF196-AG196</f>
        <v/>
      </c>
      <c r="AI196" s="152">
        <f>IF(AL195&lt;=0.005,0,AL195*(1+AI$6))</f>
        <v/>
      </c>
      <c r="AJ196" s="152">
        <f>MIN(AI196,AI$7)</f>
        <v/>
      </c>
      <c r="AK196" s="152">
        <f>MAX(0,MIN(AI196-AJ196,AQ196-(E196+I196+M196+Q196+U196+Y196+AC196+AG196)))</f>
        <v/>
      </c>
      <c r="AL196" s="152">
        <f>AI196-AJ196-AK196</f>
        <v/>
      </c>
      <c r="AM196" s="152">
        <f>IF(AP195&lt;=0.005,0,AP195*(1+AM$6))</f>
        <v/>
      </c>
      <c r="AN196" s="152">
        <f>MIN(AM196,AM$7)</f>
        <v/>
      </c>
      <c r="AO196" s="152">
        <f>MAX(0,MIN(AM196-AN196,AQ196-(E196+I196+M196+Q196+U196+Y196+AC196+AG196+AK196)))</f>
        <v/>
      </c>
      <c r="AP196" s="152">
        <f>AM196-AN196-AO196</f>
        <v/>
      </c>
      <c r="AQ196" s="152">
        <f>'Debt Payoff'!$C$8-SUM(D196,H196,L196,P196,T196,X196,AB196,AF196,AJ196,AN196)</f>
        <v/>
      </c>
      <c r="AR196" s="152">
        <f>SUM(D196,H196,L196,P196,T196,X196,AB196,AF196,AJ196,AN196)+SUM(E196,I196,M196,Q196,U196,Y196,AC196,AG196,AK196,AO196)</f>
        <v/>
      </c>
      <c r="AS196" s="152">
        <f>SUM(F196,J196,N196,R196,V196,Z196,AD196,AH196,AL196,AP196)</f>
        <v/>
      </c>
      <c r="AT196" s="152">
        <f>IF(B196&gt;AS$6,NA(),B196)</f>
        <v/>
      </c>
      <c r="AU196" s="152">
        <f>IF(B196&gt;AS$6,NA(),AS196)</f>
        <v/>
      </c>
      <c r="AV196" s="152" t="n"/>
      <c r="AW196" s="152" t="n">
        <v>185</v>
      </c>
      <c r="AX196" s="152">
        <f>IF(BA195&lt;=0.005,0,BA195*(1+AX$6))</f>
        <v/>
      </c>
      <c r="AY196" s="152">
        <f>MIN(AX196,AX$7)</f>
        <v/>
      </c>
      <c r="AZ196" s="152">
        <f>MAX(0,MIN(AX196-AY196,CL196))</f>
        <v/>
      </c>
      <c r="BA196" s="152">
        <f>AX196-AY196-AZ196</f>
        <v/>
      </c>
      <c r="BB196" s="152">
        <f>IF(BE195&lt;=0.005,0,BE195*(1+BB$6))</f>
        <v/>
      </c>
      <c r="BC196" s="152">
        <f>MIN(BB196,BB$7)</f>
        <v/>
      </c>
      <c r="BD196" s="152">
        <f>MAX(0,MIN(BB196-BC196,CL196-(AZ196)))</f>
        <v/>
      </c>
      <c r="BE196" s="152">
        <f>BB196-BC196-BD196</f>
        <v/>
      </c>
      <c r="BF196" s="152">
        <f>IF(BI195&lt;=0.005,0,BI195*(1+BF$6))</f>
        <v/>
      </c>
      <c r="BG196" s="152">
        <f>MIN(BF196,BF$7)</f>
        <v/>
      </c>
      <c r="BH196" s="152">
        <f>MAX(0,MIN(BF196-BG196,CL196-(AZ196+BD196)))</f>
        <v/>
      </c>
      <c r="BI196" s="152">
        <f>BF196-BG196-BH196</f>
        <v/>
      </c>
      <c r="BJ196" s="152">
        <f>IF(BM195&lt;=0.005,0,BM195*(1+BJ$6))</f>
        <v/>
      </c>
      <c r="BK196" s="152">
        <f>MIN(BJ196,BJ$7)</f>
        <v/>
      </c>
      <c r="BL196" s="152">
        <f>MAX(0,MIN(BJ196-BK196,CL196-(AZ196+BD196+BH196)))</f>
        <v/>
      </c>
      <c r="BM196" s="152">
        <f>BJ196-BK196-BL196</f>
        <v/>
      </c>
      <c r="BN196" s="152">
        <f>IF(BQ195&lt;=0.005,0,BQ195*(1+BN$6))</f>
        <v/>
      </c>
      <c r="BO196" s="152">
        <f>MIN(BN196,BN$7)</f>
        <v/>
      </c>
      <c r="BP196" s="152">
        <f>MAX(0,MIN(BN196-BO196,CL196-(AZ196+BD196+BH196+BL196)))</f>
        <v/>
      </c>
      <c r="BQ196" s="152">
        <f>BN196-BO196-BP196</f>
        <v/>
      </c>
      <c r="BR196" s="152">
        <f>IF(BU195&lt;=0.005,0,BU195*(1+BR$6))</f>
        <v/>
      </c>
      <c r="BS196" s="152">
        <f>MIN(BR196,BR$7)</f>
        <v/>
      </c>
      <c r="BT196" s="152">
        <f>MAX(0,MIN(BR196-BS196,CL196-(AZ196+BD196+BH196+BL196+BP196)))</f>
        <v/>
      </c>
      <c r="BU196" s="152">
        <f>BR196-BS196-BT196</f>
        <v/>
      </c>
      <c r="BV196" s="152">
        <f>IF(BY195&lt;=0.005,0,BY195*(1+BV$6))</f>
        <v/>
      </c>
      <c r="BW196" s="152">
        <f>MIN(BV196,BV$7)</f>
        <v/>
      </c>
      <c r="BX196" s="152">
        <f>MAX(0,MIN(BV196-BW196,CL196-(AZ196+BD196+BH196+BL196+BP196+BT196)))</f>
        <v/>
      </c>
      <c r="BY196" s="152">
        <f>BV196-BW196-BX196</f>
        <v/>
      </c>
      <c r="BZ196" s="152">
        <f>IF(CC195&lt;=0.005,0,CC195*(1+BZ$6))</f>
        <v/>
      </c>
      <c r="CA196" s="152">
        <f>MIN(BZ196,BZ$7)</f>
        <v/>
      </c>
      <c r="CB196" s="152">
        <f>MAX(0,MIN(BZ196-CA196,CL196-(AZ196+BD196+BH196+BL196+BP196+BT196+BX196)))</f>
        <v/>
      </c>
      <c r="CC196" s="152">
        <f>BZ196-CA196-CB196</f>
        <v/>
      </c>
      <c r="CD196" s="152">
        <f>IF(CG195&lt;=0.005,0,CG195*(1+CD$6))</f>
        <v/>
      </c>
      <c r="CE196" s="152">
        <f>MIN(CD196,CD$7)</f>
        <v/>
      </c>
      <c r="CF196" s="152">
        <f>MAX(0,MIN(CD196-CE196,CL196-(AZ196+BD196+BH196+BL196+BP196+BT196+BX196+CB196)))</f>
        <v/>
      </c>
      <c r="CG196" s="152">
        <f>CD196-CE196-CF196</f>
        <v/>
      </c>
      <c r="CH196" s="152">
        <f>IF(CK195&lt;=0.005,0,CK195*(1+CH$6))</f>
        <v/>
      </c>
      <c r="CI196" s="152">
        <f>MIN(CH196,CH$7)</f>
        <v/>
      </c>
      <c r="CJ196" s="152">
        <f>MAX(0,MIN(CH196-CI196,CL196-(AZ196+BD196+BH196+BL196+BP196+BT196+BX196+CB196+CF196)))</f>
        <v/>
      </c>
      <c r="CK196" s="152">
        <f>CH196-CI196-CJ196</f>
        <v/>
      </c>
      <c r="CL196" s="152">
        <f>'Debt Payoff'!$C$8-SUM(AY196,BC196,BG196,BK196,BO196,BS196,BW196,CA196,CE196,CI196)</f>
        <v/>
      </c>
      <c r="CM196" s="152">
        <f>SUM(AY196,BC196,BG196,BK196,BO196,BS196,BW196,CA196,CE196,CI196)+SUM(AZ196,BD196,BH196,BL196,BP196,BT196,BX196,CB196,CF196,CJ196)</f>
        <v/>
      </c>
      <c r="CN196" s="152">
        <f>SUM(BA196,BE196,BI196,BM196,BQ196,BU196,BY196,CC196,CG196,CK196)</f>
        <v/>
      </c>
      <c r="CO196" s="152">
        <f>IF(AW196&gt;CN$6,NA(),AW196)</f>
        <v/>
      </c>
      <c r="CP196" s="152">
        <f>IF(AW196&gt;CN$6,NA(),CN196)</f>
        <v/>
      </c>
    </row>
    <row r="197">
      <c r="B197" s="152" t="n">
        <v>186</v>
      </c>
      <c r="C197" s="152">
        <f>IF(F196&lt;=0.005,0,F196*(1+C$6))</f>
        <v/>
      </c>
      <c r="D197" s="152">
        <f>MIN(C197,C$7)</f>
        <v/>
      </c>
      <c r="E197" s="152">
        <f>MAX(0,MIN(C197-D197,AQ197))</f>
        <v/>
      </c>
      <c r="F197" s="152">
        <f>C197-D197-E197</f>
        <v/>
      </c>
      <c r="G197" s="152">
        <f>IF(J196&lt;=0.005,0,J196*(1+G$6))</f>
        <v/>
      </c>
      <c r="H197" s="152">
        <f>MIN(G197,G$7)</f>
        <v/>
      </c>
      <c r="I197" s="152">
        <f>MAX(0,MIN(G197-H197,AQ197-(E197)))</f>
        <v/>
      </c>
      <c r="J197" s="152">
        <f>G197-H197-I197</f>
        <v/>
      </c>
      <c r="K197" s="152">
        <f>IF(N196&lt;=0.005,0,N196*(1+K$6))</f>
        <v/>
      </c>
      <c r="L197" s="152">
        <f>MIN(K197,K$7)</f>
        <v/>
      </c>
      <c r="M197" s="152">
        <f>MAX(0,MIN(K197-L197,AQ197-(E197+I197)))</f>
        <v/>
      </c>
      <c r="N197" s="152">
        <f>K197-L197-M197</f>
        <v/>
      </c>
      <c r="O197" s="152">
        <f>IF(R196&lt;=0.005,0,R196*(1+O$6))</f>
        <v/>
      </c>
      <c r="P197" s="152">
        <f>MIN(O197,O$7)</f>
        <v/>
      </c>
      <c r="Q197" s="152">
        <f>MAX(0,MIN(O197-P197,AQ197-(E197+I197+M197)))</f>
        <v/>
      </c>
      <c r="R197" s="152">
        <f>O197-P197-Q197</f>
        <v/>
      </c>
      <c r="S197" s="152">
        <f>IF(V196&lt;=0.005,0,V196*(1+S$6))</f>
        <v/>
      </c>
      <c r="T197" s="152">
        <f>MIN(S197,S$7)</f>
        <v/>
      </c>
      <c r="U197" s="152">
        <f>MAX(0,MIN(S197-T197,AQ197-(E197+I197+M197+Q197)))</f>
        <v/>
      </c>
      <c r="V197" s="152">
        <f>S197-T197-U197</f>
        <v/>
      </c>
      <c r="W197" s="152">
        <f>IF(Z196&lt;=0.005,0,Z196*(1+W$6))</f>
        <v/>
      </c>
      <c r="X197" s="152">
        <f>MIN(W197,W$7)</f>
        <v/>
      </c>
      <c r="Y197" s="152">
        <f>MAX(0,MIN(W197-X197,AQ197-(E197+I197+M197+Q197+U197)))</f>
        <v/>
      </c>
      <c r="Z197" s="152">
        <f>W197-X197-Y197</f>
        <v/>
      </c>
      <c r="AA197" s="152">
        <f>IF(AD196&lt;=0.005,0,AD196*(1+AA$6))</f>
        <v/>
      </c>
      <c r="AB197" s="152">
        <f>MIN(AA197,AA$7)</f>
        <v/>
      </c>
      <c r="AC197" s="152">
        <f>MAX(0,MIN(AA197-AB197,AQ197-(E197+I197+M197+Q197+U197+Y197)))</f>
        <v/>
      </c>
      <c r="AD197" s="152">
        <f>AA197-AB197-AC197</f>
        <v/>
      </c>
      <c r="AE197" s="152">
        <f>IF(AH196&lt;=0.005,0,AH196*(1+AE$6))</f>
        <v/>
      </c>
      <c r="AF197" s="152">
        <f>MIN(AE197,AE$7)</f>
        <v/>
      </c>
      <c r="AG197" s="152">
        <f>MAX(0,MIN(AE197-AF197,AQ197-(E197+I197+M197+Q197+U197+Y197+AC197)))</f>
        <v/>
      </c>
      <c r="AH197" s="152">
        <f>AE197-AF197-AG197</f>
        <v/>
      </c>
      <c r="AI197" s="152">
        <f>IF(AL196&lt;=0.005,0,AL196*(1+AI$6))</f>
        <v/>
      </c>
      <c r="AJ197" s="152">
        <f>MIN(AI197,AI$7)</f>
        <v/>
      </c>
      <c r="AK197" s="152">
        <f>MAX(0,MIN(AI197-AJ197,AQ197-(E197+I197+M197+Q197+U197+Y197+AC197+AG197)))</f>
        <v/>
      </c>
      <c r="AL197" s="152">
        <f>AI197-AJ197-AK197</f>
        <v/>
      </c>
      <c r="AM197" s="152">
        <f>IF(AP196&lt;=0.005,0,AP196*(1+AM$6))</f>
        <v/>
      </c>
      <c r="AN197" s="152">
        <f>MIN(AM197,AM$7)</f>
        <v/>
      </c>
      <c r="AO197" s="152">
        <f>MAX(0,MIN(AM197-AN197,AQ197-(E197+I197+M197+Q197+U197+Y197+AC197+AG197+AK197)))</f>
        <v/>
      </c>
      <c r="AP197" s="152">
        <f>AM197-AN197-AO197</f>
        <v/>
      </c>
      <c r="AQ197" s="152">
        <f>'Debt Payoff'!$C$8-SUM(D197,H197,L197,P197,T197,X197,AB197,AF197,AJ197,AN197)</f>
        <v/>
      </c>
      <c r="AR197" s="152">
        <f>SUM(D197,H197,L197,P197,T197,X197,AB197,AF197,AJ197,AN197)+SUM(E197,I197,M197,Q197,U197,Y197,AC197,AG197,AK197,AO197)</f>
        <v/>
      </c>
      <c r="AS197" s="152">
        <f>SUM(F197,J197,N197,R197,V197,Z197,AD197,AH197,AL197,AP197)</f>
        <v/>
      </c>
      <c r="AT197" s="152">
        <f>IF(B197&gt;AS$6,NA(),B197)</f>
        <v/>
      </c>
      <c r="AU197" s="152">
        <f>IF(B197&gt;AS$6,NA(),AS197)</f>
        <v/>
      </c>
      <c r="AV197" s="152" t="n"/>
      <c r="AW197" s="152" t="n">
        <v>186</v>
      </c>
      <c r="AX197" s="152">
        <f>IF(BA196&lt;=0.005,0,BA196*(1+AX$6))</f>
        <v/>
      </c>
      <c r="AY197" s="152">
        <f>MIN(AX197,AX$7)</f>
        <v/>
      </c>
      <c r="AZ197" s="152">
        <f>MAX(0,MIN(AX197-AY197,CL197))</f>
        <v/>
      </c>
      <c r="BA197" s="152">
        <f>AX197-AY197-AZ197</f>
        <v/>
      </c>
      <c r="BB197" s="152">
        <f>IF(BE196&lt;=0.005,0,BE196*(1+BB$6))</f>
        <v/>
      </c>
      <c r="BC197" s="152">
        <f>MIN(BB197,BB$7)</f>
        <v/>
      </c>
      <c r="BD197" s="152">
        <f>MAX(0,MIN(BB197-BC197,CL197-(AZ197)))</f>
        <v/>
      </c>
      <c r="BE197" s="152">
        <f>BB197-BC197-BD197</f>
        <v/>
      </c>
      <c r="BF197" s="152">
        <f>IF(BI196&lt;=0.005,0,BI196*(1+BF$6))</f>
        <v/>
      </c>
      <c r="BG197" s="152">
        <f>MIN(BF197,BF$7)</f>
        <v/>
      </c>
      <c r="BH197" s="152">
        <f>MAX(0,MIN(BF197-BG197,CL197-(AZ197+BD197)))</f>
        <v/>
      </c>
      <c r="BI197" s="152">
        <f>BF197-BG197-BH197</f>
        <v/>
      </c>
      <c r="BJ197" s="152">
        <f>IF(BM196&lt;=0.005,0,BM196*(1+BJ$6))</f>
        <v/>
      </c>
      <c r="BK197" s="152">
        <f>MIN(BJ197,BJ$7)</f>
        <v/>
      </c>
      <c r="BL197" s="152">
        <f>MAX(0,MIN(BJ197-BK197,CL197-(AZ197+BD197+BH197)))</f>
        <v/>
      </c>
      <c r="BM197" s="152">
        <f>BJ197-BK197-BL197</f>
        <v/>
      </c>
      <c r="BN197" s="152">
        <f>IF(BQ196&lt;=0.005,0,BQ196*(1+BN$6))</f>
        <v/>
      </c>
      <c r="BO197" s="152">
        <f>MIN(BN197,BN$7)</f>
        <v/>
      </c>
      <c r="BP197" s="152">
        <f>MAX(0,MIN(BN197-BO197,CL197-(AZ197+BD197+BH197+BL197)))</f>
        <v/>
      </c>
      <c r="BQ197" s="152">
        <f>BN197-BO197-BP197</f>
        <v/>
      </c>
      <c r="BR197" s="152">
        <f>IF(BU196&lt;=0.005,0,BU196*(1+BR$6))</f>
        <v/>
      </c>
      <c r="BS197" s="152">
        <f>MIN(BR197,BR$7)</f>
        <v/>
      </c>
      <c r="BT197" s="152">
        <f>MAX(0,MIN(BR197-BS197,CL197-(AZ197+BD197+BH197+BL197+BP197)))</f>
        <v/>
      </c>
      <c r="BU197" s="152">
        <f>BR197-BS197-BT197</f>
        <v/>
      </c>
      <c r="BV197" s="152">
        <f>IF(BY196&lt;=0.005,0,BY196*(1+BV$6))</f>
        <v/>
      </c>
      <c r="BW197" s="152">
        <f>MIN(BV197,BV$7)</f>
        <v/>
      </c>
      <c r="BX197" s="152">
        <f>MAX(0,MIN(BV197-BW197,CL197-(AZ197+BD197+BH197+BL197+BP197+BT197)))</f>
        <v/>
      </c>
      <c r="BY197" s="152">
        <f>BV197-BW197-BX197</f>
        <v/>
      </c>
      <c r="BZ197" s="152">
        <f>IF(CC196&lt;=0.005,0,CC196*(1+BZ$6))</f>
        <v/>
      </c>
      <c r="CA197" s="152">
        <f>MIN(BZ197,BZ$7)</f>
        <v/>
      </c>
      <c r="CB197" s="152">
        <f>MAX(0,MIN(BZ197-CA197,CL197-(AZ197+BD197+BH197+BL197+BP197+BT197+BX197)))</f>
        <v/>
      </c>
      <c r="CC197" s="152">
        <f>BZ197-CA197-CB197</f>
        <v/>
      </c>
      <c r="CD197" s="152">
        <f>IF(CG196&lt;=0.005,0,CG196*(1+CD$6))</f>
        <v/>
      </c>
      <c r="CE197" s="152">
        <f>MIN(CD197,CD$7)</f>
        <v/>
      </c>
      <c r="CF197" s="152">
        <f>MAX(0,MIN(CD197-CE197,CL197-(AZ197+BD197+BH197+BL197+BP197+BT197+BX197+CB197)))</f>
        <v/>
      </c>
      <c r="CG197" s="152">
        <f>CD197-CE197-CF197</f>
        <v/>
      </c>
      <c r="CH197" s="152">
        <f>IF(CK196&lt;=0.005,0,CK196*(1+CH$6))</f>
        <v/>
      </c>
      <c r="CI197" s="152">
        <f>MIN(CH197,CH$7)</f>
        <v/>
      </c>
      <c r="CJ197" s="152">
        <f>MAX(0,MIN(CH197-CI197,CL197-(AZ197+BD197+BH197+BL197+BP197+BT197+BX197+CB197+CF197)))</f>
        <v/>
      </c>
      <c r="CK197" s="152">
        <f>CH197-CI197-CJ197</f>
        <v/>
      </c>
      <c r="CL197" s="152">
        <f>'Debt Payoff'!$C$8-SUM(AY197,BC197,BG197,BK197,BO197,BS197,BW197,CA197,CE197,CI197)</f>
        <v/>
      </c>
      <c r="CM197" s="152">
        <f>SUM(AY197,BC197,BG197,BK197,BO197,BS197,BW197,CA197,CE197,CI197)+SUM(AZ197,BD197,BH197,BL197,BP197,BT197,BX197,CB197,CF197,CJ197)</f>
        <v/>
      </c>
      <c r="CN197" s="152">
        <f>SUM(BA197,BE197,BI197,BM197,BQ197,BU197,BY197,CC197,CG197,CK197)</f>
        <v/>
      </c>
      <c r="CO197" s="152">
        <f>IF(AW197&gt;CN$6,NA(),AW197)</f>
        <v/>
      </c>
      <c r="CP197" s="152">
        <f>IF(AW197&gt;CN$6,NA(),CN197)</f>
        <v/>
      </c>
    </row>
    <row r="198">
      <c r="B198" s="152" t="n">
        <v>187</v>
      </c>
      <c r="C198" s="152">
        <f>IF(F197&lt;=0.005,0,F197*(1+C$6))</f>
        <v/>
      </c>
      <c r="D198" s="152">
        <f>MIN(C198,C$7)</f>
        <v/>
      </c>
      <c r="E198" s="152">
        <f>MAX(0,MIN(C198-D198,AQ198))</f>
        <v/>
      </c>
      <c r="F198" s="152">
        <f>C198-D198-E198</f>
        <v/>
      </c>
      <c r="G198" s="152">
        <f>IF(J197&lt;=0.005,0,J197*(1+G$6))</f>
        <v/>
      </c>
      <c r="H198" s="152">
        <f>MIN(G198,G$7)</f>
        <v/>
      </c>
      <c r="I198" s="152">
        <f>MAX(0,MIN(G198-H198,AQ198-(E198)))</f>
        <v/>
      </c>
      <c r="J198" s="152">
        <f>G198-H198-I198</f>
        <v/>
      </c>
      <c r="K198" s="152">
        <f>IF(N197&lt;=0.005,0,N197*(1+K$6))</f>
        <v/>
      </c>
      <c r="L198" s="152">
        <f>MIN(K198,K$7)</f>
        <v/>
      </c>
      <c r="M198" s="152">
        <f>MAX(0,MIN(K198-L198,AQ198-(E198+I198)))</f>
        <v/>
      </c>
      <c r="N198" s="152">
        <f>K198-L198-M198</f>
        <v/>
      </c>
      <c r="O198" s="152">
        <f>IF(R197&lt;=0.005,0,R197*(1+O$6))</f>
        <v/>
      </c>
      <c r="P198" s="152">
        <f>MIN(O198,O$7)</f>
        <v/>
      </c>
      <c r="Q198" s="152">
        <f>MAX(0,MIN(O198-P198,AQ198-(E198+I198+M198)))</f>
        <v/>
      </c>
      <c r="R198" s="152">
        <f>O198-P198-Q198</f>
        <v/>
      </c>
      <c r="S198" s="152">
        <f>IF(V197&lt;=0.005,0,V197*(1+S$6))</f>
        <v/>
      </c>
      <c r="T198" s="152">
        <f>MIN(S198,S$7)</f>
        <v/>
      </c>
      <c r="U198" s="152">
        <f>MAX(0,MIN(S198-T198,AQ198-(E198+I198+M198+Q198)))</f>
        <v/>
      </c>
      <c r="V198" s="152">
        <f>S198-T198-U198</f>
        <v/>
      </c>
      <c r="W198" s="152">
        <f>IF(Z197&lt;=0.005,0,Z197*(1+W$6))</f>
        <v/>
      </c>
      <c r="X198" s="152">
        <f>MIN(W198,W$7)</f>
        <v/>
      </c>
      <c r="Y198" s="152">
        <f>MAX(0,MIN(W198-X198,AQ198-(E198+I198+M198+Q198+U198)))</f>
        <v/>
      </c>
      <c r="Z198" s="152">
        <f>W198-X198-Y198</f>
        <v/>
      </c>
      <c r="AA198" s="152">
        <f>IF(AD197&lt;=0.005,0,AD197*(1+AA$6))</f>
        <v/>
      </c>
      <c r="AB198" s="152">
        <f>MIN(AA198,AA$7)</f>
        <v/>
      </c>
      <c r="AC198" s="152">
        <f>MAX(0,MIN(AA198-AB198,AQ198-(E198+I198+M198+Q198+U198+Y198)))</f>
        <v/>
      </c>
      <c r="AD198" s="152">
        <f>AA198-AB198-AC198</f>
        <v/>
      </c>
      <c r="AE198" s="152">
        <f>IF(AH197&lt;=0.005,0,AH197*(1+AE$6))</f>
        <v/>
      </c>
      <c r="AF198" s="152">
        <f>MIN(AE198,AE$7)</f>
        <v/>
      </c>
      <c r="AG198" s="152">
        <f>MAX(0,MIN(AE198-AF198,AQ198-(E198+I198+M198+Q198+U198+Y198+AC198)))</f>
        <v/>
      </c>
      <c r="AH198" s="152">
        <f>AE198-AF198-AG198</f>
        <v/>
      </c>
      <c r="AI198" s="152">
        <f>IF(AL197&lt;=0.005,0,AL197*(1+AI$6))</f>
        <v/>
      </c>
      <c r="AJ198" s="152">
        <f>MIN(AI198,AI$7)</f>
        <v/>
      </c>
      <c r="AK198" s="152">
        <f>MAX(0,MIN(AI198-AJ198,AQ198-(E198+I198+M198+Q198+U198+Y198+AC198+AG198)))</f>
        <v/>
      </c>
      <c r="AL198" s="152">
        <f>AI198-AJ198-AK198</f>
        <v/>
      </c>
      <c r="AM198" s="152">
        <f>IF(AP197&lt;=0.005,0,AP197*(1+AM$6))</f>
        <v/>
      </c>
      <c r="AN198" s="152">
        <f>MIN(AM198,AM$7)</f>
        <v/>
      </c>
      <c r="AO198" s="152">
        <f>MAX(0,MIN(AM198-AN198,AQ198-(E198+I198+M198+Q198+U198+Y198+AC198+AG198+AK198)))</f>
        <v/>
      </c>
      <c r="AP198" s="152">
        <f>AM198-AN198-AO198</f>
        <v/>
      </c>
      <c r="AQ198" s="152">
        <f>'Debt Payoff'!$C$8-SUM(D198,H198,L198,P198,T198,X198,AB198,AF198,AJ198,AN198)</f>
        <v/>
      </c>
      <c r="AR198" s="152">
        <f>SUM(D198,H198,L198,P198,T198,X198,AB198,AF198,AJ198,AN198)+SUM(E198,I198,M198,Q198,U198,Y198,AC198,AG198,AK198,AO198)</f>
        <v/>
      </c>
      <c r="AS198" s="152">
        <f>SUM(F198,J198,N198,R198,V198,Z198,AD198,AH198,AL198,AP198)</f>
        <v/>
      </c>
      <c r="AT198" s="152">
        <f>IF(B198&gt;AS$6,NA(),B198)</f>
        <v/>
      </c>
      <c r="AU198" s="152">
        <f>IF(B198&gt;AS$6,NA(),AS198)</f>
        <v/>
      </c>
      <c r="AV198" s="152" t="n"/>
      <c r="AW198" s="152" t="n">
        <v>187</v>
      </c>
      <c r="AX198" s="152">
        <f>IF(BA197&lt;=0.005,0,BA197*(1+AX$6))</f>
        <v/>
      </c>
      <c r="AY198" s="152">
        <f>MIN(AX198,AX$7)</f>
        <v/>
      </c>
      <c r="AZ198" s="152">
        <f>MAX(0,MIN(AX198-AY198,CL198))</f>
        <v/>
      </c>
      <c r="BA198" s="152">
        <f>AX198-AY198-AZ198</f>
        <v/>
      </c>
      <c r="BB198" s="152">
        <f>IF(BE197&lt;=0.005,0,BE197*(1+BB$6))</f>
        <v/>
      </c>
      <c r="BC198" s="152">
        <f>MIN(BB198,BB$7)</f>
        <v/>
      </c>
      <c r="BD198" s="152">
        <f>MAX(0,MIN(BB198-BC198,CL198-(AZ198)))</f>
        <v/>
      </c>
      <c r="BE198" s="152">
        <f>BB198-BC198-BD198</f>
        <v/>
      </c>
      <c r="BF198" s="152">
        <f>IF(BI197&lt;=0.005,0,BI197*(1+BF$6))</f>
        <v/>
      </c>
      <c r="BG198" s="152">
        <f>MIN(BF198,BF$7)</f>
        <v/>
      </c>
      <c r="BH198" s="152">
        <f>MAX(0,MIN(BF198-BG198,CL198-(AZ198+BD198)))</f>
        <v/>
      </c>
      <c r="BI198" s="152">
        <f>BF198-BG198-BH198</f>
        <v/>
      </c>
      <c r="BJ198" s="152">
        <f>IF(BM197&lt;=0.005,0,BM197*(1+BJ$6))</f>
        <v/>
      </c>
      <c r="BK198" s="152">
        <f>MIN(BJ198,BJ$7)</f>
        <v/>
      </c>
      <c r="BL198" s="152">
        <f>MAX(0,MIN(BJ198-BK198,CL198-(AZ198+BD198+BH198)))</f>
        <v/>
      </c>
      <c r="BM198" s="152">
        <f>BJ198-BK198-BL198</f>
        <v/>
      </c>
      <c r="BN198" s="152">
        <f>IF(BQ197&lt;=0.005,0,BQ197*(1+BN$6))</f>
        <v/>
      </c>
      <c r="BO198" s="152">
        <f>MIN(BN198,BN$7)</f>
        <v/>
      </c>
      <c r="BP198" s="152">
        <f>MAX(0,MIN(BN198-BO198,CL198-(AZ198+BD198+BH198+BL198)))</f>
        <v/>
      </c>
      <c r="BQ198" s="152">
        <f>BN198-BO198-BP198</f>
        <v/>
      </c>
      <c r="BR198" s="152">
        <f>IF(BU197&lt;=0.005,0,BU197*(1+BR$6))</f>
        <v/>
      </c>
      <c r="BS198" s="152">
        <f>MIN(BR198,BR$7)</f>
        <v/>
      </c>
      <c r="BT198" s="152">
        <f>MAX(0,MIN(BR198-BS198,CL198-(AZ198+BD198+BH198+BL198+BP198)))</f>
        <v/>
      </c>
      <c r="BU198" s="152">
        <f>BR198-BS198-BT198</f>
        <v/>
      </c>
      <c r="BV198" s="152">
        <f>IF(BY197&lt;=0.005,0,BY197*(1+BV$6))</f>
        <v/>
      </c>
      <c r="BW198" s="152">
        <f>MIN(BV198,BV$7)</f>
        <v/>
      </c>
      <c r="BX198" s="152">
        <f>MAX(0,MIN(BV198-BW198,CL198-(AZ198+BD198+BH198+BL198+BP198+BT198)))</f>
        <v/>
      </c>
      <c r="BY198" s="152">
        <f>BV198-BW198-BX198</f>
        <v/>
      </c>
      <c r="BZ198" s="152">
        <f>IF(CC197&lt;=0.005,0,CC197*(1+BZ$6))</f>
        <v/>
      </c>
      <c r="CA198" s="152">
        <f>MIN(BZ198,BZ$7)</f>
        <v/>
      </c>
      <c r="CB198" s="152">
        <f>MAX(0,MIN(BZ198-CA198,CL198-(AZ198+BD198+BH198+BL198+BP198+BT198+BX198)))</f>
        <v/>
      </c>
      <c r="CC198" s="152">
        <f>BZ198-CA198-CB198</f>
        <v/>
      </c>
      <c r="CD198" s="152">
        <f>IF(CG197&lt;=0.005,0,CG197*(1+CD$6))</f>
        <v/>
      </c>
      <c r="CE198" s="152">
        <f>MIN(CD198,CD$7)</f>
        <v/>
      </c>
      <c r="CF198" s="152">
        <f>MAX(0,MIN(CD198-CE198,CL198-(AZ198+BD198+BH198+BL198+BP198+BT198+BX198+CB198)))</f>
        <v/>
      </c>
      <c r="CG198" s="152">
        <f>CD198-CE198-CF198</f>
        <v/>
      </c>
      <c r="CH198" s="152">
        <f>IF(CK197&lt;=0.005,0,CK197*(1+CH$6))</f>
        <v/>
      </c>
      <c r="CI198" s="152">
        <f>MIN(CH198,CH$7)</f>
        <v/>
      </c>
      <c r="CJ198" s="152">
        <f>MAX(0,MIN(CH198-CI198,CL198-(AZ198+BD198+BH198+BL198+BP198+BT198+BX198+CB198+CF198)))</f>
        <v/>
      </c>
      <c r="CK198" s="152">
        <f>CH198-CI198-CJ198</f>
        <v/>
      </c>
      <c r="CL198" s="152">
        <f>'Debt Payoff'!$C$8-SUM(AY198,BC198,BG198,BK198,BO198,BS198,BW198,CA198,CE198,CI198)</f>
        <v/>
      </c>
      <c r="CM198" s="152">
        <f>SUM(AY198,BC198,BG198,BK198,BO198,BS198,BW198,CA198,CE198,CI198)+SUM(AZ198,BD198,BH198,BL198,BP198,BT198,BX198,CB198,CF198,CJ198)</f>
        <v/>
      </c>
      <c r="CN198" s="152">
        <f>SUM(BA198,BE198,BI198,BM198,BQ198,BU198,BY198,CC198,CG198,CK198)</f>
        <v/>
      </c>
      <c r="CO198" s="152">
        <f>IF(AW198&gt;CN$6,NA(),AW198)</f>
        <v/>
      </c>
      <c r="CP198" s="152">
        <f>IF(AW198&gt;CN$6,NA(),CN198)</f>
        <v/>
      </c>
    </row>
    <row r="199">
      <c r="B199" s="152" t="n">
        <v>188</v>
      </c>
      <c r="C199" s="152">
        <f>IF(F198&lt;=0.005,0,F198*(1+C$6))</f>
        <v/>
      </c>
      <c r="D199" s="152">
        <f>MIN(C199,C$7)</f>
        <v/>
      </c>
      <c r="E199" s="152">
        <f>MAX(0,MIN(C199-D199,AQ199))</f>
        <v/>
      </c>
      <c r="F199" s="152">
        <f>C199-D199-E199</f>
        <v/>
      </c>
      <c r="G199" s="152">
        <f>IF(J198&lt;=0.005,0,J198*(1+G$6))</f>
        <v/>
      </c>
      <c r="H199" s="152">
        <f>MIN(G199,G$7)</f>
        <v/>
      </c>
      <c r="I199" s="152">
        <f>MAX(0,MIN(G199-H199,AQ199-(E199)))</f>
        <v/>
      </c>
      <c r="J199" s="152">
        <f>G199-H199-I199</f>
        <v/>
      </c>
      <c r="K199" s="152">
        <f>IF(N198&lt;=0.005,0,N198*(1+K$6))</f>
        <v/>
      </c>
      <c r="L199" s="152">
        <f>MIN(K199,K$7)</f>
        <v/>
      </c>
      <c r="M199" s="152">
        <f>MAX(0,MIN(K199-L199,AQ199-(E199+I199)))</f>
        <v/>
      </c>
      <c r="N199" s="152">
        <f>K199-L199-M199</f>
        <v/>
      </c>
      <c r="O199" s="152">
        <f>IF(R198&lt;=0.005,0,R198*(1+O$6))</f>
        <v/>
      </c>
      <c r="P199" s="152">
        <f>MIN(O199,O$7)</f>
        <v/>
      </c>
      <c r="Q199" s="152">
        <f>MAX(0,MIN(O199-P199,AQ199-(E199+I199+M199)))</f>
        <v/>
      </c>
      <c r="R199" s="152">
        <f>O199-P199-Q199</f>
        <v/>
      </c>
      <c r="S199" s="152">
        <f>IF(V198&lt;=0.005,0,V198*(1+S$6))</f>
        <v/>
      </c>
      <c r="T199" s="152">
        <f>MIN(S199,S$7)</f>
        <v/>
      </c>
      <c r="U199" s="152">
        <f>MAX(0,MIN(S199-T199,AQ199-(E199+I199+M199+Q199)))</f>
        <v/>
      </c>
      <c r="V199" s="152">
        <f>S199-T199-U199</f>
        <v/>
      </c>
      <c r="W199" s="152">
        <f>IF(Z198&lt;=0.005,0,Z198*(1+W$6))</f>
        <v/>
      </c>
      <c r="X199" s="152">
        <f>MIN(W199,W$7)</f>
        <v/>
      </c>
      <c r="Y199" s="152">
        <f>MAX(0,MIN(W199-X199,AQ199-(E199+I199+M199+Q199+U199)))</f>
        <v/>
      </c>
      <c r="Z199" s="152">
        <f>W199-X199-Y199</f>
        <v/>
      </c>
      <c r="AA199" s="152">
        <f>IF(AD198&lt;=0.005,0,AD198*(1+AA$6))</f>
        <v/>
      </c>
      <c r="AB199" s="152">
        <f>MIN(AA199,AA$7)</f>
        <v/>
      </c>
      <c r="AC199" s="152">
        <f>MAX(0,MIN(AA199-AB199,AQ199-(E199+I199+M199+Q199+U199+Y199)))</f>
        <v/>
      </c>
      <c r="AD199" s="152">
        <f>AA199-AB199-AC199</f>
        <v/>
      </c>
      <c r="AE199" s="152">
        <f>IF(AH198&lt;=0.005,0,AH198*(1+AE$6))</f>
        <v/>
      </c>
      <c r="AF199" s="152">
        <f>MIN(AE199,AE$7)</f>
        <v/>
      </c>
      <c r="AG199" s="152">
        <f>MAX(0,MIN(AE199-AF199,AQ199-(E199+I199+M199+Q199+U199+Y199+AC199)))</f>
        <v/>
      </c>
      <c r="AH199" s="152">
        <f>AE199-AF199-AG199</f>
        <v/>
      </c>
      <c r="AI199" s="152">
        <f>IF(AL198&lt;=0.005,0,AL198*(1+AI$6))</f>
        <v/>
      </c>
      <c r="AJ199" s="152">
        <f>MIN(AI199,AI$7)</f>
        <v/>
      </c>
      <c r="AK199" s="152">
        <f>MAX(0,MIN(AI199-AJ199,AQ199-(E199+I199+M199+Q199+U199+Y199+AC199+AG199)))</f>
        <v/>
      </c>
      <c r="AL199" s="152">
        <f>AI199-AJ199-AK199</f>
        <v/>
      </c>
      <c r="AM199" s="152">
        <f>IF(AP198&lt;=0.005,0,AP198*(1+AM$6))</f>
        <v/>
      </c>
      <c r="AN199" s="152">
        <f>MIN(AM199,AM$7)</f>
        <v/>
      </c>
      <c r="AO199" s="152">
        <f>MAX(0,MIN(AM199-AN199,AQ199-(E199+I199+M199+Q199+U199+Y199+AC199+AG199+AK199)))</f>
        <v/>
      </c>
      <c r="AP199" s="152">
        <f>AM199-AN199-AO199</f>
        <v/>
      </c>
      <c r="AQ199" s="152">
        <f>'Debt Payoff'!$C$8-SUM(D199,H199,L199,P199,T199,X199,AB199,AF199,AJ199,AN199)</f>
        <v/>
      </c>
      <c r="AR199" s="152">
        <f>SUM(D199,H199,L199,P199,T199,X199,AB199,AF199,AJ199,AN199)+SUM(E199,I199,M199,Q199,U199,Y199,AC199,AG199,AK199,AO199)</f>
        <v/>
      </c>
      <c r="AS199" s="152">
        <f>SUM(F199,J199,N199,R199,V199,Z199,AD199,AH199,AL199,AP199)</f>
        <v/>
      </c>
      <c r="AT199" s="152">
        <f>IF(B199&gt;AS$6,NA(),B199)</f>
        <v/>
      </c>
      <c r="AU199" s="152">
        <f>IF(B199&gt;AS$6,NA(),AS199)</f>
        <v/>
      </c>
      <c r="AV199" s="152" t="n"/>
      <c r="AW199" s="152" t="n">
        <v>188</v>
      </c>
      <c r="AX199" s="152">
        <f>IF(BA198&lt;=0.005,0,BA198*(1+AX$6))</f>
        <v/>
      </c>
      <c r="AY199" s="152">
        <f>MIN(AX199,AX$7)</f>
        <v/>
      </c>
      <c r="AZ199" s="152">
        <f>MAX(0,MIN(AX199-AY199,CL199))</f>
        <v/>
      </c>
      <c r="BA199" s="152">
        <f>AX199-AY199-AZ199</f>
        <v/>
      </c>
      <c r="BB199" s="152">
        <f>IF(BE198&lt;=0.005,0,BE198*(1+BB$6))</f>
        <v/>
      </c>
      <c r="BC199" s="152">
        <f>MIN(BB199,BB$7)</f>
        <v/>
      </c>
      <c r="BD199" s="152">
        <f>MAX(0,MIN(BB199-BC199,CL199-(AZ199)))</f>
        <v/>
      </c>
      <c r="BE199" s="152">
        <f>BB199-BC199-BD199</f>
        <v/>
      </c>
      <c r="BF199" s="152">
        <f>IF(BI198&lt;=0.005,0,BI198*(1+BF$6))</f>
        <v/>
      </c>
      <c r="BG199" s="152">
        <f>MIN(BF199,BF$7)</f>
        <v/>
      </c>
      <c r="BH199" s="152">
        <f>MAX(0,MIN(BF199-BG199,CL199-(AZ199+BD199)))</f>
        <v/>
      </c>
      <c r="BI199" s="152">
        <f>BF199-BG199-BH199</f>
        <v/>
      </c>
      <c r="BJ199" s="152">
        <f>IF(BM198&lt;=0.005,0,BM198*(1+BJ$6))</f>
        <v/>
      </c>
      <c r="BK199" s="152">
        <f>MIN(BJ199,BJ$7)</f>
        <v/>
      </c>
      <c r="BL199" s="152">
        <f>MAX(0,MIN(BJ199-BK199,CL199-(AZ199+BD199+BH199)))</f>
        <v/>
      </c>
      <c r="BM199" s="152">
        <f>BJ199-BK199-BL199</f>
        <v/>
      </c>
      <c r="BN199" s="152">
        <f>IF(BQ198&lt;=0.005,0,BQ198*(1+BN$6))</f>
        <v/>
      </c>
      <c r="BO199" s="152">
        <f>MIN(BN199,BN$7)</f>
        <v/>
      </c>
      <c r="BP199" s="152">
        <f>MAX(0,MIN(BN199-BO199,CL199-(AZ199+BD199+BH199+BL199)))</f>
        <v/>
      </c>
      <c r="BQ199" s="152">
        <f>BN199-BO199-BP199</f>
        <v/>
      </c>
      <c r="BR199" s="152">
        <f>IF(BU198&lt;=0.005,0,BU198*(1+BR$6))</f>
        <v/>
      </c>
      <c r="BS199" s="152">
        <f>MIN(BR199,BR$7)</f>
        <v/>
      </c>
      <c r="BT199" s="152">
        <f>MAX(0,MIN(BR199-BS199,CL199-(AZ199+BD199+BH199+BL199+BP199)))</f>
        <v/>
      </c>
      <c r="BU199" s="152">
        <f>BR199-BS199-BT199</f>
        <v/>
      </c>
      <c r="BV199" s="152">
        <f>IF(BY198&lt;=0.005,0,BY198*(1+BV$6))</f>
        <v/>
      </c>
      <c r="BW199" s="152">
        <f>MIN(BV199,BV$7)</f>
        <v/>
      </c>
      <c r="BX199" s="152">
        <f>MAX(0,MIN(BV199-BW199,CL199-(AZ199+BD199+BH199+BL199+BP199+BT199)))</f>
        <v/>
      </c>
      <c r="BY199" s="152">
        <f>BV199-BW199-BX199</f>
        <v/>
      </c>
      <c r="BZ199" s="152">
        <f>IF(CC198&lt;=0.005,0,CC198*(1+BZ$6))</f>
        <v/>
      </c>
      <c r="CA199" s="152">
        <f>MIN(BZ199,BZ$7)</f>
        <v/>
      </c>
      <c r="CB199" s="152">
        <f>MAX(0,MIN(BZ199-CA199,CL199-(AZ199+BD199+BH199+BL199+BP199+BT199+BX199)))</f>
        <v/>
      </c>
      <c r="CC199" s="152">
        <f>BZ199-CA199-CB199</f>
        <v/>
      </c>
      <c r="CD199" s="152">
        <f>IF(CG198&lt;=0.005,0,CG198*(1+CD$6))</f>
        <v/>
      </c>
      <c r="CE199" s="152">
        <f>MIN(CD199,CD$7)</f>
        <v/>
      </c>
      <c r="CF199" s="152">
        <f>MAX(0,MIN(CD199-CE199,CL199-(AZ199+BD199+BH199+BL199+BP199+BT199+BX199+CB199)))</f>
        <v/>
      </c>
      <c r="CG199" s="152">
        <f>CD199-CE199-CF199</f>
        <v/>
      </c>
      <c r="CH199" s="152">
        <f>IF(CK198&lt;=0.005,0,CK198*(1+CH$6))</f>
        <v/>
      </c>
      <c r="CI199" s="152">
        <f>MIN(CH199,CH$7)</f>
        <v/>
      </c>
      <c r="CJ199" s="152">
        <f>MAX(0,MIN(CH199-CI199,CL199-(AZ199+BD199+BH199+BL199+BP199+BT199+BX199+CB199+CF199)))</f>
        <v/>
      </c>
      <c r="CK199" s="152">
        <f>CH199-CI199-CJ199</f>
        <v/>
      </c>
      <c r="CL199" s="152">
        <f>'Debt Payoff'!$C$8-SUM(AY199,BC199,BG199,BK199,BO199,BS199,BW199,CA199,CE199,CI199)</f>
        <v/>
      </c>
      <c r="CM199" s="152">
        <f>SUM(AY199,BC199,BG199,BK199,BO199,BS199,BW199,CA199,CE199,CI199)+SUM(AZ199,BD199,BH199,BL199,BP199,BT199,BX199,CB199,CF199,CJ199)</f>
        <v/>
      </c>
      <c r="CN199" s="152">
        <f>SUM(BA199,BE199,BI199,BM199,BQ199,BU199,BY199,CC199,CG199,CK199)</f>
        <v/>
      </c>
      <c r="CO199" s="152">
        <f>IF(AW199&gt;CN$6,NA(),AW199)</f>
        <v/>
      </c>
      <c r="CP199" s="152">
        <f>IF(AW199&gt;CN$6,NA(),CN199)</f>
        <v/>
      </c>
    </row>
    <row r="200">
      <c r="B200" s="152" t="n">
        <v>189</v>
      </c>
      <c r="C200" s="152">
        <f>IF(F199&lt;=0.005,0,F199*(1+C$6))</f>
        <v/>
      </c>
      <c r="D200" s="152">
        <f>MIN(C200,C$7)</f>
        <v/>
      </c>
      <c r="E200" s="152">
        <f>MAX(0,MIN(C200-D200,AQ200))</f>
        <v/>
      </c>
      <c r="F200" s="152">
        <f>C200-D200-E200</f>
        <v/>
      </c>
      <c r="G200" s="152">
        <f>IF(J199&lt;=0.005,0,J199*(1+G$6))</f>
        <v/>
      </c>
      <c r="H200" s="152">
        <f>MIN(G200,G$7)</f>
        <v/>
      </c>
      <c r="I200" s="152">
        <f>MAX(0,MIN(G200-H200,AQ200-(E200)))</f>
        <v/>
      </c>
      <c r="J200" s="152">
        <f>G200-H200-I200</f>
        <v/>
      </c>
      <c r="K200" s="152">
        <f>IF(N199&lt;=0.005,0,N199*(1+K$6))</f>
        <v/>
      </c>
      <c r="L200" s="152">
        <f>MIN(K200,K$7)</f>
        <v/>
      </c>
      <c r="M200" s="152">
        <f>MAX(0,MIN(K200-L200,AQ200-(E200+I200)))</f>
        <v/>
      </c>
      <c r="N200" s="152">
        <f>K200-L200-M200</f>
        <v/>
      </c>
      <c r="O200" s="152">
        <f>IF(R199&lt;=0.005,0,R199*(1+O$6))</f>
        <v/>
      </c>
      <c r="P200" s="152">
        <f>MIN(O200,O$7)</f>
        <v/>
      </c>
      <c r="Q200" s="152">
        <f>MAX(0,MIN(O200-P200,AQ200-(E200+I200+M200)))</f>
        <v/>
      </c>
      <c r="R200" s="152">
        <f>O200-P200-Q200</f>
        <v/>
      </c>
      <c r="S200" s="152">
        <f>IF(V199&lt;=0.005,0,V199*(1+S$6))</f>
        <v/>
      </c>
      <c r="T200" s="152">
        <f>MIN(S200,S$7)</f>
        <v/>
      </c>
      <c r="U200" s="152">
        <f>MAX(0,MIN(S200-T200,AQ200-(E200+I200+M200+Q200)))</f>
        <v/>
      </c>
      <c r="V200" s="152">
        <f>S200-T200-U200</f>
        <v/>
      </c>
      <c r="W200" s="152">
        <f>IF(Z199&lt;=0.005,0,Z199*(1+W$6))</f>
        <v/>
      </c>
      <c r="X200" s="152">
        <f>MIN(W200,W$7)</f>
        <v/>
      </c>
      <c r="Y200" s="152">
        <f>MAX(0,MIN(W200-X200,AQ200-(E200+I200+M200+Q200+U200)))</f>
        <v/>
      </c>
      <c r="Z200" s="152">
        <f>W200-X200-Y200</f>
        <v/>
      </c>
      <c r="AA200" s="152">
        <f>IF(AD199&lt;=0.005,0,AD199*(1+AA$6))</f>
        <v/>
      </c>
      <c r="AB200" s="152">
        <f>MIN(AA200,AA$7)</f>
        <v/>
      </c>
      <c r="AC200" s="152">
        <f>MAX(0,MIN(AA200-AB200,AQ200-(E200+I200+M200+Q200+U200+Y200)))</f>
        <v/>
      </c>
      <c r="AD200" s="152">
        <f>AA200-AB200-AC200</f>
        <v/>
      </c>
      <c r="AE200" s="152">
        <f>IF(AH199&lt;=0.005,0,AH199*(1+AE$6))</f>
        <v/>
      </c>
      <c r="AF200" s="152">
        <f>MIN(AE200,AE$7)</f>
        <v/>
      </c>
      <c r="AG200" s="152">
        <f>MAX(0,MIN(AE200-AF200,AQ200-(E200+I200+M200+Q200+U200+Y200+AC200)))</f>
        <v/>
      </c>
      <c r="AH200" s="152">
        <f>AE200-AF200-AG200</f>
        <v/>
      </c>
      <c r="AI200" s="152">
        <f>IF(AL199&lt;=0.005,0,AL199*(1+AI$6))</f>
        <v/>
      </c>
      <c r="AJ200" s="152">
        <f>MIN(AI200,AI$7)</f>
        <v/>
      </c>
      <c r="AK200" s="152">
        <f>MAX(0,MIN(AI200-AJ200,AQ200-(E200+I200+M200+Q200+U200+Y200+AC200+AG200)))</f>
        <v/>
      </c>
      <c r="AL200" s="152">
        <f>AI200-AJ200-AK200</f>
        <v/>
      </c>
      <c r="AM200" s="152">
        <f>IF(AP199&lt;=0.005,0,AP199*(1+AM$6))</f>
        <v/>
      </c>
      <c r="AN200" s="152">
        <f>MIN(AM200,AM$7)</f>
        <v/>
      </c>
      <c r="AO200" s="152">
        <f>MAX(0,MIN(AM200-AN200,AQ200-(E200+I200+M200+Q200+U200+Y200+AC200+AG200+AK200)))</f>
        <v/>
      </c>
      <c r="AP200" s="152">
        <f>AM200-AN200-AO200</f>
        <v/>
      </c>
      <c r="AQ200" s="152">
        <f>'Debt Payoff'!$C$8-SUM(D200,H200,L200,P200,T200,X200,AB200,AF200,AJ200,AN200)</f>
        <v/>
      </c>
      <c r="AR200" s="152">
        <f>SUM(D200,H200,L200,P200,T200,X200,AB200,AF200,AJ200,AN200)+SUM(E200,I200,M200,Q200,U200,Y200,AC200,AG200,AK200,AO200)</f>
        <v/>
      </c>
      <c r="AS200" s="152">
        <f>SUM(F200,J200,N200,R200,V200,Z200,AD200,AH200,AL200,AP200)</f>
        <v/>
      </c>
      <c r="AT200" s="152">
        <f>IF(B200&gt;AS$6,NA(),B200)</f>
        <v/>
      </c>
      <c r="AU200" s="152">
        <f>IF(B200&gt;AS$6,NA(),AS200)</f>
        <v/>
      </c>
      <c r="AV200" s="152" t="n"/>
      <c r="AW200" s="152" t="n">
        <v>189</v>
      </c>
      <c r="AX200" s="152">
        <f>IF(BA199&lt;=0.005,0,BA199*(1+AX$6))</f>
        <v/>
      </c>
      <c r="AY200" s="152">
        <f>MIN(AX200,AX$7)</f>
        <v/>
      </c>
      <c r="AZ200" s="152">
        <f>MAX(0,MIN(AX200-AY200,CL200))</f>
        <v/>
      </c>
      <c r="BA200" s="152">
        <f>AX200-AY200-AZ200</f>
        <v/>
      </c>
      <c r="BB200" s="152">
        <f>IF(BE199&lt;=0.005,0,BE199*(1+BB$6))</f>
        <v/>
      </c>
      <c r="BC200" s="152">
        <f>MIN(BB200,BB$7)</f>
        <v/>
      </c>
      <c r="BD200" s="152">
        <f>MAX(0,MIN(BB200-BC200,CL200-(AZ200)))</f>
        <v/>
      </c>
      <c r="BE200" s="152">
        <f>BB200-BC200-BD200</f>
        <v/>
      </c>
      <c r="BF200" s="152">
        <f>IF(BI199&lt;=0.005,0,BI199*(1+BF$6))</f>
        <v/>
      </c>
      <c r="BG200" s="152">
        <f>MIN(BF200,BF$7)</f>
        <v/>
      </c>
      <c r="BH200" s="152">
        <f>MAX(0,MIN(BF200-BG200,CL200-(AZ200+BD200)))</f>
        <v/>
      </c>
      <c r="BI200" s="152">
        <f>BF200-BG200-BH200</f>
        <v/>
      </c>
      <c r="BJ200" s="152">
        <f>IF(BM199&lt;=0.005,0,BM199*(1+BJ$6))</f>
        <v/>
      </c>
      <c r="BK200" s="152">
        <f>MIN(BJ200,BJ$7)</f>
        <v/>
      </c>
      <c r="BL200" s="152">
        <f>MAX(0,MIN(BJ200-BK200,CL200-(AZ200+BD200+BH200)))</f>
        <v/>
      </c>
      <c r="BM200" s="152">
        <f>BJ200-BK200-BL200</f>
        <v/>
      </c>
      <c r="BN200" s="152">
        <f>IF(BQ199&lt;=0.005,0,BQ199*(1+BN$6))</f>
        <v/>
      </c>
      <c r="BO200" s="152">
        <f>MIN(BN200,BN$7)</f>
        <v/>
      </c>
      <c r="BP200" s="152">
        <f>MAX(0,MIN(BN200-BO200,CL200-(AZ200+BD200+BH200+BL200)))</f>
        <v/>
      </c>
      <c r="BQ200" s="152">
        <f>BN200-BO200-BP200</f>
        <v/>
      </c>
      <c r="BR200" s="152">
        <f>IF(BU199&lt;=0.005,0,BU199*(1+BR$6))</f>
        <v/>
      </c>
      <c r="BS200" s="152">
        <f>MIN(BR200,BR$7)</f>
        <v/>
      </c>
      <c r="BT200" s="152">
        <f>MAX(0,MIN(BR200-BS200,CL200-(AZ200+BD200+BH200+BL200+BP200)))</f>
        <v/>
      </c>
      <c r="BU200" s="152">
        <f>BR200-BS200-BT200</f>
        <v/>
      </c>
      <c r="BV200" s="152">
        <f>IF(BY199&lt;=0.005,0,BY199*(1+BV$6))</f>
        <v/>
      </c>
      <c r="BW200" s="152">
        <f>MIN(BV200,BV$7)</f>
        <v/>
      </c>
      <c r="BX200" s="152">
        <f>MAX(0,MIN(BV200-BW200,CL200-(AZ200+BD200+BH200+BL200+BP200+BT200)))</f>
        <v/>
      </c>
      <c r="BY200" s="152">
        <f>BV200-BW200-BX200</f>
        <v/>
      </c>
      <c r="BZ200" s="152">
        <f>IF(CC199&lt;=0.005,0,CC199*(1+BZ$6))</f>
        <v/>
      </c>
      <c r="CA200" s="152">
        <f>MIN(BZ200,BZ$7)</f>
        <v/>
      </c>
      <c r="CB200" s="152">
        <f>MAX(0,MIN(BZ200-CA200,CL200-(AZ200+BD200+BH200+BL200+BP200+BT200+BX200)))</f>
        <v/>
      </c>
      <c r="CC200" s="152">
        <f>BZ200-CA200-CB200</f>
        <v/>
      </c>
      <c r="CD200" s="152">
        <f>IF(CG199&lt;=0.005,0,CG199*(1+CD$6))</f>
        <v/>
      </c>
      <c r="CE200" s="152">
        <f>MIN(CD200,CD$7)</f>
        <v/>
      </c>
      <c r="CF200" s="152">
        <f>MAX(0,MIN(CD200-CE200,CL200-(AZ200+BD200+BH200+BL200+BP200+BT200+BX200+CB200)))</f>
        <v/>
      </c>
      <c r="CG200" s="152">
        <f>CD200-CE200-CF200</f>
        <v/>
      </c>
      <c r="CH200" s="152">
        <f>IF(CK199&lt;=0.005,0,CK199*(1+CH$6))</f>
        <v/>
      </c>
      <c r="CI200" s="152">
        <f>MIN(CH200,CH$7)</f>
        <v/>
      </c>
      <c r="CJ200" s="152">
        <f>MAX(0,MIN(CH200-CI200,CL200-(AZ200+BD200+BH200+BL200+BP200+BT200+BX200+CB200+CF200)))</f>
        <v/>
      </c>
      <c r="CK200" s="152">
        <f>CH200-CI200-CJ200</f>
        <v/>
      </c>
      <c r="CL200" s="152">
        <f>'Debt Payoff'!$C$8-SUM(AY200,BC200,BG200,BK200,BO200,BS200,BW200,CA200,CE200,CI200)</f>
        <v/>
      </c>
      <c r="CM200" s="152">
        <f>SUM(AY200,BC200,BG200,BK200,BO200,BS200,BW200,CA200,CE200,CI200)+SUM(AZ200,BD200,BH200,BL200,BP200,BT200,BX200,CB200,CF200,CJ200)</f>
        <v/>
      </c>
      <c r="CN200" s="152">
        <f>SUM(BA200,BE200,BI200,BM200,BQ200,BU200,BY200,CC200,CG200,CK200)</f>
        <v/>
      </c>
      <c r="CO200" s="152">
        <f>IF(AW200&gt;CN$6,NA(),AW200)</f>
        <v/>
      </c>
      <c r="CP200" s="152">
        <f>IF(AW200&gt;CN$6,NA(),CN200)</f>
        <v/>
      </c>
    </row>
    <row r="201">
      <c r="B201" s="152" t="n">
        <v>190</v>
      </c>
      <c r="C201" s="152">
        <f>IF(F200&lt;=0.005,0,F200*(1+C$6))</f>
        <v/>
      </c>
      <c r="D201" s="152">
        <f>MIN(C201,C$7)</f>
        <v/>
      </c>
      <c r="E201" s="152">
        <f>MAX(0,MIN(C201-D201,AQ201))</f>
        <v/>
      </c>
      <c r="F201" s="152">
        <f>C201-D201-E201</f>
        <v/>
      </c>
      <c r="G201" s="152">
        <f>IF(J200&lt;=0.005,0,J200*(1+G$6))</f>
        <v/>
      </c>
      <c r="H201" s="152">
        <f>MIN(G201,G$7)</f>
        <v/>
      </c>
      <c r="I201" s="152">
        <f>MAX(0,MIN(G201-H201,AQ201-(E201)))</f>
        <v/>
      </c>
      <c r="J201" s="152">
        <f>G201-H201-I201</f>
        <v/>
      </c>
      <c r="K201" s="152">
        <f>IF(N200&lt;=0.005,0,N200*(1+K$6))</f>
        <v/>
      </c>
      <c r="L201" s="152">
        <f>MIN(K201,K$7)</f>
        <v/>
      </c>
      <c r="M201" s="152">
        <f>MAX(0,MIN(K201-L201,AQ201-(E201+I201)))</f>
        <v/>
      </c>
      <c r="N201" s="152">
        <f>K201-L201-M201</f>
        <v/>
      </c>
      <c r="O201" s="152">
        <f>IF(R200&lt;=0.005,0,R200*(1+O$6))</f>
        <v/>
      </c>
      <c r="P201" s="152">
        <f>MIN(O201,O$7)</f>
        <v/>
      </c>
      <c r="Q201" s="152">
        <f>MAX(0,MIN(O201-P201,AQ201-(E201+I201+M201)))</f>
        <v/>
      </c>
      <c r="R201" s="152">
        <f>O201-P201-Q201</f>
        <v/>
      </c>
      <c r="S201" s="152">
        <f>IF(V200&lt;=0.005,0,V200*(1+S$6))</f>
        <v/>
      </c>
      <c r="T201" s="152">
        <f>MIN(S201,S$7)</f>
        <v/>
      </c>
      <c r="U201" s="152">
        <f>MAX(0,MIN(S201-T201,AQ201-(E201+I201+M201+Q201)))</f>
        <v/>
      </c>
      <c r="V201" s="152">
        <f>S201-T201-U201</f>
        <v/>
      </c>
      <c r="W201" s="152">
        <f>IF(Z200&lt;=0.005,0,Z200*(1+W$6))</f>
        <v/>
      </c>
      <c r="X201" s="152">
        <f>MIN(W201,W$7)</f>
        <v/>
      </c>
      <c r="Y201" s="152">
        <f>MAX(0,MIN(W201-X201,AQ201-(E201+I201+M201+Q201+U201)))</f>
        <v/>
      </c>
      <c r="Z201" s="152">
        <f>W201-X201-Y201</f>
        <v/>
      </c>
      <c r="AA201" s="152">
        <f>IF(AD200&lt;=0.005,0,AD200*(1+AA$6))</f>
        <v/>
      </c>
      <c r="AB201" s="152">
        <f>MIN(AA201,AA$7)</f>
        <v/>
      </c>
      <c r="AC201" s="152">
        <f>MAX(0,MIN(AA201-AB201,AQ201-(E201+I201+M201+Q201+U201+Y201)))</f>
        <v/>
      </c>
      <c r="AD201" s="152">
        <f>AA201-AB201-AC201</f>
        <v/>
      </c>
      <c r="AE201" s="152">
        <f>IF(AH200&lt;=0.005,0,AH200*(1+AE$6))</f>
        <v/>
      </c>
      <c r="AF201" s="152">
        <f>MIN(AE201,AE$7)</f>
        <v/>
      </c>
      <c r="AG201" s="152">
        <f>MAX(0,MIN(AE201-AF201,AQ201-(E201+I201+M201+Q201+U201+Y201+AC201)))</f>
        <v/>
      </c>
      <c r="AH201" s="152">
        <f>AE201-AF201-AG201</f>
        <v/>
      </c>
      <c r="AI201" s="152">
        <f>IF(AL200&lt;=0.005,0,AL200*(1+AI$6))</f>
        <v/>
      </c>
      <c r="AJ201" s="152">
        <f>MIN(AI201,AI$7)</f>
        <v/>
      </c>
      <c r="AK201" s="152">
        <f>MAX(0,MIN(AI201-AJ201,AQ201-(E201+I201+M201+Q201+U201+Y201+AC201+AG201)))</f>
        <v/>
      </c>
      <c r="AL201" s="152">
        <f>AI201-AJ201-AK201</f>
        <v/>
      </c>
      <c r="AM201" s="152">
        <f>IF(AP200&lt;=0.005,0,AP200*(1+AM$6))</f>
        <v/>
      </c>
      <c r="AN201" s="152">
        <f>MIN(AM201,AM$7)</f>
        <v/>
      </c>
      <c r="AO201" s="152">
        <f>MAX(0,MIN(AM201-AN201,AQ201-(E201+I201+M201+Q201+U201+Y201+AC201+AG201+AK201)))</f>
        <v/>
      </c>
      <c r="AP201" s="152">
        <f>AM201-AN201-AO201</f>
        <v/>
      </c>
      <c r="AQ201" s="152">
        <f>'Debt Payoff'!$C$8-SUM(D201,H201,L201,P201,T201,X201,AB201,AF201,AJ201,AN201)</f>
        <v/>
      </c>
      <c r="AR201" s="152">
        <f>SUM(D201,H201,L201,P201,T201,X201,AB201,AF201,AJ201,AN201)+SUM(E201,I201,M201,Q201,U201,Y201,AC201,AG201,AK201,AO201)</f>
        <v/>
      </c>
      <c r="AS201" s="152">
        <f>SUM(F201,J201,N201,R201,V201,Z201,AD201,AH201,AL201,AP201)</f>
        <v/>
      </c>
      <c r="AT201" s="152">
        <f>IF(B201&gt;AS$6,NA(),B201)</f>
        <v/>
      </c>
      <c r="AU201" s="152">
        <f>IF(B201&gt;AS$6,NA(),AS201)</f>
        <v/>
      </c>
      <c r="AV201" s="152" t="n"/>
      <c r="AW201" s="152" t="n">
        <v>190</v>
      </c>
      <c r="AX201" s="152">
        <f>IF(BA200&lt;=0.005,0,BA200*(1+AX$6))</f>
        <v/>
      </c>
      <c r="AY201" s="152">
        <f>MIN(AX201,AX$7)</f>
        <v/>
      </c>
      <c r="AZ201" s="152">
        <f>MAX(0,MIN(AX201-AY201,CL201))</f>
        <v/>
      </c>
      <c r="BA201" s="152">
        <f>AX201-AY201-AZ201</f>
        <v/>
      </c>
      <c r="BB201" s="152">
        <f>IF(BE200&lt;=0.005,0,BE200*(1+BB$6))</f>
        <v/>
      </c>
      <c r="BC201" s="152">
        <f>MIN(BB201,BB$7)</f>
        <v/>
      </c>
      <c r="BD201" s="152">
        <f>MAX(0,MIN(BB201-BC201,CL201-(AZ201)))</f>
        <v/>
      </c>
      <c r="BE201" s="152">
        <f>BB201-BC201-BD201</f>
        <v/>
      </c>
      <c r="BF201" s="152">
        <f>IF(BI200&lt;=0.005,0,BI200*(1+BF$6))</f>
        <v/>
      </c>
      <c r="BG201" s="152">
        <f>MIN(BF201,BF$7)</f>
        <v/>
      </c>
      <c r="BH201" s="152">
        <f>MAX(0,MIN(BF201-BG201,CL201-(AZ201+BD201)))</f>
        <v/>
      </c>
      <c r="BI201" s="152">
        <f>BF201-BG201-BH201</f>
        <v/>
      </c>
      <c r="BJ201" s="152">
        <f>IF(BM200&lt;=0.005,0,BM200*(1+BJ$6))</f>
        <v/>
      </c>
      <c r="BK201" s="152">
        <f>MIN(BJ201,BJ$7)</f>
        <v/>
      </c>
      <c r="BL201" s="152">
        <f>MAX(0,MIN(BJ201-BK201,CL201-(AZ201+BD201+BH201)))</f>
        <v/>
      </c>
      <c r="BM201" s="152">
        <f>BJ201-BK201-BL201</f>
        <v/>
      </c>
      <c r="BN201" s="152">
        <f>IF(BQ200&lt;=0.005,0,BQ200*(1+BN$6))</f>
        <v/>
      </c>
      <c r="BO201" s="152">
        <f>MIN(BN201,BN$7)</f>
        <v/>
      </c>
      <c r="BP201" s="152">
        <f>MAX(0,MIN(BN201-BO201,CL201-(AZ201+BD201+BH201+BL201)))</f>
        <v/>
      </c>
      <c r="BQ201" s="152">
        <f>BN201-BO201-BP201</f>
        <v/>
      </c>
      <c r="BR201" s="152">
        <f>IF(BU200&lt;=0.005,0,BU200*(1+BR$6))</f>
        <v/>
      </c>
      <c r="BS201" s="152">
        <f>MIN(BR201,BR$7)</f>
        <v/>
      </c>
      <c r="BT201" s="152">
        <f>MAX(0,MIN(BR201-BS201,CL201-(AZ201+BD201+BH201+BL201+BP201)))</f>
        <v/>
      </c>
      <c r="BU201" s="152">
        <f>BR201-BS201-BT201</f>
        <v/>
      </c>
      <c r="BV201" s="152">
        <f>IF(BY200&lt;=0.005,0,BY200*(1+BV$6))</f>
        <v/>
      </c>
      <c r="BW201" s="152">
        <f>MIN(BV201,BV$7)</f>
        <v/>
      </c>
      <c r="BX201" s="152">
        <f>MAX(0,MIN(BV201-BW201,CL201-(AZ201+BD201+BH201+BL201+BP201+BT201)))</f>
        <v/>
      </c>
      <c r="BY201" s="152">
        <f>BV201-BW201-BX201</f>
        <v/>
      </c>
      <c r="BZ201" s="152">
        <f>IF(CC200&lt;=0.005,0,CC200*(1+BZ$6))</f>
        <v/>
      </c>
      <c r="CA201" s="152">
        <f>MIN(BZ201,BZ$7)</f>
        <v/>
      </c>
      <c r="CB201" s="152">
        <f>MAX(0,MIN(BZ201-CA201,CL201-(AZ201+BD201+BH201+BL201+BP201+BT201+BX201)))</f>
        <v/>
      </c>
      <c r="CC201" s="152">
        <f>BZ201-CA201-CB201</f>
        <v/>
      </c>
      <c r="CD201" s="152">
        <f>IF(CG200&lt;=0.005,0,CG200*(1+CD$6))</f>
        <v/>
      </c>
      <c r="CE201" s="152">
        <f>MIN(CD201,CD$7)</f>
        <v/>
      </c>
      <c r="CF201" s="152">
        <f>MAX(0,MIN(CD201-CE201,CL201-(AZ201+BD201+BH201+BL201+BP201+BT201+BX201+CB201)))</f>
        <v/>
      </c>
      <c r="CG201" s="152">
        <f>CD201-CE201-CF201</f>
        <v/>
      </c>
      <c r="CH201" s="152">
        <f>IF(CK200&lt;=0.005,0,CK200*(1+CH$6))</f>
        <v/>
      </c>
      <c r="CI201" s="152">
        <f>MIN(CH201,CH$7)</f>
        <v/>
      </c>
      <c r="CJ201" s="152">
        <f>MAX(0,MIN(CH201-CI201,CL201-(AZ201+BD201+BH201+BL201+BP201+BT201+BX201+CB201+CF201)))</f>
        <v/>
      </c>
      <c r="CK201" s="152">
        <f>CH201-CI201-CJ201</f>
        <v/>
      </c>
      <c r="CL201" s="152">
        <f>'Debt Payoff'!$C$8-SUM(AY201,BC201,BG201,BK201,BO201,BS201,BW201,CA201,CE201,CI201)</f>
        <v/>
      </c>
      <c r="CM201" s="152">
        <f>SUM(AY201,BC201,BG201,BK201,BO201,BS201,BW201,CA201,CE201,CI201)+SUM(AZ201,BD201,BH201,BL201,BP201,BT201,BX201,CB201,CF201,CJ201)</f>
        <v/>
      </c>
      <c r="CN201" s="152">
        <f>SUM(BA201,BE201,BI201,BM201,BQ201,BU201,BY201,CC201,CG201,CK201)</f>
        <v/>
      </c>
      <c r="CO201" s="152">
        <f>IF(AW201&gt;CN$6,NA(),AW201)</f>
        <v/>
      </c>
      <c r="CP201" s="152">
        <f>IF(AW201&gt;CN$6,NA(),CN201)</f>
        <v/>
      </c>
    </row>
    <row r="202">
      <c r="B202" s="152" t="n">
        <v>191</v>
      </c>
      <c r="C202" s="152">
        <f>IF(F201&lt;=0.005,0,F201*(1+C$6))</f>
        <v/>
      </c>
      <c r="D202" s="152">
        <f>MIN(C202,C$7)</f>
        <v/>
      </c>
      <c r="E202" s="152">
        <f>MAX(0,MIN(C202-D202,AQ202))</f>
        <v/>
      </c>
      <c r="F202" s="152">
        <f>C202-D202-E202</f>
        <v/>
      </c>
      <c r="G202" s="152">
        <f>IF(J201&lt;=0.005,0,J201*(1+G$6))</f>
        <v/>
      </c>
      <c r="H202" s="152">
        <f>MIN(G202,G$7)</f>
        <v/>
      </c>
      <c r="I202" s="152">
        <f>MAX(0,MIN(G202-H202,AQ202-(E202)))</f>
        <v/>
      </c>
      <c r="J202" s="152">
        <f>G202-H202-I202</f>
        <v/>
      </c>
      <c r="K202" s="152">
        <f>IF(N201&lt;=0.005,0,N201*(1+K$6))</f>
        <v/>
      </c>
      <c r="L202" s="152">
        <f>MIN(K202,K$7)</f>
        <v/>
      </c>
      <c r="M202" s="152">
        <f>MAX(0,MIN(K202-L202,AQ202-(E202+I202)))</f>
        <v/>
      </c>
      <c r="N202" s="152">
        <f>K202-L202-M202</f>
        <v/>
      </c>
      <c r="O202" s="152">
        <f>IF(R201&lt;=0.005,0,R201*(1+O$6))</f>
        <v/>
      </c>
      <c r="P202" s="152">
        <f>MIN(O202,O$7)</f>
        <v/>
      </c>
      <c r="Q202" s="152">
        <f>MAX(0,MIN(O202-P202,AQ202-(E202+I202+M202)))</f>
        <v/>
      </c>
      <c r="R202" s="152">
        <f>O202-P202-Q202</f>
        <v/>
      </c>
      <c r="S202" s="152">
        <f>IF(V201&lt;=0.005,0,V201*(1+S$6))</f>
        <v/>
      </c>
      <c r="T202" s="152">
        <f>MIN(S202,S$7)</f>
        <v/>
      </c>
      <c r="U202" s="152">
        <f>MAX(0,MIN(S202-T202,AQ202-(E202+I202+M202+Q202)))</f>
        <v/>
      </c>
      <c r="V202" s="152">
        <f>S202-T202-U202</f>
        <v/>
      </c>
      <c r="W202" s="152">
        <f>IF(Z201&lt;=0.005,0,Z201*(1+W$6))</f>
        <v/>
      </c>
      <c r="X202" s="152">
        <f>MIN(W202,W$7)</f>
        <v/>
      </c>
      <c r="Y202" s="152">
        <f>MAX(0,MIN(W202-X202,AQ202-(E202+I202+M202+Q202+U202)))</f>
        <v/>
      </c>
      <c r="Z202" s="152">
        <f>W202-X202-Y202</f>
        <v/>
      </c>
      <c r="AA202" s="152">
        <f>IF(AD201&lt;=0.005,0,AD201*(1+AA$6))</f>
        <v/>
      </c>
      <c r="AB202" s="152">
        <f>MIN(AA202,AA$7)</f>
        <v/>
      </c>
      <c r="AC202" s="152">
        <f>MAX(0,MIN(AA202-AB202,AQ202-(E202+I202+M202+Q202+U202+Y202)))</f>
        <v/>
      </c>
      <c r="AD202" s="152">
        <f>AA202-AB202-AC202</f>
        <v/>
      </c>
      <c r="AE202" s="152">
        <f>IF(AH201&lt;=0.005,0,AH201*(1+AE$6))</f>
        <v/>
      </c>
      <c r="AF202" s="152">
        <f>MIN(AE202,AE$7)</f>
        <v/>
      </c>
      <c r="AG202" s="152">
        <f>MAX(0,MIN(AE202-AF202,AQ202-(E202+I202+M202+Q202+U202+Y202+AC202)))</f>
        <v/>
      </c>
      <c r="AH202" s="152">
        <f>AE202-AF202-AG202</f>
        <v/>
      </c>
      <c r="AI202" s="152">
        <f>IF(AL201&lt;=0.005,0,AL201*(1+AI$6))</f>
        <v/>
      </c>
      <c r="AJ202" s="152">
        <f>MIN(AI202,AI$7)</f>
        <v/>
      </c>
      <c r="AK202" s="152">
        <f>MAX(0,MIN(AI202-AJ202,AQ202-(E202+I202+M202+Q202+U202+Y202+AC202+AG202)))</f>
        <v/>
      </c>
      <c r="AL202" s="152">
        <f>AI202-AJ202-AK202</f>
        <v/>
      </c>
      <c r="AM202" s="152">
        <f>IF(AP201&lt;=0.005,0,AP201*(1+AM$6))</f>
        <v/>
      </c>
      <c r="AN202" s="152">
        <f>MIN(AM202,AM$7)</f>
        <v/>
      </c>
      <c r="AO202" s="152">
        <f>MAX(0,MIN(AM202-AN202,AQ202-(E202+I202+M202+Q202+U202+Y202+AC202+AG202+AK202)))</f>
        <v/>
      </c>
      <c r="AP202" s="152">
        <f>AM202-AN202-AO202</f>
        <v/>
      </c>
      <c r="AQ202" s="152">
        <f>'Debt Payoff'!$C$8-SUM(D202,H202,L202,P202,T202,X202,AB202,AF202,AJ202,AN202)</f>
        <v/>
      </c>
      <c r="AR202" s="152">
        <f>SUM(D202,H202,L202,P202,T202,X202,AB202,AF202,AJ202,AN202)+SUM(E202,I202,M202,Q202,U202,Y202,AC202,AG202,AK202,AO202)</f>
        <v/>
      </c>
      <c r="AS202" s="152">
        <f>SUM(F202,J202,N202,R202,V202,Z202,AD202,AH202,AL202,AP202)</f>
        <v/>
      </c>
      <c r="AT202" s="152">
        <f>IF(B202&gt;AS$6,NA(),B202)</f>
        <v/>
      </c>
      <c r="AU202" s="152">
        <f>IF(B202&gt;AS$6,NA(),AS202)</f>
        <v/>
      </c>
      <c r="AV202" s="152" t="n"/>
      <c r="AW202" s="152" t="n">
        <v>191</v>
      </c>
      <c r="AX202" s="152">
        <f>IF(BA201&lt;=0.005,0,BA201*(1+AX$6))</f>
        <v/>
      </c>
      <c r="AY202" s="152">
        <f>MIN(AX202,AX$7)</f>
        <v/>
      </c>
      <c r="AZ202" s="152">
        <f>MAX(0,MIN(AX202-AY202,CL202))</f>
        <v/>
      </c>
      <c r="BA202" s="152">
        <f>AX202-AY202-AZ202</f>
        <v/>
      </c>
      <c r="BB202" s="152">
        <f>IF(BE201&lt;=0.005,0,BE201*(1+BB$6))</f>
        <v/>
      </c>
      <c r="BC202" s="152">
        <f>MIN(BB202,BB$7)</f>
        <v/>
      </c>
      <c r="BD202" s="152">
        <f>MAX(0,MIN(BB202-BC202,CL202-(AZ202)))</f>
        <v/>
      </c>
      <c r="BE202" s="152">
        <f>BB202-BC202-BD202</f>
        <v/>
      </c>
      <c r="BF202" s="152">
        <f>IF(BI201&lt;=0.005,0,BI201*(1+BF$6))</f>
        <v/>
      </c>
      <c r="BG202" s="152">
        <f>MIN(BF202,BF$7)</f>
        <v/>
      </c>
      <c r="BH202" s="152">
        <f>MAX(0,MIN(BF202-BG202,CL202-(AZ202+BD202)))</f>
        <v/>
      </c>
      <c r="BI202" s="152">
        <f>BF202-BG202-BH202</f>
        <v/>
      </c>
      <c r="BJ202" s="152">
        <f>IF(BM201&lt;=0.005,0,BM201*(1+BJ$6))</f>
        <v/>
      </c>
      <c r="BK202" s="152">
        <f>MIN(BJ202,BJ$7)</f>
        <v/>
      </c>
      <c r="BL202" s="152">
        <f>MAX(0,MIN(BJ202-BK202,CL202-(AZ202+BD202+BH202)))</f>
        <v/>
      </c>
      <c r="BM202" s="152">
        <f>BJ202-BK202-BL202</f>
        <v/>
      </c>
      <c r="BN202" s="152">
        <f>IF(BQ201&lt;=0.005,0,BQ201*(1+BN$6))</f>
        <v/>
      </c>
      <c r="BO202" s="152">
        <f>MIN(BN202,BN$7)</f>
        <v/>
      </c>
      <c r="BP202" s="152">
        <f>MAX(0,MIN(BN202-BO202,CL202-(AZ202+BD202+BH202+BL202)))</f>
        <v/>
      </c>
      <c r="BQ202" s="152">
        <f>BN202-BO202-BP202</f>
        <v/>
      </c>
      <c r="BR202" s="152">
        <f>IF(BU201&lt;=0.005,0,BU201*(1+BR$6))</f>
        <v/>
      </c>
      <c r="BS202" s="152">
        <f>MIN(BR202,BR$7)</f>
        <v/>
      </c>
      <c r="BT202" s="152">
        <f>MAX(0,MIN(BR202-BS202,CL202-(AZ202+BD202+BH202+BL202+BP202)))</f>
        <v/>
      </c>
      <c r="BU202" s="152">
        <f>BR202-BS202-BT202</f>
        <v/>
      </c>
      <c r="BV202" s="152">
        <f>IF(BY201&lt;=0.005,0,BY201*(1+BV$6))</f>
        <v/>
      </c>
      <c r="BW202" s="152">
        <f>MIN(BV202,BV$7)</f>
        <v/>
      </c>
      <c r="BX202" s="152">
        <f>MAX(0,MIN(BV202-BW202,CL202-(AZ202+BD202+BH202+BL202+BP202+BT202)))</f>
        <v/>
      </c>
      <c r="BY202" s="152">
        <f>BV202-BW202-BX202</f>
        <v/>
      </c>
      <c r="BZ202" s="152">
        <f>IF(CC201&lt;=0.005,0,CC201*(1+BZ$6))</f>
        <v/>
      </c>
      <c r="CA202" s="152">
        <f>MIN(BZ202,BZ$7)</f>
        <v/>
      </c>
      <c r="CB202" s="152">
        <f>MAX(0,MIN(BZ202-CA202,CL202-(AZ202+BD202+BH202+BL202+BP202+BT202+BX202)))</f>
        <v/>
      </c>
      <c r="CC202" s="152">
        <f>BZ202-CA202-CB202</f>
        <v/>
      </c>
      <c r="CD202" s="152">
        <f>IF(CG201&lt;=0.005,0,CG201*(1+CD$6))</f>
        <v/>
      </c>
      <c r="CE202" s="152">
        <f>MIN(CD202,CD$7)</f>
        <v/>
      </c>
      <c r="CF202" s="152">
        <f>MAX(0,MIN(CD202-CE202,CL202-(AZ202+BD202+BH202+BL202+BP202+BT202+BX202+CB202)))</f>
        <v/>
      </c>
      <c r="CG202" s="152">
        <f>CD202-CE202-CF202</f>
        <v/>
      </c>
      <c r="CH202" s="152">
        <f>IF(CK201&lt;=0.005,0,CK201*(1+CH$6))</f>
        <v/>
      </c>
      <c r="CI202" s="152">
        <f>MIN(CH202,CH$7)</f>
        <v/>
      </c>
      <c r="CJ202" s="152">
        <f>MAX(0,MIN(CH202-CI202,CL202-(AZ202+BD202+BH202+BL202+BP202+BT202+BX202+CB202+CF202)))</f>
        <v/>
      </c>
      <c r="CK202" s="152">
        <f>CH202-CI202-CJ202</f>
        <v/>
      </c>
      <c r="CL202" s="152">
        <f>'Debt Payoff'!$C$8-SUM(AY202,BC202,BG202,BK202,BO202,BS202,BW202,CA202,CE202,CI202)</f>
        <v/>
      </c>
      <c r="CM202" s="152">
        <f>SUM(AY202,BC202,BG202,BK202,BO202,BS202,BW202,CA202,CE202,CI202)+SUM(AZ202,BD202,BH202,BL202,BP202,BT202,BX202,CB202,CF202,CJ202)</f>
        <v/>
      </c>
      <c r="CN202" s="152">
        <f>SUM(BA202,BE202,BI202,BM202,BQ202,BU202,BY202,CC202,CG202,CK202)</f>
        <v/>
      </c>
      <c r="CO202" s="152">
        <f>IF(AW202&gt;CN$6,NA(),AW202)</f>
        <v/>
      </c>
      <c r="CP202" s="152">
        <f>IF(AW202&gt;CN$6,NA(),CN202)</f>
        <v/>
      </c>
    </row>
    <row r="203">
      <c r="B203" s="152" t="n">
        <v>192</v>
      </c>
      <c r="C203" s="152">
        <f>IF(F202&lt;=0.005,0,F202*(1+C$6))</f>
        <v/>
      </c>
      <c r="D203" s="152">
        <f>MIN(C203,C$7)</f>
        <v/>
      </c>
      <c r="E203" s="152">
        <f>MAX(0,MIN(C203-D203,AQ203))</f>
        <v/>
      </c>
      <c r="F203" s="152">
        <f>C203-D203-E203</f>
        <v/>
      </c>
      <c r="G203" s="152">
        <f>IF(J202&lt;=0.005,0,J202*(1+G$6))</f>
        <v/>
      </c>
      <c r="H203" s="152">
        <f>MIN(G203,G$7)</f>
        <v/>
      </c>
      <c r="I203" s="152">
        <f>MAX(0,MIN(G203-H203,AQ203-(E203)))</f>
        <v/>
      </c>
      <c r="J203" s="152">
        <f>G203-H203-I203</f>
        <v/>
      </c>
      <c r="K203" s="152">
        <f>IF(N202&lt;=0.005,0,N202*(1+K$6))</f>
        <v/>
      </c>
      <c r="L203" s="152">
        <f>MIN(K203,K$7)</f>
        <v/>
      </c>
      <c r="M203" s="152">
        <f>MAX(0,MIN(K203-L203,AQ203-(E203+I203)))</f>
        <v/>
      </c>
      <c r="N203" s="152">
        <f>K203-L203-M203</f>
        <v/>
      </c>
      <c r="O203" s="152">
        <f>IF(R202&lt;=0.005,0,R202*(1+O$6))</f>
        <v/>
      </c>
      <c r="P203" s="152">
        <f>MIN(O203,O$7)</f>
        <v/>
      </c>
      <c r="Q203" s="152">
        <f>MAX(0,MIN(O203-P203,AQ203-(E203+I203+M203)))</f>
        <v/>
      </c>
      <c r="R203" s="152">
        <f>O203-P203-Q203</f>
        <v/>
      </c>
      <c r="S203" s="152">
        <f>IF(V202&lt;=0.005,0,V202*(1+S$6))</f>
        <v/>
      </c>
      <c r="T203" s="152">
        <f>MIN(S203,S$7)</f>
        <v/>
      </c>
      <c r="U203" s="152">
        <f>MAX(0,MIN(S203-T203,AQ203-(E203+I203+M203+Q203)))</f>
        <v/>
      </c>
      <c r="V203" s="152">
        <f>S203-T203-U203</f>
        <v/>
      </c>
      <c r="W203" s="152">
        <f>IF(Z202&lt;=0.005,0,Z202*(1+W$6))</f>
        <v/>
      </c>
      <c r="X203" s="152">
        <f>MIN(W203,W$7)</f>
        <v/>
      </c>
      <c r="Y203" s="152">
        <f>MAX(0,MIN(W203-X203,AQ203-(E203+I203+M203+Q203+U203)))</f>
        <v/>
      </c>
      <c r="Z203" s="152">
        <f>W203-X203-Y203</f>
        <v/>
      </c>
      <c r="AA203" s="152">
        <f>IF(AD202&lt;=0.005,0,AD202*(1+AA$6))</f>
        <v/>
      </c>
      <c r="AB203" s="152">
        <f>MIN(AA203,AA$7)</f>
        <v/>
      </c>
      <c r="AC203" s="152">
        <f>MAX(0,MIN(AA203-AB203,AQ203-(E203+I203+M203+Q203+U203+Y203)))</f>
        <v/>
      </c>
      <c r="AD203" s="152">
        <f>AA203-AB203-AC203</f>
        <v/>
      </c>
      <c r="AE203" s="152">
        <f>IF(AH202&lt;=0.005,0,AH202*(1+AE$6))</f>
        <v/>
      </c>
      <c r="AF203" s="152">
        <f>MIN(AE203,AE$7)</f>
        <v/>
      </c>
      <c r="AG203" s="152">
        <f>MAX(0,MIN(AE203-AF203,AQ203-(E203+I203+M203+Q203+U203+Y203+AC203)))</f>
        <v/>
      </c>
      <c r="AH203" s="152">
        <f>AE203-AF203-AG203</f>
        <v/>
      </c>
      <c r="AI203" s="152">
        <f>IF(AL202&lt;=0.005,0,AL202*(1+AI$6))</f>
        <v/>
      </c>
      <c r="AJ203" s="152">
        <f>MIN(AI203,AI$7)</f>
        <v/>
      </c>
      <c r="AK203" s="152">
        <f>MAX(0,MIN(AI203-AJ203,AQ203-(E203+I203+M203+Q203+U203+Y203+AC203+AG203)))</f>
        <v/>
      </c>
      <c r="AL203" s="152">
        <f>AI203-AJ203-AK203</f>
        <v/>
      </c>
      <c r="AM203" s="152">
        <f>IF(AP202&lt;=0.005,0,AP202*(1+AM$6))</f>
        <v/>
      </c>
      <c r="AN203" s="152">
        <f>MIN(AM203,AM$7)</f>
        <v/>
      </c>
      <c r="AO203" s="152">
        <f>MAX(0,MIN(AM203-AN203,AQ203-(E203+I203+M203+Q203+U203+Y203+AC203+AG203+AK203)))</f>
        <v/>
      </c>
      <c r="AP203" s="152">
        <f>AM203-AN203-AO203</f>
        <v/>
      </c>
      <c r="AQ203" s="152">
        <f>'Debt Payoff'!$C$8-SUM(D203,H203,L203,P203,T203,X203,AB203,AF203,AJ203,AN203)</f>
        <v/>
      </c>
      <c r="AR203" s="152">
        <f>SUM(D203,H203,L203,P203,T203,X203,AB203,AF203,AJ203,AN203)+SUM(E203,I203,M203,Q203,U203,Y203,AC203,AG203,AK203,AO203)</f>
        <v/>
      </c>
      <c r="AS203" s="152">
        <f>SUM(F203,J203,N203,R203,V203,Z203,AD203,AH203,AL203,AP203)</f>
        <v/>
      </c>
      <c r="AT203" s="152">
        <f>IF(B203&gt;AS$6,NA(),B203)</f>
        <v/>
      </c>
      <c r="AU203" s="152">
        <f>IF(B203&gt;AS$6,NA(),AS203)</f>
        <v/>
      </c>
      <c r="AV203" s="152" t="n"/>
      <c r="AW203" s="152" t="n">
        <v>192</v>
      </c>
      <c r="AX203" s="152">
        <f>IF(BA202&lt;=0.005,0,BA202*(1+AX$6))</f>
        <v/>
      </c>
      <c r="AY203" s="152">
        <f>MIN(AX203,AX$7)</f>
        <v/>
      </c>
      <c r="AZ203" s="152">
        <f>MAX(0,MIN(AX203-AY203,CL203))</f>
        <v/>
      </c>
      <c r="BA203" s="152">
        <f>AX203-AY203-AZ203</f>
        <v/>
      </c>
      <c r="BB203" s="152">
        <f>IF(BE202&lt;=0.005,0,BE202*(1+BB$6))</f>
        <v/>
      </c>
      <c r="BC203" s="152">
        <f>MIN(BB203,BB$7)</f>
        <v/>
      </c>
      <c r="BD203" s="152">
        <f>MAX(0,MIN(BB203-BC203,CL203-(AZ203)))</f>
        <v/>
      </c>
      <c r="BE203" s="152">
        <f>BB203-BC203-BD203</f>
        <v/>
      </c>
      <c r="BF203" s="152">
        <f>IF(BI202&lt;=0.005,0,BI202*(1+BF$6))</f>
        <v/>
      </c>
      <c r="BG203" s="152">
        <f>MIN(BF203,BF$7)</f>
        <v/>
      </c>
      <c r="BH203" s="152">
        <f>MAX(0,MIN(BF203-BG203,CL203-(AZ203+BD203)))</f>
        <v/>
      </c>
      <c r="BI203" s="152">
        <f>BF203-BG203-BH203</f>
        <v/>
      </c>
      <c r="BJ203" s="152">
        <f>IF(BM202&lt;=0.005,0,BM202*(1+BJ$6))</f>
        <v/>
      </c>
      <c r="BK203" s="152">
        <f>MIN(BJ203,BJ$7)</f>
        <v/>
      </c>
      <c r="BL203" s="152">
        <f>MAX(0,MIN(BJ203-BK203,CL203-(AZ203+BD203+BH203)))</f>
        <v/>
      </c>
      <c r="BM203" s="152">
        <f>BJ203-BK203-BL203</f>
        <v/>
      </c>
      <c r="BN203" s="152">
        <f>IF(BQ202&lt;=0.005,0,BQ202*(1+BN$6))</f>
        <v/>
      </c>
      <c r="BO203" s="152">
        <f>MIN(BN203,BN$7)</f>
        <v/>
      </c>
      <c r="BP203" s="152">
        <f>MAX(0,MIN(BN203-BO203,CL203-(AZ203+BD203+BH203+BL203)))</f>
        <v/>
      </c>
      <c r="BQ203" s="152">
        <f>BN203-BO203-BP203</f>
        <v/>
      </c>
      <c r="BR203" s="152">
        <f>IF(BU202&lt;=0.005,0,BU202*(1+BR$6))</f>
        <v/>
      </c>
      <c r="BS203" s="152">
        <f>MIN(BR203,BR$7)</f>
        <v/>
      </c>
      <c r="BT203" s="152">
        <f>MAX(0,MIN(BR203-BS203,CL203-(AZ203+BD203+BH203+BL203+BP203)))</f>
        <v/>
      </c>
      <c r="BU203" s="152">
        <f>BR203-BS203-BT203</f>
        <v/>
      </c>
      <c r="BV203" s="152">
        <f>IF(BY202&lt;=0.005,0,BY202*(1+BV$6))</f>
        <v/>
      </c>
      <c r="BW203" s="152">
        <f>MIN(BV203,BV$7)</f>
        <v/>
      </c>
      <c r="BX203" s="152">
        <f>MAX(0,MIN(BV203-BW203,CL203-(AZ203+BD203+BH203+BL203+BP203+BT203)))</f>
        <v/>
      </c>
      <c r="BY203" s="152">
        <f>BV203-BW203-BX203</f>
        <v/>
      </c>
      <c r="BZ203" s="152">
        <f>IF(CC202&lt;=0.005,0,CC202*(1+BZ$6))</f>
        <v/>
      </c>
      <c r="CA203" s="152">
        <f>MIN(BZ203,BZ$7)</f>
        <v/>
      </c>
      <c r="CB203" s="152">
        <f>MAX(0,MIN(BZ203-CA203,CL203-(AZ203+BD203+BH203+BL203+BP203+BT203+BX203)))</f>
        <v/>
      </c>
      <c r="CC203" s="152">
        <f>BZ203-CA203-CB203</f>
        <v/>
      </c>
      <c r="CD203" s="152">
        <f>IF(CG202&lt;=0.005,0,CG202*(1+CD$6))</f>
        <v/>
      </c>
      <c r="CE203" s="152">
        <f>MIN(CD203,CD$7)</f>
        <v/>
      </c>
      <c r="CF203" s="152">
        <f>MAX(0,MIN(CD203-CE203,CL203-(AZ203+BD203+BH203+BL203+BP203+BT203+BX203+CB203)))</f>
        <v/>
      </c>
      <c r="CG203" s="152">
        <f>CD203-CE203-CF203</f>
        <v/>
      </c>
      <c r="CH203" s="152">
        <f>IF(CK202&lt;=0.005,0,CK202*(1+CH$6))</f>
        <v/>
      </c>
      <c r="CI203" s="152">
        <f>MIN(CH203,CH$7)</f>
        <v/>
      </c>
      <c r="CJ203" s="152">
        <f>MAX(0,MIN(CH203-CI203,CL203-(AZ203+BD203+BH203+BL203+BP203+BT203+BX203+CB203+CF203)))</f>
        <v/>
      </c>
      <c r="CK203" s="152">
        <f>CH203-CI203-CJ203</f>
        <v/>
      </c>
      <c r="CL203" s="152">
        <f>'Debt Payoff'!$C$8-SUM(AY203,BC203,BG203,BK203,BO203,BS203,BW203,CA203,CE203,CI203)</f>
        <v/>
      </c>
      <c r="CM203" s="152">
        <f>SUM(AY203,BC203,BG203,BK203,BO203,BS203,BW203,CA203,CE203,CI203)+SUM(AZ203,BD203,BH203,BL203,BP203,BT203,BX203,CB203,CF203,CJ203)</f>
        <v/>
      </c>
      <c r="CN203" s="152">
        <f>SUM(BA203,BE203,BI203,BM203,BQ203,BU203,BY203,CC203,CG203,CK203)</f>
        <v/>
      </c>
      <c r="CO203" s="152">
        <f>IF(AW203&gt;CN$6,NA(),AW203)</f>
        <v/>
      </c>
      <c r="CP203" s="152">
        <f>IF(AW203&gt;CN$6,NA(),CN203)</f>
        <v/>
      </c>
    </row>
    <row r="204">
      <c r="B204" s="152" t="n">
        <v>193</v>
      </c>
      <c r="C204" s="152">
        <f>IF(F203&lt;=0.005,0,F203*(1+C$6))</f>
        <v/>
      </c>
      <c r="D204" s="152">
        <f>MIN(C204,C$7)</f>
        <v/>
      </c>
      <c r="E204" s="152">
        <f>MAX(0,MIN(C204-D204,AQ204))</f>
        <v/>
      </c>
      <c r="F204" s="152">
        <f>C204-D204-E204</f>
        <v/>
      </c>
      <c r="G204" s="152">
        <f>IF(J203&lt;=0.005,0,J203*(1+G$6))</f>
        <v/>
      </c>
      <c r="H204" s="152">
        <f>MIN(G204,G$7)</f>
        <v/>
      </c>
      <c r="I204" s="152">
        <f>MAX(0,MIN(G204-H204,AQ204-(E204)))</f>
        <v/>
      </c>
      <c r="J204" s="152">
        <f>G204-H204-I204</f>
        <v/>
      </c>
      <c r="K204" s="152">
        <f>IF(N203&lt;=0.005,0,N203*(1+K$6))</f>
        <v/>
      </c>
      <c r="L204" s="152">
        <f>MIN(K204,K$7)</f>
        <v/>
      </c>
      <c r="M204" s="152">
        <f>MAX(0,MIN(K204-L204,AQ204-(E204+I204)))</f>
        <v/>
      </c>
      <c r="N204" s="152">
        <f>K204-L204-M204</f>
        <v/>
      </c>
      <c r="O204" s="152">
        <f>IF(R203&lt;=0.005,0,R203*(1+O$6))</f>
        <v/>
      </c>
      <c r="P204" s="152">
        <f>MIN(O204,O$7)</f>
        <v/>
      </c>
      <c r="Q204" s="152">
        <f>MAX(0,MIN(O204-P204,AQ204-(E204+I204+M204)))</f>
        <v/>
      </c>
      <c r="R204" s="152">
        <f>O204-P204-Q204</f>
        <v/>
      </c>
      <c r="S204" s="152">
        <f>IF(V203&lt;=0.005,0,V203*(1+S$6))</f>
        <v/>
      </c>
      <c r="T204" s="152">
        <f>MIN(S204,S$7)</f>
        <v/>
      </c>
      <c r="U204" s="152">
        <f>MAX(0,MIN(S204-T204,AQ204-(E204+I204+M204+Q204)))</f>
        <v/>
      </c>
      <c r="V204" s="152">
        <f>S204-T204-U204</f>
        <v/>
      </c>
      <c r="W204" s="152">
        <f>IF(Z203&lt;=0.005,0,Z203*(1+W$6))</f>
        <v/>
      </c>
      <c r="X204" s="152">
        <f>MIN(W204,W$7)</f>
        <v/>
      </c>
      <c r="Y204" s="152">
        <f>MAX(0,MIN(W204-X204,AQ204-(E204+I204+M204+Q204+U204)))</f>
        <v/>
      </c>
      <c r="Z204" s="152">
        <f>W204-X204-Y204</f>
        <v/>
      </c>
      <c r="AA204" s="152">
        <f>IF(AD203&lt;=0.005,0,AD203*(1+AA$6))</f>
        <v/>
      </c>
      <c r="AB204" s="152">
        <f>MIN(AA204,AA$7)</f>
        <v/>
      </c>
      <c r="AC204" s="152">
        <f>MAX(0,MIN(AA204-AB204,AQ204-(E204+I204+M204+Q204+U204+Y204)))</f>
        <v/>
      </c>
      <c r="AD204" s="152">
        <f>AA204-AB204-AC204</f>
        <v/>
      </c>
      <c r="AE204" s="152">
        <f>IF(AH203&lt;=0.005,0,AH203*(1+AE$6))</f>
        <v/>
      </c>
      <c r="AF204" s="152">
        <f>MIN(AE204,AE$7)</f>
        <v/>
      </c>
      <c r="AG204" s="152">
        <f>MAX(0,MIN(AE204-AF204,AQ204-(E204+I204+M204+Q204+U204+Y204+AC204)))</f>
        <v/>
      </c>
      <c r="AH204" s="152">
        <f>AE204-AF204-AG204</f>
        <v/>
      </c>
      <c r="AI204" s="152">
        <f>IF(AL203&lt;=0.005,0,AL203*(1+AI$6))</f>
        <v/>
      </c>
      <c r="AJ204" s="152">
        <f>MIN(AI204,AI$7)</f>
        <v/>
      </c>
      <c r="AK204" s="152">
        <f>MAX(0,MIN(AI204-AJ204,AQ204-(E204+I204+M204+Q204+U204+Y204+AC204+AG204)))</f>
        <v/>
      </c>
      <c r="AL204" s="152">
        <f>AI204-AJ204-AK204</f>
        <v/>
      </c>
      <c r="AM204" s="152">
        <f>IF(AP203&lt;=0.005,0,AP203*(1+AM$6))</f>
        <v/>
      </c>
      <c r="AN204" s="152">
        <f>MIN(AM204,AM$7)</f>
        <v/>
      </c>
      <c r="AO204" s="152">
        <f>MAX(0,MIN(AM204-AN204,AQ204-(E204+I204+M204+Q204+U204+Y204+AC204+AG204+AK204)))</f>
        <v/>
      </c>
      <c r="AP204" s="152">
        <f>AM204-AN204-AO204</f>
        <v/>
      </c>
      <c r="AQ204" s="152">
        <f>'Debt Payoff'!$C$8-SUM(D204,H204,L204,P204,T204,X204,AB204,AF204,AJ204,AN204)</f>
        <v/>
      </c>
      <c r="AR204" s="152">
        <f>SUM(D204,H204,L204,P204,T204,X204,AB204,AF204,AJ204,AN204)+SUM(E204,I204,M204,Q204,U204,Y204,AC204,AG204,AK204,AO204)</f>
        <v/>
      </c>
      <c r="AS204" s="152">
        <f>SUM(F204,J204,N204,R204,V204,Z204,AD204,AH204,AL204,AP204)</f>
        <v/>
      </c>
      <c r="AT204" s="152">
        <f>IF(B204&gt;AS$6,NA(),B204)</f>
        <v/>
      </c>
      <c r="AU204" s="152">
        <f>IF(B204&gt;AS$6,NA(),AS204)</f>
        <v/>
      </c>
      <c r="AV204" s="152" t="n"/>
      <c r="AW204" s="152" t="n">
        <v>193</v>
      </c>
      <c r="AX204" s="152">
        <f>IF(BA203&lt;=0.005,0,BA203*(1+AX$6))</f>
        <v/>
      </c>
      <c r="AY204" s="152">
        <f>MIN(AX204,AX$7)</f>
        <v/>
      </c>
      <c r="AZ204" s="152">
        <f>MAX(0,MIN(AX204-AY204,CL204))</f>
        <v/>
      </c>
      <c r="BA204" s="152">
        <f>AX204-AY204-AZ204</f>
        <v/>
      </c>
      <c r="BB204" s="152">
        <f>IF(BE203&lt;=0.005,0,BE203*(1+BB$6))</f>
        <v/>
      </c>
      <c r="BC204" s="152">
        <f>MIN(BB204,BB$7)</f>
        <v/>
      </c>
      <c r="BD204" s="152">
        <f>MAX(0,MIN(BB204-BC204,CL204-(AZ204)))</f>
        <v/>
      </c>
      <c r="BE204" s="152">
        <f>BB204-BC204-BD204</f>
        <v/>
      </c>
      <c r="BF204" s="152">
        <f>IF(BI203&lt;=0.005,0,BI203*(1+BF$6))</f>
        <v/>
      </c>
      <c r="BG204" s="152">
        <f>MIN(BF204,BF$7)</f>
        <v/>
      </c>
      <c r="BH204" s="152">
        <f>MAX(0,MIN(BF204-BG204,CL204-(AZ204+BD204)))</f>
        <v/>
      </c>
      <c r="BI204" s="152">
        <f>BF204-BG204-BH204</f>
        <v/>
      </c>
      <c r="BJ204" s="152">
        <f>IF(BM203&lt;=0.005,0,BM203*(1+BJ$6))</f>
        <v/>
      </c>
      <c r="BK204" s="152">
        <f>MIN(BJ204,BJ$7)</f>
        <v/>
      </c>
      <c r="BL204" s="152">
        <f>MAX(0,MIN(BJ204-BK204,CL204-(AZ204+BD204+BH204)))</f>
        <v/>
      </c>
      <c r="BM204" s="152">
        <f>BJ204-BK204-BL204</f>
        <v/>
      </c>
      <c r="BN204" s="152">
        <f>IF(BQ203&lt;=0.005,0,BQ203*(1+BN$6))</f>
        <v/>
      </c>
      <c r="BO204" s="152">
        <f>MIN(BN204,BN$7)</f>
        <v/>
      </c>
      <c r="BP204" s="152">
        <f>MAX(0,MIN(BN204-BO204,CL204-(AZ204+BD204+BH204+BL204)))</f>
        <v/>
      </c>
      <c r="BQ204" s="152">
        <f>BN204-BO204-BP204</f>
        <v/>
      </c>
      <c r="BR204" s="152">
        <f>IF(BU203&lt;=0.005,0,BU203*(1+BR$6))</f>
        <v/>
      </c>
      <c r="BS204" s="152">
        <f>MIN(BR204,BR$7)</f>
        <v/>
      </c>
      <c r="BT204" s="152">
        <f>MAX(0,MIN(BR204-BS204,CL204-(AZ204+BD204+BH204+BL204+BP204)))</f>
        <v/>
      </c>
      <c r="BU204" s="152">
        <f>BR204-BS204-BT204</f>
        <v/>
      </c>
      <c r="BV204" s="152">
        <f>IF(BY203&lt;=0.005,0,BY203*(1+BV$6))</f>
        <v/>
      </c>
      <c r="BW204" s="152">
        <f>MIN(BV204,BV$7)</f>
        <v/>
      </c>
      <c r="BX204" s="152">
        <f>MAX(0,MIN(BV204-BW204,CL204-(AZ204+BD204+BH204+BL204+BP204+BT204)))</f>
        <v/>
      </c>
      <c r="BY204" s="152">
        <f>BV204-BW204-BX204</f>
        <v/>
      </c>
      <c r="BZ204" s="152">
        <f>IF(CC203&lt;=0.005,0,CC203*(1+BZ$6))</f>
        <v/>
      </c>
      <c r="CA204" s="152">
        <f>MIN(BZ204,BZ$7)</f>
        <v/>
      </c>
      <c r="CB204" s="152">
        <f>MAX(0,MIN(BZ204-CA204,CL204-(AZ204+BD204+BH204+BL204+BP204+BT204+BX204)))</f>
        <v/>
      </c>
      <c r="CC204" s="152">
        <f>BZ204-CA204-CB204</f>
        <v/>
      </c>
      <c r="CD204" s="152">
        <f>IF(CG203&lt;=0.005,0,CG203*(1+CD$6))</f>
        <v/>
      </c>
      <c r="CE204" s="152">
        <f>MIN(CD204,CD$7)</f>
        <v/>
      </c>
      <c r="CF204" s="152">
        <f>MAX(0,MIN(CD204-CE204,CL204-(AZ204+BD204+BH204+BL204+BP204+BT204+BX204+CB204)))</f>
        <v/>
      </c>
      <c r="CG204" s="152">
        <f>CD204-CE204-CF204</f>
        <v/>
      </c>
      <c r="CH204" s="152">
        <f>IF(CK203&lt;=0.005,0,CK203*(1+CH$6))</f>
        <v/>
      </c>
      <c r="CI204" s="152">
        <f>MIN(CH204,CH$7)</f>
        <v/>
      </c>
      <c r="CJ204" s="152">
        <f>MAX(0,MIN(CH204-CI204,CL204-(AZ204+BD204+BH204+BL204+BP204+BT204+BX204+CB204+CF204)))</f>
        <v/>
      </c>
      <c r="CK204" s="152">
        <f>CH204-CI204-CJ204</f>
        <v/>
      </c>
      <c r="CL204" s="152">
        <f>'Debt Payoff'!$C$8-SUM(AY204,BC204,BG204,BK204,BO204,BS204,BW204,CA204,CE204,CI204)</f>
        <v/>
      </c>
      <c r="CM204" s="152">
        <f>SUM(AY204,BC204,BG204,BK204,BO204,BS204,BW204,CA204,CE204,CI204)+SUM(AZ204,BD204,BH204,BL204,BP204,BT204,BX204,CB204,CF204,CJ204)</f>
        <v/>
      </c>
      <c r="CN204" s="152">
        <f>SUM(BA204,BE204,BI204,BM204,BQ204,BU204,BY204,CC204,CG204,CK204)</f>
        <v/>
      </c>
      <c r="CO204" s="152">
        <f>IF(AW204&gt;CN$6,NA(),AW204)</f>
        <v/>
      </c>
      <c r="CP204" s="152">
        <f>IF(AW204&gt;CN$6,NA(),CN204)</f>
        <v/>
      </c>
    </row>
    <row r="205">
      <c r="B205" s="152" t="n">
        <v>194</v>
      </c>
      <c r="C205" s="152">
        <f>IF(F204&lt;=0.005,0,F204*(1+C$6))</f>
        <v/>
      </c>
      <c r="D205" s="152">
        <f>MIN(C205,C$7)</f>
        <v/>
      </c>
      <c r="E205" s="152">
        <f>MAX(0,MIN(C205-D205,AQ205))</f>
        <v/>
      </c>
      <c r="F205" s="152">
        <f>C205-D205-E205</f>
        <v/>
      </c>
      <c r="G205" s="152">
        <f>IF(J204&lt;=0.005,0,J204*(1+G$6))</f>
        <v/>
      </c>
      <c r="H205" s="152">
        <f>MIN(G205,G$7)</f>
        <v/>
      </c>
      <c r="I205" s="152">
        <f>MAX(0,MIN(G205-H205,AQ205-(E205)))</f>
        <v/>
      </c>
      <c r="J205" s="152">
        <f>G205-H205-I205</f>
        <v/>
      </c>
      <c r="K205" s="152">
        <f>IF(N204&lt;=0.005,0,N204*(1+K$6))</f>
        <v/>
      </c>
      <c r="L205" s="152">
        <f>MIN(K205,K$7)</f>
        <v/>
      </c>
      <c r="M205" s="152">
        <f>MAX(0,MIN(K205-L205,AQ205-(E205+I205)))</f>
        <v/>
      </c>
      <c r="N205" s="152">
        <f>K205-L205-M205</f>
        <v/>
      </c>
      <c r="O205" s="152">
        <f>IF(R204&lt;=0.005,0,R204*(1+O$6))</f>
        <v/>
      </c>
      <c r="P205" s="152">
        <f>MIN(O205,O$7)</f>
        <v/>
      </c>
      <c r="Q205" s="152">
        <f>MAX(0,MIN(O205-P205,AQ205-(E205+I205+M205)))</f>
        <v/>
      </c>
      <c r="R205" s="152">
        <f>O205-P205-Q205</f>
        <v/>
      </c>
      <c r="S205" s="152">
        <f>IF(V204&lt;=0.005,0,V204*(1+S$6))</f>
        <v/>
      </c>
      <c r="T205" s="152">
        <f>MIN(S205,S$7)</f>
        <v/>
      </c>
      <c r="U205" s="152">
        <f>MAX(0,MIN(S205-T205,AQ205-(E205+I205+M205+Q205)))</f>
        <v/>
      </c>
      <c r="V205" s="152">
        <f>S205-T205-U205</f>
        <v/>
      </c>
      <c r="W205" s="152">
        <f>IF(Z204&lt;=0.005,0,Z204*(1+W$6))</f>
        <v/>
      </c>
      <c r="X205" s="152">
        <f>MIN(W205,W$7)</f>
        <v/>
      </c>
      <c r="Y205" s="152">
        <f>MAX(0,MIN(W205-X205,AQ205-(E205+I205+M205+Q205+U205)))</f>
        <v/>
      </c>
      <c r="Z205" s="152">
        <f>W205-X205-Y205</f>
        <v/>
      </c>
      <c r="AA205" s="152">
        <f>IF(AD204&lt;=0.005,0,AD204*(1+AA$6))</f>
        <v/>
      </c>
      <c r="AB205" s="152">
        <f>MIN(AA205,AA$7)</f>
        <v/>
      </c>
      <c r="AC205" s="152">
        <f>MAX(0,MIN(AA205-AB205,AQ205-(E205+I205+M205+Q205+U205+Y205)))</f>
        <v/>
      </c>
      <c r="AD205" s="152">
        <f>AA205-AB205-AC205</f>
        <v/>
      </c>
      <c r="AE205" s="152">
        <f>IF(AH204&lt;=0.005,0,AH204*(1+AE$6))</f>
        <v/>
      </c>
      <c r="AF205" s="152">
        <f>MIN(AE205,AE$7)</f>
        <v/>
      </c>
      <c r="AG205" s="152">
        <f>MAX(0,MIN(AE205-AF205,AQ205-(E205+I205+M205+Q205+U205+Y205+AC205)))</f>
        <v/>
      </c>
      <c r="AH205" s="152">
        <f>AE205-AF205-AG205</f>
        <v/>
      </c>
      <c r="AI205" s="152">
        <f>IF(AL204&lt;=0.005,0,AL204*(1+AI$6))</f>
        <v/>
      </c>
      <c r="AJ205" s="152">
        <f>MIN(AI205,AI$7)</f>
        <v/>
      </c>
      <c r="AK205" s="152">
        <f>MAX(0,MIN(AI205-AJ205,AQ205-(E205+I205+M205+Q205+U205+Y205+AC205+AG205)))</f>
        <v/>
      </c>
      <c r="AL205" s="152">
        <f>AI205-AJ205-AK205</f>
        <v/>
      </c>
      <c r="AM205" s="152">
        <f>IF(AP204&lt;=0.005,0,AP204*(1+AM$6))</f>
        <v/>
      </c>
      <c r="AN205" s="152">
        <f>MIN(AM205,AM$7)</f>
        <v/>
      </c>
      <c r="AO205" s="152">
        <f>MAX(0,MIN(AM205-AN205,AQ205-(E205+I205+M205+Q205+U205+Y205+AC205+AG205+AK205)))</f>
        <v/>
      </c>
      <c r="AP205" s="152">
        <f>AM205-AN205-AO205</f>
        <v/>
      </c>
      <c r="AQ205" s="152">
        <f>'Debt Payoff'!$C$8-SUM(D205,H205,L205,P205,T205,X205,AB205,AF205,AJ205,AN205)</f>
        <v/>
      </c>
      <c r="AR205" s="152">
        <f>SUM(D205,H205,L205,P205,T205,X205,AB205,AF205,AJ205,AN205)+SUM(E205,I205,M205,Q205,U205,Y205,AC205,AG205,AK205,AO205)</f>
        <v/>
      </c>
      <c r="AS205" s="152">
        <f>SUM(F205,J205,N205,R205,V205,Z205,AD205,AH205,AL205,AP205)</f>
        <v/>
      </c>
      <c r="AT205" s="152">
        <f>IF(B205&gt;AS$6,NA(),B205)</f>
        <v/>
      </c>
      <c r="AU205" s="152">
        <f>IF(B205&gt;AS$6,NA(),AS205)</f>
        <v/>
      </c>
      <c r="AV205" s="152" t="n"/>
      <c r="AW205" s="152" t="n">
        <v>194</v>
      </c>
      <c r="AX205" s="152">
        <f>IF(BA204&lt;=0.005,0,BA204*(1+AX$6))</f>
        <v/>
      </c>
      <c r="AY205" s="152">
        <f>MIN(AX205,AX$7)</f>
        <v/>
      </c>
      <c r="AZ205" s="152">
        <f>MAX(0,MIN(AX205-AY205,CL205))</f>
        <v/>
      </c>
      <c r="BA205" s="152">
        <f>AX205-AY205-AZ205</f>
        <v/>
      </c>
      <c r="BB205" s="152">
        <f>IF(BE204&lt;=0.005,0,BE204*(1+BB$6))</f>
        <v/>
      </c>
      <c r="BC205" s="152">
        <f>MIN(BB205,BB$7)</f>
        <v/>
      </c>
      <c r="BD205" s="152">
        <f>MAX(0,MIN(BB205-BC205,CL205-(AZ205)))</f>
        <v/>
      </c>
      <c r="BE205" s="152">
        <f>BB205-BC205-BD205</f>
        <v/>
      </c>
      <c r="BF205" s="152">
        <f>IF(BI204&lt;=0.005,0,BI204*(1+BF$6))</f>
        <v/>
      </c>
      <c r="BG205" s="152">
        <f>MIN(BF205,BF$7)</f>
        <v/>
      </c>
      <c r="BH205" s="152">
        <f>MAX(0,MIN(BF205-BG205,CL205-(AZ205+BD205)))</f>
        <v/>
      </c>
      <c r="BI205" s="152">
        <f>BF205-BG205-BH205</f>
        <v/>
      </c>
      <c r="BJ205" s="152">
        <f>IF(BM204&lt;=0.005,0,BM204*(1+BJ$6))</f>
        <v/>
      </c>
      <c r="BK205" s="152">
        <f>MIN(BJ205,BJ$7)</f>
        <v/>
      </c>
      <c r="BL205" s="152">
        <f>MAX(0,MIN(BJ205-BK205,CL205-(AZ205+BD205+BH205)))</f>
        <v/>
      </c>
      <c r="BM205" s="152">
        <f>BJ205-BK205-BL205</f>
        <v/>
      </c>
      <c r="BN205" s="152">
        <f>IF(BQ204&lt;=0.005,0,BQ204*(1+BN$6))</f>
        <v/>
      </c>
      <c r="BO205" s="152">
        <f>MIN(BN205,BN$7)</f>
        <v/>
      </c>
      <c r="BP205" s="152">
        <f>MAX(0,MIN(BN205-BO205,CL205-(AZ205+BD205+BH205+BL205)))</f>
        <v/>
      </c>
      <c r="BQ205" s="152">
        <f>BN205-BO205-BP205</f>
        <v/>
      </c>
      <c r="BR205" s="152">
        <f>IF(BU204&lt;=0.005,0,BU204*(1+BR$6))</f>
        <v/>
      </c>
      <c r="BS205" s="152">
        <f>MIN(BR205,BR$7)</f>
        <v/>
      </c>
      <c r="BT205" s="152">
        <f>MAX(0,MIN(BR205-BS205,CL205-(AZ205+BD205+BH205+BL205+BP205)))</f>
        <v/>
      </c>
      <c r="BU205" s="152">
        <f>BR205-BS205-BT205</f>
        <v/>
      </c>
      <c r="BV205" s="152">
        <f>IF(BY204&lt;=0.005,0,BY204*(1+BV$6))</f>
        <v/>
      </c>
      <c r="BW205" s="152">
        <f>MIN(BV205,BV$7)</f>
        <v/>
      </c>
      <c r="BX205" s="152">
        <f>MAX(0,MIN(BV205-BW205,CL205-(AZ205+BD205+BH205+BL205+BP205+BT205)))</f>
        <v/>
      </c>
      <c r="BY205" s="152">
        <f>BV205-BW205-BX205</f>
        <v/>
      </c>
      <c r="BZ205" s="152">
        <f>IF(CC204&lt;=0.005,0,CC204*(1+BZ$6))</f>
        <v/>
      </c>
      <c r="CA205" s="152">
        <f>MIN(BZ205,BZ$7)</f>
        <v/>
      </c>
      <c r="CB205" s="152">
        <f>MAX(0,MIN(BZ205-CA205,CL205-(AZ205+BD205+BH205+BL205+BP205+BT205+BX205)))</f>
        <v/>
      </c>
      <c r="CC205" s="152">
        <f>BZ205-CA205-CB205</f>
        <v/>
      </c>
      <c r="CD205" s="152">
        <f>IF(CG204&lt;=0.005,0,CG204*(1+CD$6))</f>
        <v/>
      </c>
      <c r="CE205" s="152">
        <f>MIN(CD205,CD$7)</f>
        <v/>
      </c>
      <c r="CF205" s="152">
        <f>MAX(0,MIN(CD205-CE205,CL205-(AZ205+BD205+BH205+BL205+BP205+BT205+BX205+CB205)))</f>
        <v/>
      </c>
      <c r="CG205" s="152">
        <f>CD205-CE205-CF205</f>
        <v/>
      </c>
      <c r="CH205" s="152">
        <f>IF(CK204&lt;=0.005,0,CK204*(1+CH$6))</f>
        <v/>
      </c>
      <c r="CI205" s="152">
        <f>MIN(CH205,CH$7)</f>
        <v/>
      </c>
      <c r="CJ205" s="152">
        <f>MAX(0,MIN(CH205-CI205,CL205-(AZ205+BD205+BH205+BL205+BP205+BT205+BX205+CB205+CF205)))</f>
        <v/>
      </c>
      <c r="CK205" s="152">
        <f>CH205-CI205-CJ205</f>
        <v/>
      </c>
      <c r="CL205" s="152">
        <f>'Debt Payoff'!$C$8-SUM(AY205,BC205,BG205,BK205,BO205,BS205,BW205,CA205,CE205,CI205)</f>
        <v/>
      </c>
      <c r="CM205" s="152">
        <f>SUM(AY205,BC205,BG205,BK205,BO205,BS205,BW205,CA205,CE205,CI205)+SUM(AZ205,BD205,BH205,BL205,BP205,BT205,BX205,CB205,CF205,CJ205)</f>
        <v/>
      </c>
      <c r="CN205" s="152">
        <f>SUM(BA205,BE205,BI205,BM205,BQ205,BU205,BY205,CC205,CG205,CK205)</f>
        <v/>
      </c>
      <c r="CO205" s="152">
        <f>IF(AW205&gt;CN$6,NA(),AW205)</f>
        <v/>
      </c>
      <c r="CP205" s="152">
        <f>IF(AW205&gt;CN$6,NA(),CN205)</f>
        <v/>
      </c>
    </row>
    <row r="206">
      <c r="B206" s="152" t="n">
        <v>195</v>
      </c>
      <c r="C206" s="152">
        <f>IF(F205&lt;=0.005,0,F205*(1+C$6))</f>
        <v/>
      </c>
      <c r="D206" s="152">
        <f>MIN(C206,C$7)</f>
        <v/>
      </c>
      <c r="E206" s="152">
        <f>MAX(0,MIN(C206-D206,AQ206))</f>
        <v/>
      </c>
      <c r="F206" s="152">
        <f>C206-D206-E206</f>
        <v/>
      </c>
      <c r="G206" s="152">
        <f>IF(J205&lt;=0.005,0,J205*(1+G$6))</f>
        <v/>
      </c>
      <c r="H206" s="152">
        <f>MIN(G206,G$7)</f>
        <v/>
      </c>
      <c r="I206" s="152">
        <f>MAX(0,MIN(G206-H206,AQ206-(E206)))</f>
        <v/>
      </c>
      <c r="J206" s="152">
        <f>G206-H206-I206</f>
        <v/>
      </c>
      <c r="K206" s="152">
        <f>IF(N205&lt;=0.005,0,N205*(1+K$6))</f>
        <v/>
      </c>
      <c r="L206" s="152">
        <f>MIN(K206,K$7)</f>
        <v/>
      </c>
      <c r="M206" s="152">
        <f>MAX(0,MIN(K206-L206,AQ206-(E206+I206)))</f>
        <v/>
      </c>
      <c r="N206" s="152">
        <f>K206-L206-M206</f>
        <v/>
      </c>
      <c r="O206" s="152">
        <f>IF(R205&lt;=0.005,0,R205*(1+O$6))</f>
        <v/>
      </c>
      <c r="P206" s="152">
        <f>MIN(O206,O$7)</f>
        <v/>
      </c>
      <c r="Q206" s="152">
        <f>MAX(0,MIN(O206-P206,AQ206-(E206+I206+M206)))</f>
        <v/>
      </c>
      <c r="R206" s="152">
        <f>O206-P206-Q206</f>
        <v/>
      </c>
      <c r="S206" s="152">
        <f>IF(V205&lt;=0.005,0,V205*(1+S$6))</f>
        <v/>
      </c>
      <c r="T206" s="152">
        <f>MIN(S206,S$7)</f>
        <v/>
      </c>
      <c r="U206" s="152">
        <f>MAX(0,MIN(S206-T206,AQ206-(E206+I206+M206+Q206)))</f>
        <v/>
      </c>
      <c r="V206" s="152">
        <f>S206-T206-U206</f>
        <v/>
      </c>
      <c r="W206" s="152">
        <f>IF(Z205&lt;=0.005,0,Z205*(1+W$6))</f>
        <v/>
      </c>
      <c r="X206" s="152">
        <f>MIN(W206,W$7)</f>
        <v/>
      </c>
      <c r="Y206" s="152">
        <f>MAX(0,MIN(W206-X206,AQ206-(E206+I206+M206+Q206+U206)))</f>
        <v/>
      </c>
      <c r="Z206" s="152">
        <f>W206-X206-Y206</f>
        <v/>
      </c>
      <c r="AA206" s="152">
        <f>IF(AD205&lt;=0.005,0,AD205*(1+AA$6))</f>
        <v/>
      </c>
      <c r="AB206" s="152">
        <f>MIN(AA206,AA$7)</f>
        <v/>
      </c>
      <c r="AC206" s="152">
        <f>MAX(0,MIN(AA206-AB206,AQ206-(E206+I206+M206+Q206+U206+Y206)))</f>
        <v/>
      </c>
      <c r="AD206" s="152">
        <f>AA206-AB206-AC206</f>
        <v/>
      </c>
      <c r="AE206" s="152">
        <f>IF(AH205&lt;=0.005,0,AH205*(1+AE$6))</f>
        <v/>
      </c>
      <c r="AF206" s="152">
        <f>MIN(AE206,AE$7)</f>
        <v/>
      </c>
      <c r="AG206" s="152">
        <f>MAX(0,MIN(AE206-AF206,AQ206-(E206+I206+M206+Q206+U206+Y206+AC206)))</f>
        <v/>
      </c>
      <c r="AH206" s="152">
        <f>AE206-AF206-AG206</f>
        <v/>
      </c>
      <c r="AI206" s="152">
        <f>IF(AL205&lt;=0.005,0,AL205*(1+AI$6))</f>
        <v/>
      </c>
      <c r="AJ206" s="152">
        <f>MIN(AI206,AI$7)</f>
        <v/>
      </c>
      <c r="AK206" s="152">
        <f>MAX(0,MIN(AI206-AJ206,AQ206-(E206+I206+M206+Q206+U206+Y206+AC206+AG206)))</f>
        <v/>
      </c>
      <c r="AL206" s="152">
        <f>AI206-AJ206-AK206</f>
        <v/>
      </c>
      <c r="AM206" s="152">
        <f>IF(AP205&lt;=0.005,0,AP205*(1+AM$6))</f>
        <v/>
      </c>
      <c r="AN206" s="152">
        <f>MIN(AM206,AM$7)</f>
        <v/>
      </c>
      <c r="AO206" s="152">
        <f>MAX(0,MIN(AM206-AN206,AQ206-(E206+I206+M206+Q206+U206+Y206+AC206+AG206+AK206)))</f>
        <v/>
      </c>
      <c r="AP206" s="152">
        <f>AM206-AN206-AO206</f>
        <v/>
      </c>
      <c r="AQ206" s="152">
        <f>'Debt Payoff'!$C$8-SUM(D206,H206,L206,P206,T206,X206,AB206,AF206,AJ206,AN206)</f>
        <v/>
      </c>
      <c r="AR206" s="152">
        <f>SUM(D206,H206,L206,P206,T206,X206,AB206,AF206,AJ206,AN206)+SUM(E206,I206,M206,Q206,U206,Y206,AC206,AG206,AK206,AO206)</f>
        <v/>
      </c>
      <c r="AS206" s="152">
        <f>SUM(F206,J206,N206,R206,V206,Z206,AD206,AH206,AL206,AP206)</f>
        <v/>
      </c>
      <c r="AT206" s="152">
        <f>IF(B206&gt;AS$6,NA(),B206)</f>
        <v/>
      </c>
      <c r="AU206" s="152">
        <f>IF(B206&gt;AS$6,NA(),AS206)</f>
        <v/>
      </c>
      <c r="AV206" s="152" t="n"/>
      <c r="AW206" s="152" t="n">
        <v>195</v>
      </c>
      <c r="AX206" s="152">
        <f>IF(BA205&lt;=0.005,0,BA205*(1+AX$6))</f>
        <v/>
      </c>
      <c r="AY206" s="152">
        <f>MIN(AX206,AX$7)</f>
        <v/>
      </c>
      <c r="AZ206" s="152">
        <f>MAX(0,MIN(AX206-AY206,CL206))</f>
        <v/>
      </c>
      <c r="BA206" s="152">
        <f>AX206-AY206-AZ206</f>
        <v/>
      </c>
      <c r="BB206" s="152">
        <f>IF(BE205&lt;=0.005,0,BE205*(1+BB$6))</f>
        <v/>
      </c>
      <c r="BC206" s="152">
        <f>MIN(BB206,BB$7)</f>
        <v/>
      </c>
      <c r="BD206" s="152">
        <f>MAX(0,MIN(BB206-BC206,CL206-(AZ206)))</f>
        <v/>
      </c>
      <c r="BE206" s="152">
        <f>BB206-BC206-BD206</f>
        <v/>
      </c>
      <c r="BF206" s="152">
        <f>IF(BI205&lt;=0.005,0,BI205*(1+BF$6))</f>
        <v/>
      </c>
      <c r="BG206" s="152">
        <f>MIN(BF206,BF$7)</f>
        <v/>
      </c>
      <c r="BH206" s="152">
        <f>MAX(0,MIN(BF206-BG206,CL206-(AZ206+BD206)))</f>
        <v/>
      </c>
      <c r="BI206" s="152">
        <f>BF206-BG206-BH206</f>
        <v/>
      </c>
      <c r="BJ206" s="152">
        <f>IF(BM205&lt;=0.005,0,BM205*(1+BJ$6))</f>
        <v/>
      </c>
      <c r="BK206" s="152">
        <f>MIN(BJ206,BJ$7)</f>
        <v/>
      </c>
      <c r="BL206" s="152">
        <f>MAX(0,MIN(BJ206-BK206,CL206-(AZ206+BD206+BH206)))</f>
        <v/>
      </c>
      <c r="BM206" s="152">
        <f>BJ206-BK206-BL206</f>
        <v/>
      </c>
      <c r="BN206" s="152">
        <f>IF(BQ205&lt;=0.005,0,BQ205*(1+BN$6))</f>
        <v/>
      </c>
      <c r="BO206" s="152">
        <f>MIN(BN206,BN$7)</f>
        <v/>
      </c>
      <c r="BP206" s="152">
        <f>MAX(0,MIN(BN206-BO206,CL206-(AZ206+BD206+BH206+BL206)))</f>
        <v/>
      </c>
      <c r="BQ206" s="152">
        <f>BN206-BO206-BP206</f>
        <v/>
      </c>
      <c r="BR206" s="152">
        <f>IF(BU205&lt;=0.005,0,BU205*(1+BR$6))</f>
        <v/>
      </c>
      <c r="BS206" s="152">
        <f>MIN(BR206,BR$7)</f>
        <v/>
      </c>
      <c r="BT206" s="152">
        <f>MAX(0,MIN(BR206-BS206,CL206-(AZ206+BD206+BH206+BL206+BP206)))</f>
        <v/>
      </c>
      <c r="BU206" s="152">
        <f>BR206-BS206-BT206</f>
        <v/>
      </c>
      <c r="BV206" s="152">
        <f>IF(BY205&lt;=0.005,0,BY205*(1+BV$6))</f>
        <v/>
      </c>
      <c r="BW206" s="152">
        <f>MIN(BV206,BV$7)</f>
        <v/>
      </c>
      <c r="BX206" s="152">
        <f>MAX(0,MIN(BV206-BW206,CL206-(AZ206+BD206+BH206+BL206+BP206+BT206)))</f>
        <v/>
      </c>
      <c r="BY206" s="152">
        <f>BV206-BW206-BX206</f>
        <v/>
      </c>
      <c r="BZ206" s="152">
        <f>IF(CC205&lt;=0.005,0,CC205*(1+BZ$6))</f>
        <v/>
      </c>
      <c r="CA206" s="152">
        <f>MIN(BZ206,BZ$7)</f>
        <v/>
      </c>
      <c r="CB206" s="152">
        <f>MAX(0,MIN(BZ206-CA206,CL206-(AZ206+BD206+BH206+BL206+BP206+BT206+BX206)))</f>
        <v/>
      </c>
      <c r="CC206" s="152">
        <f>BZ206-CA206-CB206</f>
        <v/>
      </c>
      <c r="CD206" s="152">
        <f>IF(CG205&lt;=0.005,0,CG205*(1+CD$6))</f>
        <v/>
      </c>
      <c r="CE206" s="152">
        <f>MIN(CD206,CD$7)</f>
        <v/>
      </c>
      <c r="CF206" s="152">
        <f>MAX(0,MIN(CD206-CE206,CL206-(AZ206+BD206+BH206+BL206+BP206+BT206+BX206+CB206)))</f>
        <v/>
      </c>
      <c r="CG206" s="152">
        <f>CD206-CE206-CF206</f>
        <v/>
      </c>
      <c r="CH206" s="152">
        <f>IF(CK205&lt;=0.005,0,CK205*(1+CH$6))</f>
        <v/>
      </c>
      <c r="CI206" s="152">
        <f>MIN(CH206,CH$7)</f>
        <v/>
      </c>
      <c r="CJ206" s="152">
        <f>MAX(0,MIN(CH206-CI206,CL206-(AZ206+BD206+BH206+BL206+BP206+BT206+BX206+CB206+CF206)))</f>
        <v/>
      </c>
      <c r="CK206" s="152">
        <f>CH206-CI206-CJ206</f>
        <v/>
      </c>
      <c r="CL206" s="152">
        <f>'Debt Payoff'!$C$8-SUM(AY206,BC206,BG206,BK206,BO206,BS206,BW206,CA206,CE206,CI206)</f>
        <v/>
      </c>
      <c r="CM206" s="152">
        <f>SUM(AY206,BC206,BG206,BK206,BO206,BS206,BW206,CA206,CE206,CI206)+SUM(AZ206,BD206,BH206,BL206,BP206,BT206,BX206,CB206,CF206,CJ206)</f>
        <v/>
      </c>
      <c r="CN206" s="152">
        <f>SUM(BA206,BE206,BI206,BM206,BQ206,BU206,BY206,CC206,CG206,CK206)</f>
        <v/>
      </c>
      <c r="CO206" s="152">
        <f>IF(AW206&gt;CN$6,NA(),AW206)</f>
        <v/>
      </c>
      <c r="CP206" s="152">
        <f>IF(AW206&gt;CN$6,NA(),CN206)</f>
        <v/>
      </c>
    </row>
    <row r="207">
      <c r="B207" s="152" t="n">
        <v>196</v>
      </c>
      <c r="C207" s="152">
        <f>IF(F206&lt;=0.005,0,F206*(1+C$6))</f>
        <v/>
      </c>
      <c r="D207" s="152">
        <f>MIN(C207,C$7)</f>
        <v/>
      </c>
      <c r="E207" s="152">
        <f>MAX(0,MIN(C207-D207,AQ207))</f>
        <v/>
      </c>
      <c r="F207" s="152">
        <f>C207-D207-E207</f>
        <v/>
      </c>
      <c r="G207" s="152">
        <f>IF(J206&lt;=0.005,0,J206*(1+G$6))</f>
        <v/>
      </c>
      <c r="H207" s="152">
        <f>MIN(G207,G$7)</f>
        <v/>
      </c>
      <c r="I207" s="152">
        <f>MAX(0,MIN(G207-H207,AQ207-(E207)))</f>
        <v/>
      </c>
      <c r="J207" s="152">
        <f>G207-H207-I207</f>
        <v/>
      </c>
      <c r="K207" s="152">
        <f>IF(N206&lt;=0.005,0,N206*(1+K$6))</f>
        <v/>
      </c>
      <c r="L207" s="152">
        <f>MIN(K207,K$7)</f>
        <v/>
      </c>
      <c r="M207" s="152">
        <f>MAX(0,MIN(K207-L207,AQ207-(E207+I207)))</f>
        <v/>
      </c>
      <c r="N207" s="152">
        <f>K207-L207-M207</f>
        <v/>
      </c>
      <c r="O207" s="152">
        <f>IF(R206&lt;=0.005,0,R206*(1+O$6))</f>
        <v/>
      </c>
      <c r="P207" s="152">
        <f>MIN(O207,O$7)</f>
        <v/>
      </c>
      <c r="Q207" s="152">
        <f>MAX(0,MIN(O207-P207,AQ207-(E207+I207+M207)))</f>
        <v/>
      </c>
      <c r="R207" s="152">
        <f>O207-P207-Q207</f>
        <v/>
      </c>
      <c r="S207" s="152">
        <f>IF(V206&lt;=0.005,0,V206*(1+S$6))</f>
        <v/>
      </c>
      <c r="T207" s="152">
        <f>MIN(S207,S$7)</f>
        <v/>
      </c>
      <c r="U207" s="152">
        <f>MAX(0,MIN(S207-T207,AQ207-(E207+I207+M207+Q207)))</f>
        <v/>
      </c>
      <c r="V207" s="152">
        <f>S207-T207-U207</f>
        <v/>
      </c>
      <c r="W207" s="152">
        <f>IF(Z206&lt;=0.005,0,Z206*(1+W$6))</f>
        <v/>
      </c>
      <c r="X207" s="152">
        <f>MIN(W207,W$7)</f>
        <v/>
      </c>
      <c r="Y207" s="152">
        <f>MAX(0,MIN(W207-X207,AQ207-(E207+I207+M207+Q207+U207)))</f>
        <v/>
      </c>
      <c r="Z207" s="152">
        <f>W207-X207-Y207</f>
        <v/>
      </c>
      <c r="AA207" s="152">
        <f>IF(AD206&lt;=0.005,0,AD206*(1+AA$6))</f>
        <v/>
      </c>
      <c r="AB207" s="152">
        <f>MIN(AA207,AA$7)</f>
        <v/>
      </c>
      <c r="AC207" s="152">
        <f>MAX(0,MIN(AA207-AB207,AQ207-(E207+I207+M207+Q207+U207+Y207)))</f>
        <v/>
      </c>
      <c r="AD207" s="152">
        <f>AA207-AB207-AC207</f>
        <v/>
      </c>
      <c r="AE207" s="152">
        <f>IF(AH206&lt;=0.005,0,AH206*(1+AE$6))</f>
        <v/>
      </c>
      <c r="AF207" s="152">
        <f>MIN(AE207,AE$7)</f>
        <v/>
      </c>
      <c r="AG207" s="152">
        <f>MAX(0,MIN(AE207-AF207,AQ207-(E207+I207+M207+Q207+U207+Y207+AC207)))</f>
        <v/>
      </c>
      <c r="AH207" s="152">
        <f>AE207-AF207-AG207</f>
        <v/>
      </c>
      <c r="AI207" s="152">
        <f>IF(AL206&lt;=0.005,0,AL206*(1+AI$6))</f>
        <v/>
      </c>
      <c r="AJ207" s="152">
        <f>MIN(AI207,AI$7)</f>
        <v/>
      </c>
      <c r="AK207" s="152">
        <f>MAX(0,MIN(AI207-AJ207,AQ207-(E207+I207+M207+Q207+U207+Y207+AC207+AG207)))</f>
        <v/>
      </c>
      <c r="AL207" s="152">
        <f>AI207-AJ207-AK207</f>
        <v/>
      </c>
      <c r="AM207" s="152">
        <f>IF(AP206&lt;=0.005,0,AP206*(1+AM$6))</f>
        <v/>
      </c>
      <c r="AN207" s="152">
        <f>MIN(AM207,AM$7)</f>
        <v/>
      </c>
      <c r="AO207" s="152">
        <f>MAX(0,MIN(AM207-AN207,AQ207-(E207+I207+M207+Q207+U207+Y207+AC207+AG207+AK207)))</f>
        <v/>
      </c>
      <c r="AP207" s="152">
        <f>AM207-AN207-AO207</f>
        <v/>
      </c>
      <c r="AQ207" s="152">
        <f>'Debt Payoff'!$C$8-SUM(D207,H207,L207,P207,T207,X207,AB207,AF207,AJ207,AN207)</f>
        <v/>
      </c>
      <c r="AR207" s="152">
        <f>SUM(D207,H207,L207,P207,T207,X207,AB207,AF207,AJ207,AN207)+SUM(E207,I207,M207,Q207,U207,Y207,AC207,AG207,AK207,AO207)</f>
        <v/>
      </c>
      <c r="AS207" s="152">
        <f>SUM(F207,J207,N207,R207,V207,Z207,AD207,AH207,AL207,AP207)</f>
        <v/>
      </c>
      <c r="AT207" s="152">
        <f>IF(B207&gt;AS$6,NA(),B207)</f>
        <v/>
      </c>
      <c r="AU207" s="152">
        <f>IF(B207&gt;AS$6,NA(),AS207)</f>
        <v/>
      </c>
      <c r="AV207" s="152" t="n"/>
      <c r="AW207" s="152" t="n">
        <v>196</v>
      </c>
      <c r="AX207" s="152">
        <f>IF(BA206&lt;=0.005,0,BA206*(1+AX$6))</f>
        <v/>
      </c>
      <c r="AY207" s="152">
        <f>MIN(AX207,AX$7)</f>
        <v/>
      </c>
      <c r="AZ207" s="152">
        <f>MAX(0,MIN(AX207-AY207,CL207))</f>
        <v/>
      </c>
      <c r="BA207" s="152">
        <f>AX207-AY207-AZ207</f>
        <v/>
      </c>
      <c r="BB207" s="152">
        <f>IF(BE206&lt;=0.005,0,BE206*(1+BB$6))</f>
        <v/>
      </c>
      <c r="BC207" s="152">
        <f>MIN(BB207,BB$7)</f>
        <v/>
      </c>
      <c r="BD207" s="152">
        <f>MAX(0,MIN(BB207-BC207,CL207-(AZ207)))</f>
        <v/>
      </c>
      <c r="BE207" s="152">
        <f>BB207-BC207-BD207</f>
        <v/>
      </c>
      <c r="BF207" s="152">
        <f>IF(BI206&lt;=0.005,0,BI206*(1+BF$6))</f>
        <v/>
      </c>
      <c r="BG207" s="152">
        <f>MIN(BF207,BF$7)</f>
        <v/>
      </c>
      <c r="BH207" s="152">
        <f>MAX(0,MIN(BF207-BG207,CL207-(AZ207+BD207)))</f>
        <v/>
      </c>
      <c r="BI207" s="152">
        <f>BF207-BG207-BH207</f>
        <v/>
      </c>
      <c r="BJ207" s="152">
        <f>IF(BM206&lt;=0.005,0,BM206*(1+BJ$6))</f>
        <v/>
      </c>
      <c r="BK207" s="152">
        <f>MIN(BJ207,BJ$7)</f>
        <v/>
      </c>
      <c r="BL207" s="152">
        <f>MAX(0,MIN(BJ207-BK207,CL207-(AZ207+BD207+BH207)))</f>
        <v/>
      </c>
      <c r="BM207" s="152">
        <f>BJ207-BK207-BL207</f>
        <v/>
      </c>
      <c r="BN207" s="152">
        <f>IF(BQ206&lt;=0.005,0,BQ206*(1+BN$6))</f>
        <v/>
      </c>
      <c r="BO207" s="152">
        <f>MIN(BN207,BN$7)</f>
        <v/>
      </c>
      <c r="BP207" s="152">
        <f>MAX(0,MIN(BN207-BO207,CL207-(AZ207+BD207+BH207+BL207)))</f>
        <v/>
      </c>
      <c r="BQ207" s="152">
        <f>BN207-BO207-BP207</f>
        <v/>
      </c>
      <c r="BR207" s="152">
        <f>IF(BU206&lt;=0.005,0,BU206*(1+BR$6))</f>
        <v/>
      </c>
      <c r="BS207" s="152">
        <f>MIN(BR207,BR$7)</f>
        <v/>
      </c>
      <c r="BT207" s="152">
        <f>MAX(0,MIN(BR207-BS207,CL207-(AZ207+BD207+BH207+BL207+BP207)))</f>
        <v/>
      </c>
      <c r="BU207" s="152">
        <f>BR207-BS207-BT207</f>
        <v/>
      </c>
      <c r="BV207" s="152">
        <f>IF(BY206&lt;=0.005,0,BY206*(1+BV$6))</f>
        <v/>
      </c>
      <c r="BW207" s="152">
        <f>MIN(BV207,BV$7)</f>
        <v/>
      </c>
      <c r="BX207" s="152">
        <f>MAX(0,MIN(BV207-BW207,CL207-(AZ207+BD207+BH207+BL207+BP207+BT207)))</f>
        <v/>
      </c>
      <c r="BY207" s="152">
        <f>BV207-BW207-BX207</f>
        <v/>
      </c>
      <c r="BZ207" s="152">
        <f>IF(CC206&lt;=0.005,0,CC206*(1+BZ$6))</f>
        <v/>
      </c>
      <c r="CA207" s="152">
        <f>MIN(BZ207,BZ$7)</f>
        <v/>
      </c>
      <c r="CB207" s="152">
        <f>MAX(0,MIN(BZ207-CA207,CL207-(AZ207+BD207+BH207+BL207+BP207+BT207+BX207)))</f>
        <v/>
      </c>
      <c r="CC207" s="152">
        <f>BZ207-CA207-CB207</f>
        <v/>
      </c>
      <c r="CD207" s="152">
        <f>IF(CG206&lt;=0.005,0,CG206*(1+CD$6))</f>
        <v/>
      </c>
      <c r="CE207" s="152">
        <f>MIN(CD207,CD$7)</f>
        <v/>
      </c>
      <c r="CF207" s="152">
        <f>MAX(0,MIN(CD207-CE207,CL207-(AZ207+BD207+BH207+BL207+BP207+BT207+BX207+CB207)))</f>
        <v/>
      </c>
      <c r="CG207" s="152">
        <f>CD207-CE207-CF207</f>
        <v/>
      </c>
      <c r="CH207" s="152">
        <f>IF(CK206&lt;=0.005,0,CK206*(1+CH$6))</f>
        <v/>
      </c>
      <c r="CI207" s="152">
        <f>MIN(CH207,CH$7)</f>
        <v/>
      </c>
      <c r="CJ207" s="152">
        <f>MAX(0,MIN(CH207-CI207,CL207-(AZ207+BD207+BH207+BL207+BP207+BT207+BX207+CB207+CF207)))</f>
        <v/>
      </c>
      <c r="CK207" s="152">
        <f>CH207-CI207-CJ207</f>
        <v/>
      </c>
      <c r="CL207" s="152">
        <f>'Debt Payoff'!$C$8-SUM(AY207,BC207,BG207,BK207,BO207,BS207,BW207,CA207,CE207,CI207)</f>
        <v/>
      </c>
      <c r="CM207" s="152">
        <f>SUM(AY207,BC207,BG207,BK207,BO207,BS207,BW207,CA207,CE207,CI207)+SUM(AZ207,BD207,BH207,BL207,BP207,BT207,BX207,CB207,CF207,CJ207)</f>
        <v/>
      </c>
      <c r="CN207" s="152">
        <f>SUM(BA207,BE207,BI207,BM207,BQ207,BU207,BY207,CC207,CG207,CK207)</f>
        <v/>
      </c>
      <c r="CO207" s="152">
        <f>IF(AW207&gt;CN$6,NA(),AW207)</f>
        <v/>
      </c>
      <c r="CP207" s="152">
        <f>IF(AW207&gt;CN$6,NA(),CN207)</f>
        <v/>
      </c>
    </row>
    <row r="208">
      <c r="B208" s="152" t="n">
        <v>197</v>
      </c>
      <c r="C208" s="152">
        <f>IF(F207&lt;=0.005,0,F207*(1+C$6))</f>
        <v/>
      </c>
      <c r="D208" s="152">
        <f>MIN(C208,C$7)</f>
        <v/>
      </c>
      <c r="E208" s="152">
        <f>MAX(0,MIN(C208-D208,AQ208))</f>
        <v/>
      </c>
      <c r="F208" s="152">
        <f>C208-D208-E208</f>
        <v/>
      </c>
      <c r="G208" s="152">
        <f>IF(J207&lt;=0.005,0,J207*(1+G$6))</f>
        <v/>
      </c>
      <c r="H208" s="152">
        <f>MIN(G208,G$7)</f>
        <v/>
      </c>
      <c r="I208" s="152">
        <f>MAX(0,MIN(G208-H208,AQ208-(E208)))</f>
        <v/>
      </c>
      <c r="J208" s="152">
        <f>G208-H208-I208</f>
        <v/>
      </c>
      <c r="K208" s="152">
        <f>IF(N207&lt;=0.005,0,N207*(1+K$6))</f>
        <v/>
      </c>
      <c r="L208" s="152">
        <f>MIN(K208,K$7)</f>
        <v/>
      </c>
      <c r="M208" s="152">
        <f>MAX(0,MIN(K208-L208,AQ208-(E208+I208)))</f>
        <v/>
      </c>
      <c r="N208" s="152">
        <f>K208-L208-M208</f>
        <v/>
      </c>
      <c r="O208" s="152">
        <f>IF(R207&lt;=0.005,0,R207*(1+O$6))</f>
        <v/>
      </c>
      <c r="P208" s="152">
        <f>MIN(O208,O$7)</f>
        <v/>
      </c>
      <c r="Q208" s="152">
        <f>MAX(0,MIN(O208-P208,AQ208-(E208+I208+M208)))</f>
        <v/>
      </c>
      <c r="R208" s="152">
        <f>O208-P208-Q208</f>
        <v/>
      </c>
      <c r="S208" s="152">
        <f>IF(V207&lt;=0.005,0,V207*(1+S$6))</f>
        <v/>
      </c>
      <c r="T208" s="152">
        <f>MIN(S208,S$7)</f>
        <v/>
      </c>
      <c r="U208" s="152">
        <f>MAX(0,MIN(S208-T208,AQ208-(E208+I208+M208+Q208)))</f>
        <v/>
      </c>
      <c r="V208" s="152">
        <f>S208-T208-U208</f>
        <v/>
      </c>
      <c r="W208" s="152">
        <f>IF(Z207&lt;=0.005,0,Z207*(1+W$6))</f>
        <v/>
      </c>
      <c r="X208" s="152">
        <f>MIN(W208,W$7)</f>
        <v/>
      </c>
      <c r="Y208" s="152">
        <f>MAX(0,MIN(W208-X208,AQ208-(E208+I208+M208+Q208+U208)))</f>
        <v/>
      </c>
      <c r="Z208" s="152">
        <f>W208-X208-Y208</f>
        <v/>
      </c>
      <c r="AA208" s="152">
        <f>IF(AD207&lt;=0.005,0,AD207*(1+AA$6))</f>
        <v/>
      </c>
      <c r="AB208" s="152">
        <f>MIN(AA208,AA$7)</f>
        <v/>
      </c>
      <c r="AC208" s="152">
        <f>MAX(0,MIN(AA208-AB208,AQ208-(E208+I208+M208+Q208+U208+Y208)))</f>
        <v/>
      </c>
      <c r="AD208" s="152">
        <f>AA208-AB208-AC208</f>
        <v/>
      </c>
      <c r="AE208" s="152">
        <f>IF(AH207&lt;=0.005,0,AH207*(1+AE$6))</f>
        <v/>
      </c>
      <c r="AF208" s="152">
        <f>MIN(AE208,AE$7)</f>
        <v/>
      </c>
      <c r="AG208" s="152">
        <f>MAX(0,MIN(AE208-AF208,AQ208-(E208+I208+M208+Q208+U208+Y208+AC208)))</f>
        <v/>
      </c>
      <c r="AH208" s="152">
        <f>AE208-AF208-AG208</f>
        <v/>
      </c>
      <c r="AI208" s="152">
        <f>IF(AL207&lt;=0.005,0,AL207*(1+AI$6))</f>
        <v/>
      </c>
      <c r="AJ208" s="152">
        <f>MIN(AI208,AI$7)</f>
        <v/>
      </c>
      <c r="AK208" s="152">
        <f>MAX(0,MIN(AI208-AJ208,AQ208-(E208+I208+M208+Q208+U208+Y208+AC208+AG208)))</f>
        <v/>
      </c>
      <c r="AL208" s="152">
        <f>AI208-AJ208-AK208</f>
        <v/>
      </c>
      <c r="AM208" s="152">
        <f>IF(AP207&lt;=0.005,0,AP207*(1+AM$6))</f>
        <v/>
      </c>
      <c r="AN208" s="152">
        <f>MIN(AM208,AM$7)</f>
        <v/>
      </c>
      <c r="AO208" s="152">
        <f>MAX(0,MIN(AM208-AN208,AQ208-(E208+I208+M208+Q208+U208+Y208+AC208+AG208+AK208)))</f>
        <v/>
      </c>
      <c r="AP208" s="152">
        <f>AM208-AN208-AO208</f>
        <v/>
      </c>
      <c r="AQ208" s="152">
        <f>'Debt Payoff'!$C$8-SUM(D208,H208,L208,P208,T208,X208,AB208,AF208,AJ208,AN208)</f>
        <v/>
      </c>
      <c r="AR208" s="152">
        <f>SUM(D208,H208,L208,P208,T208,X208,AB208,AF208,AJ208,AN208)+SUM(E208,I208,M208,Q208,U208,Y208,AC208,AG208,AK208,AO208)</f>
        <v/>
      </c>
      <c r="AS208" s="152">
        <f>SUM(F208,J208,N208,R208,V208,Z208,AD208,AH208,AL208,AP208)</f>
        <v/>
      </c>
      <c r="AT208" s="152">
        <f>IF(B208&gt;AS$6,NA(),B208)</f>
        <v/>
      </c>
      <c r="AU208" s="152">
        <f>IF(B208&gt;AS$6,NA(),AS208)</f>
        <v/>
      </c>
      <c r="AV208" s="152" t="n"/>
      <c r="AW208" s="152" t="n">
        <v>197</v>
      </c>
      <c r="AX208" s="152">
        <f>IF(BA207&lt;=0.005,0,BA207*(1+AX$6))</f>
        <v/>
      </c>
      <c r="AY208" s="152">
        <f>MIN(AX208,AX$7)</f>
        <v/>
      </c>
      <c r="AZ208" s="152">
        <f>MAX(0,MIN(AX208-AY208,CL208))</f>
        <v/>
      </c>
      <c r="BA208" s="152">
        <f>AX208-AY208-AZ208</f>
        <v/>
      </c>
      <c r="BB208" s="152">
        <f>IF(BE207&lt;=0.005,0,BE207*(1+BB$6))</f>
        <v/>
      </c>
      <c r="BC208" s="152">
        <f>MIN(BB208,BB$7)</f>
        <v/>
      </c>
      <c r="BD208" s="152">
        <f>MAX(0,MIN(BB208-BC208,CL208-(AZ208)))</f>
        <v/>
      </c>
      <c r="BE208" s="152">
        <f>BB208-BC208-BD208</f>
        <v/>
      </c>
      <c r="BF208" s="152">
        <f>IF(BI207&lt;=0.005,0,BI207*(1+BF$6))</f>
        <v/>
      </c>
      <c r="BG208" s="152">
        <f>MIN(BF208,BF$7)</f>
        <v/>
      </c>
      <c r="BH208" s="152">
        <f>MAX(0,MIN(BF208-BG208,CL208-(AZ208+BD208)))</f>
        <v/>
      </c>
      <c r="BI208" s="152">
        <f>BF208-BG208-BH208</f>
        <v/>
      </c>
      <c r="BJ208" s="152">
        <f>IF(BM207&lt;=0.005,0,BM207*(1+BJ$6))</f>
        <v/>
      </c>
      <c r="BK208" s="152">
        <f>MIN(BJ208,BJ$7)</f>
        <v/>
      </c>
      <c r="BL208" s="152">
        <f>MAX(0,MIN(BJ208-BK208,CL208-(AZ208+BD208+BH208)))</f>
        <v/>
      </c>
      <c r="BM208" s="152">
        <f>BJ208-BK208-BL208</f>
        <v/>
      </c>
      <c r="BN208" s="152">
        <f>IF(BQ207&lt;=0.005,0,BQ207*(1+BN$6))</f>
        <v/>
      </c>
      <c r="BO208" s="152">
        <f>MIN(BN208,BN$7)</f>
        <v/>
      </c>
      <c r="BP208" s="152">
        <f>MAX(0,MIN(BN208-BO208,CL208-(AZ208+BD208+BH208+BL208)))</f>
        <v/>
      </c>
      <c r="BQ208" s="152">
        <f>BN208-BO208-BP208</f>
        <v/>
      </c>
      <c r="BR208" s="152">
        <f>IF(BU207&lt;=0.005,0,BU207*(1+BR$6))</f>
        <v/>
      </c>
      <c r="BS208" s="152">
        <f>MIN(BR208,BR$7)</f>
        <v/>
      </c>
      <c r="BT208" s="152">
        <f>MAX(0,MIN(BR208-BS208,CL208-(AZ208+BD208+BH208+BL208+BP208)))</f>
        <v/>
      </c>
      <c r="BU208" s="152">
        <f>BR208-BS208-BT208</f>
        <v/>
      </c>
      <c r="BV208" s="152">
        <f>IF(BY207&lt;=0.005,0,BY207*(1+BV$6))</f>
        <v/>
      </c>
      <c r="BW208" s="152">
        <f>MIN(BV208,BV$7)</f>
        <v/>
      </c>
      <c r="BX208" s="152">
        <f>MAX(0,MIN(BV208-BW208,CL208-(AZ208+BD208+BH208+BL208+BP208+BT208)))</f>
        <v/>
      </c>
      <c r="BY208" s="152">
        <f>BV208-BW208-BX208</f>
        <v/>
      </c>
      <c r="BZ208" s="152">
        <f>IF(CC207&lt;=0.005,0,CC207*(1+BZ$6))</f>
        <v/>
      </c>
      <c r="CA208" s="152">
        <f>MIN(BZ208,BZ$7)</f>
        <v/>
      </c>
      <c r="CB208" s="152">
        <f>MAX(0,MIN(BZ208-CA208,CL208-(AZ208+BD208+BH208+BL208+BP208+BT208+BX208)))</f>
        <v/>
      </c>
      <c r="CC208" s="152">
        <f>BZ208-CA208-CB208</f>
        <v/>
      </c>
      <c r="CD208" s="152">
        <f>IF(CG207&lt;=0.005,0,CG207*(1+CD$6))</f>
        <v/>
      </c>
      <c r="CE208" s="152">
        <f>MIN(CD208,CD$7)</f>
        <v/>
      </c>
      <c r="CF208" s="152">
        <f>MAX(0,MIN(CD208-CE208,CL208-(AZ208+BD208+BH208+BL208+BP208+BT208+BX208+CB208)))</f>
        <v/>
      </c>
      <c r="CG208" s="152">
        <f>CD208-CE208-CF208</f>
        <v/>
      </c>
      <c r="CH208" s="152">
        <f>IF(CK207&lt;=0.005,0,CK207*(1+CH$6))</f>
        <v/>
      </c>
      <c r="CI208" s="152">
        <f>MIN(CH208,CH$7)</f>
        <v/>
      </c>
      <c r="CJ208" s="152">
        <f>MAX(0,MIN(CH208-CI208,CL208-(AZ208+BD208+BH208+BL208+BP208+BT208+BX208+CB208+CF208)))</f>
        <v/>
      </c>
      <c r="CK208" s="152">
        <f>CH208-CI208-CJ208</f>
        <v/>
      </c>
      <c r="CL208" s="152">
        <f>'Debt Payoff'!$C$8-SUM(AY208,BC208,BG208,BK208,BO208,BS208,BW208,CA208,CE208,CI208)</f>
        <v/>
      </c>
      <c r="CM208" s="152">
        <f>SUM(AY208,BC208,BG208,BK208,BO208,BS208,BW208,CA208,CE208,CI208)+SUM(AZ208,BD208,BH208,BL208,BP208,BT208,BX208,CB208,CF208,CJ208)</f>
        <v/>
      </c>
      <c r="CN208" s="152">
        <f>SUM(BA208,BE208,BI208,BM208,BQ208,BU208,BY208,CC208,CG208,CK208)</f>
        <v/>
      </c>
      <c r="CO208" s="152">
        <f>IF(AW208&gt;CN$6,NA(),AW208)</f>
        <v/>
      </c>
      <c r="CP208" s="152">
        <f>IF(AW208&gt;CN$6,NA(),CN208)</f>
        <v/>
      </c>
    </row>
    <row r="209">
      <c r="B209" s="152" t="n">
        <v>198</v>
      </c>
      <c r="C209" s="152">
        <f>IF(F208&lt;=0.005,0,F208*(1+C$6))</f>
        <v/>
      </c>
      <c r="D209" s="152">
        <f>MIN(C209,C$7)</f>
        <v/>
      </c>
      <c r="E209" s="152">
        <f>MAX(0,MIN(C209-D209,AQ209))</f>
        <v/>
      </c>
      <c r="F209" s="152">
        <f>C209-D209-E209</f>
        <v/>
      </c>
      <c r="G209" s="152">
        <f>IF(J208&lt;=0.005,0,J208*(1+G$6))</f>
        <v/>
      </c>
      <c r="H209" s="152">
        <f>MIN(G209,G$7)</f>
        <v/>
      </c>
      <c r="I209" s="152">
        <f>MAX(0,MIN(G209-H209,AQ209-(E209)))</f>
        <v/>
      </c>
      <c r="J209" s="152">
        <f>G209-H209-I209</f>
        <v/>
      </c>
      <c r="K209" s="152">
        <f>IF(N208&lt;=0.005,0,N208*(1+K$6))</f>
        <v/>
      </c>
      <c r="L209" s="152">
        <f>MIN(K209,K$7)</f>
        <v/>
      </c>
      <c r="M209" s="152">
        <f>MAX(0,MIN(K209-L209,AQ209-(E209+I209)))</f>
        <v/>
      </c>
      <c r="N209" s="152">
        <f>K209-L209-M209</f>
        <v/>
      </c>
      <c r="O209" s="152">
        <f>IF(R208&lt;=0.005,0,R208*(1+O$6))</f>
        <v/>
      </c>
      <c r="P209" s="152">
        <f>MIN(O209,O$7)</f>
        <v/>
      </c>
      <c r="Q209" s="152">
        <f>MAX(0,MIN(O209-P209,AQ209-(E209+I209+M209)))</f>
        <v/>
      </c>
      <c r="R209" s="152">
        <f>O209-P209-Q209</f>
        <v/>
      </c>
      <c r="S209" s="152">
        <f>IF(V208&lt;=0.005,0,V208*(1+S$6))</f>
        <v/>
      </c>
      <c r="T209" s="152">
        <f>MIN(S209,S$7)</f>
        <v/>
      </c>
      <c r="U209" s="152">
        <f>MAX(0,MIN(S209-T209,AQ209-(E209+I209+M209+Q209)))</f>
        <v/>
      </c>
      <c r="V209" s="152">
        <f>S209-T209-U209</f>
        <v/>
      </c>
      <c r="W209" s="152">
        <f>IF(Z208&lt;=0.005,0,Z208*(1+W$6))</f>
        <v/>
      </c>
      <c r="X209" s="152">
        <f>MIN(W209,W$7)</f>
        <v/>
      </c>
      <c r="Y209" s="152">
        <f>MAX(0,MIN(W209-X209,AQ209-(E209+I209+M209+Q209+U209)))</f>
        <v/>
      </c>
      <c r="Z209" s="152">
        <f>W209-X209-Y209</f>
        <v/>
      </c>
      <c r="AA209" s="152">
        <f>IF(AD208&lt;=0.005,0,AD208*(1+AA$6))</f>
        <v/>
      </c>
      <c r="AB209" s="152">
        <f>MIN(AA209,AA$7)</f>
        <v/>
      </c>
      <c r="AC209" s="152">
        <f>MAX(0,MIN(AA209-AB209,AQ209-(E209+I209+M209+Q209+U209+Y209)))</f>
        <v/>
      </c>
      <c r="AD209" s="152">
        <f>AA209-AB209-AC209</f>
        <v/>
      </c>
      <c r="AE209" s="152">
        <f>IF(AH208&lt;=0.005,0,AH208*(1+AE$6))</f>
        <v/>
      </c>
      <c r="AF209" s="152">
        <f>MIN(AE209,AE$7)</f>
        <v/>
      </c>
      <c r="AG209" s="152">
        <f>MAX(0,MIN(AE209-AF209,AQ209-(E209+I209+M209+Q209+U209+Y209+AC209)))</f>
        <v/>
      </c>
      <c r="AH209" s="152">
        <f>AE209-AF209-AG209</f>
        <v/>
      </c>
      <c r="AI209" s="152">
        <f>IF(AL208&lt;=0.005,0,AL208*(1+AI$6))</f>
        <v/>
      </c>
      <c r="AJ209" s="152">
        <f>MIN(AI209,AI$7)</f>
        <v/>
      </c>
      <c r="AK209" s="152">
        <f>MAX(0,MIN(AI209-AJ209,AQ209-(E209+I209+M209+Q209+U209+Y209+AC209+AG209)))</f>
        <v/>
      </c>
      <c r="AL209" s="152">
        <f>AI209-AJ209-AK209</f>
        <v/>
      </c>
      <c r="AM209" s="152">
        <f>IF(AP208&lt;=0.005,0,AP208*(1+AM$6))</f>
        <v/>
      </c>
      <c r="AN209" s="152">
        <f>MIN(AM209,AM$7)</f>
        <v/>
      </c>
      <c r="AO209" s="152">
        <f>MAX(0,MIN(AM209-AN209,AQ209-(E209+I209+M209+Q209+U209+Y209+AC209+AG209+AK209)))</f>
        <v/>
      </c>
      <c r="AP209" s="152">
        <f>AM209-AN209-AO209</f>
        <v/>
      </c>
      <c r="AQ209" s="152">
        <f>'Debt Payoff'!$C$8-SUM(D209,H209,L209,P209,T209,X209,AB209,AF209,AJ209,AN209)</f>
        <v/>
      </c>
      <c r="AR209" s="152">
        <f>SUM(D209,H209,L209,P209,T209,X209,AB209,AF209,AJ209,AN209)+SUM(E209,I209,M209,Q209,U209,Y209,AC209,AG209,AK209,AO209)</f>
        <v/>
      </c>
      <c r="AS209" s="152">
        <f>SUM(F209,J209,N209,R209,V209,Z209,AD209,AH209,AL209,AP209)</f>
        <v/>
      </c>
      <c r="AT209" s="152">
        <f>IF(B209&gt;AS$6,NA(),B209)</f>
        <v/>
      </c>
      <c r="AU209" s="152">
        <f>IF(B209&gt;AS$6,NA(),AS209)</f>
        <v/>
      </c>
      <c r="AV209" s="152" t="n"/>
      <c r="AW209" s="152" t="n">
        <v>198</v>
      </c>
      <c r="AX209" s="152">
        <f>IF(BA208&lt;=0.005,0,BA208*(1+AX$6))</f>
        <v/>
      </c>
      <c r="AY209" s="152">
        <f>MIN(AX209,AX$7)</f>
        <v/>
      </c>
      <c r="AZ209" s="152">
        <f>MAX(0,MIN(AX209-AY209,CL209))</f>
        <v/>
      </c>
      <c r="BA209" s="152">
        <f>AX209-AY209-AZ209</f>
        <v/>
      </c>
      <c r="BB209" s="152">
        <f>IF(BE208&lt;=0.005,0,BE208*(1+BB$6))</f>
        <v/>
      </c>
      <c r="BC209" s="152">
        <f>MIN(BB209,BB$7)</f>
        <v/>
      </c>
      <c r="BD209" s="152">
        <f>MAX(0,MIN(BB209-BC209,CL209-(AZ209)))</f>
        <v/>
      </c>
      <c r="BE209" s="152">
        <f>BB209-BC209-BD209</f>
        <v/>
      </c>
      <c r="BF209" s="152">
        <f>IF(BI208&lt;=0.005,0,BI208*(1+BF$6))</f>
        <v/>
      </c>
      <c r="BG209" s="152">
        <f>MIN(BF209,BF$7)</f>
        <v/>
      </c>
      <c r="BH209" s="152">
        <f>MAX(0,MIN(BF209-BG209,CL209-(AZ209+BD209)))</f>
        <v/>
      </c>
      <c r="BI209" s="152">
        <f>BF209-BG209-BH209</f>
        <v/>
      </c>
      <c r="BJ209" s="152">
        <f>IF(BM208&lt;=0.005,0,BM208*(1+BJ$6))</f>
        <v/>
      </c>
      <c r="BK209" s="152">
        <f>MIN(BJ209,BJ$7)</f>
        <v/>
      </c>
      <c r="BL209" s="152">
        <f>MAX(0,MIN(BJ209-BK209,CL209-(AZ209+BD209+BH209)))</f>
        <v/>
      </c>
      <c r="BM209" s="152">
        <f>BJ209-BK209-BL209</f>
        <v/>
      </c>
      <c r="BN209" s="152">
        <f>IF(BQ208&lt;=0.005,0,BQ208*(1+BN$6))</f>
        <v/>
      </c>
      <c r="BO209" s="152">
        <f>MIN(BN209,BN$7)</f>
        <v/>
      </c>
      <c r="BP209" s="152">
        <f>MAX(0,MIN(BN209-BO209,CL209-(AZ209+BD209+BH209+BL209)))</f>
        <v/>
      </c>
      <c r="BQ209" s="152">
        <f>BN209-BO209-BP209</f>
        <v/>
      </c>
      <c r="BR209" s="152">
        <f>IF(BU208&lt;=0.005,0,BU208*(1+BR$6))</f>
        <v/>
      </c>
      <c r="BS209" s="152">
        <f>MIN(BR209,BR$7)</f>
        <v/>
      </c>
      <c r="BT209" s="152">
        <f>MAX(0,MIN(BR209-BS209,CL209-(AZ209+BD209+BH209+BL209+BP209)))</f>
        <v/>
      </c>
      <c r="BU209" s="152">
        <f>BR209-BS209-BT209</f>
        <v/>
      </c>
      <c r="BV209" s="152">
        <f>IF(BY208&lt;=0.005,0,BY208*(1+BV$6))</f>
        <v/>
      </c>
      <c r="BW209" s="152">
        <f>MIN(BV209,BV$7)</f>
        <v/>
      </c>
      <c r="BX209" s="152">
        <f>MAX(0,MIN(BV209-BW209,CL209-(AZ209+BD209+BH209+BL209+BP209+BT209)))</f>
        <v/>
      </c>
      <c r="BY209" s="152">
        <f>BV209-BW209-BX209</f>
        <v/>
      </c>
      <c r="BZ209" s="152">
        <f>IF(CC208&lt;=0.005,0,CC208*(1+BZ$6))</f>
        <v/>
      </c>
      <c r="CA209" s="152">
        <f>MIN(BZ209,BZ$7)</f>
        <v/>
      </c>
      <c r="CB209" s="152">
        <f>MAX(0,MIN(BZ209-CA209,CL209-(AZ209+BD209+BH209+BL209+BP209+BT209+BX209)))</f>
        <v/>
      </c>
      <c r="CC209" s="152">
        <f>BZ209-CA209-CB209</f>
        <v/>
      </c>
      <c r="CD209" s="152">
        <f>IF(CG208&lt;=0.005,0,CG208*(1+CD$6))</f>
        <v/>
      </c>
      <c r="CE209" s="152">
        <f>MIN(CD209,CD$7)</f>
        <v/>
      </c>
      <c r="CF209" s="152">
        <f>MAX(0,MIN(CD209-CE209,CL209-(AZ209+BD209+BH209+BL209+BP209+BT209+BX209+CB209)))</f>
        <v/>
      </c>
      <c r="CG209" s="152">
        <f>CD209-CE209-CF209</f>
        <v/>
      </c>
      <c r="CH209" s="152">
        <f>IF(CK208&lt;=0.005,0,CK208*(1+CH$6))</f>
        <v/>
      </c>
      <c r="CI209" s="152">
        <f>MIN(CH209,CH$7)</f>
        <v/>
      </c>
      <c r="CJ209" s="152">
        <f>MAX(0,MIN(CH209-CI209,CL209-(AZ209+BD209+BH209+BL209+BP209+BT209+BX209+CB209+CF209)))</f>
        <v/>
      </c>
      <c r="CK209" s="152">
        <f>CH209-CI209-CJ209</f>
        <v/>
      </c>
      <c r="CL209" s="152">
        <f>'Debt Payoff'!$C$8-SUM(AY209,BC209,BG209,BK209,BO209,BS209,BW209,CA209,CE209,CI209)</f>
        <v/>
      </c>
      <c r="CM209" s="152">
        <f>SUM(AY209,BC209,BG209,BK209,BO209,BS209,BW209,CA209,CE209,CI209)+SUM(AZ209,BD209,BH209,BL209,BP209,BT209,BX209,CB209,CF209,CJ209)</f>
        <v/>
      </c>
      <c r="CN209" s="152">
        <f>SUM(BA209,BE209,BI209,BM209,BQ209,BU209,BY209,CC209,CG209,CK209)</f>
        <v/>
      </c>
      <c r="CO209" s="152">
        <f>IF(AW209&gt;CN$6,NA(),AW209)</f>
        <v/>
      </c>
      <c r="CP209" s="152">
        <f>IF(AW209&gt;CN$6,NA(),CN209)</f>
        <v/>
      </c>
    </row>
    <row r="210">
      <c r="B210" s="152" t="n">
        <v>199</v>
      </c>
      <c r="C210" s="152">
        <f>IF(F209&lt;=0.005,0,F209*(1+C$6))</f>
        <v/>
      </c>
      <c r="D210" s="152">
        <f>MIN(C210,C$7)</f>
        <v/>
      </c>
      <c r="E210" s="152">
        <f>MAX(0,MIN(C210-D210,AQ210))</f>
        <v/>
      </c>
      <c r="F210" s="152">
        <f>C210-D210-E210</f>
        <v/>
      </c>
      <c r="G210" s="152">
        <f>IF(J209&lt;=0.005,0,J209*(1+G$6))</f>
        <v/>
      </c>
      <c r="H210" s="152">
        <f>MIN(G210,G$7)</f>
        <v/>
      </c>
      <c r="I210" s="152">
        <f>MAX(0,MIN(G210-H210,AQ210-(E210)))</f>
        <v/>
      </c>
      <c r="J210" s="152">
        <f>G210-H210-I210</f>
        <v/>
      </c>
      <c r="K210" s="152">
        <f>IF(N209&lt;=0.005,0,N209*(1+K$6))</f>
        <v/>
      </c>
      <c r="L210" s="152">
        <f>MIN(K210,K$7)</f>
        <v/>
      </c>
      <c r="M210" s="152">
        <f>MAX(0,MIN(K210-L210,AQ210-(E210+I210)))</f>
        <v/>
      </c>
      <c r="N210" s="152">
        <f>K210-L210-M210</f>
        <v/>
      </c>
      <c r="O210" s="152">
        <f>IF(R209&lt;=0.005,0,R209*(1+O$6))</f>
        <v/>
      </c>
      <c r="P210" s="152">
        <f>MIN(O210,O$7)</f>
        <v/>
      </c>
      <c r="Q210" s="152">
        <f>MAX(0,MIN(O210-P210,AQ210-(E210+I210+M210)))</f>
        <v/>
      </c>
      <c r="R210" s="152">
        <f>O210-P210-Q210</f>
        <v/>
      </c>
      <c r="S210" s="152">
        <f>IF(V209&lt;=0.005,0,V209*(1+S$6))</f>
        <v/>
      </c>
      <c r="T210" s="152">
        <f>MIN(S210,S$7)</f>
        <v/>
      </c>
      <c r="U210" s="152">
        <f>MAX(0,MIN(S210-T210,AQ210-(E210+I210+M210+Q210)))</f>
        <v/>
      </c>
      <c r="V210" s="152">
        <f>S210-T210-U210</f>
        <v/>
      </c>
      <c r="W210" s="152">
        <f>IF(Z209&lt;=0.005,0,Z209*(1+W$6))</f>
        <v/>
      </c>
      <c r="X210" s="152">
        <f>MIN(W210,W$7)</f>
        <v/>
      </c>
      <c r="Y210" s="152">
        <f>MAX(0,MIN(W210-X210,AQ210-(E210+I210+M210+Q210+U210)))</f>
        <v/>
      </c>
      <c r="Z210" s="152">
        <f>W210-X210-Y210</f>
        <v/>
      </c>
      <c r="AA210" s="152">
        <f>IF(AD209&lt;=0.005,0,AD209*(1+AA$6))</f>
        <v/>
      </c>
      <c r="AB210" s="152">
        <f>MIN(AA210,AA$7)</f>
        <v/>
      </c>
      <c r="AC210" s="152">
        <f>MAX(0,MIN(AA210-AB210,AQ210-(E210+I210+M210+Q210+U210+Y210)))</f>
        <v/>
      </c>
      <c r="AD210" s="152">
        <f>AA210-AB210-AC210</f>
        <v/>
      </c>
      <c r="AE210" s="152">
        <f>IF(AH209&lt;=0.005,0,AH209*(1+AE$6))</f>
        <v/>
      </c>
      <c r="AF210" s="152">
        <f>MIN(AE210,AE$7)</f>
        <v/>
      </c>
      <c r="AG210" s="152">
        <f>MAX(0,MIN(AE210-AF210,AQ210-(E210+I210+M210+Q210+U210+Y210+AC210)))</f>
        <v/>
      </c>
      <c r="AH210" s="152">
        <f>AE210-AF210-AG210</f>
        <v/>
      </c>
      <c r="AI210" s="152">
        <f>IF(AL209&lt;=0.005,0,AL209*(1+AI$6))</f>
        <v/>
      </c>
      <c r="AJ210" s="152">
        <f>MIN(AI210,AI$7)</f>
        <v/>
      </c>
      <c r="AK210" s="152">
        <f>MAX(0,MIN(AI210-AJ210,AQ210-(E210+I210+M210+Q210+U210+Y210+AC210+AG210)))</f>
        <v/>
      </c>
      <c r="AL210" s="152">
        <f>AI210-AJ210-AK210</f>
        <v/>
      </c>
      <c r="AM210" s="152">
        <f>IF(AP209&lt;=0.005,0,AP209*(1+AM$6))</f>
        <v/>
      </c>
      <c r="AN210" s="152">
        <f>MIN(AM210,AM$7)</f>
        <v/>
      </c>
      <c r="AO210" s="152">
        <f>MAX(0,MIN(AM210-AN210,AQ210-(E210+I210+M210+Q210+U210+Y210+AC210+AG210+AK210)))</f>
        <v/>
      </c>
      <c r="AP210" s="152">
        <f>AM210-AN210-AO210</f>
        <v/>
      </c>
      <c r="AQ210" s="152">
        <f>'Debt Payoff'!$C$8-SUM(D210,H210,L210,P210,T210,X210,AB210,AF210,AJ210,AN210)</f>
        <v/>
      </c>
      <c r="AR210" s="152">
        <f>SUM(D210,H210,L210,P210,T210,X210,AB210,AF210,AJ210,AN210)+SUM(E210,I210,M210,Q210,U210,Y210,AC210,AG210,AK210,AO210)</f>
        <v/>
      </c>
      <c r="AS210" s="152">
        <f>SUM(F210,J210,N210,R210,V210,Z210,AD210,AH210,AL210,AP210)</f>
        <v/>
      </c>
      <c r="AT210" s="152">
        <f>IF(B210&gt;AS$6,NA(),B210)</f>
        <v/>
      </c>
      <c r="AU210" s="152">
        <f>IF(B210&gt;AS$6,NA(),AS210)</f>
        <v/>
      </c>
      <c r="AV210" s="152" t="n"/>
      <c r="AW210" s="152" t="n">
        <v>199</v>
      </c>
      <c r="AX210" s="152">
        <f>IF(BA209&lt;=0.005,0,BA209*(1+AX$6))</f>
        <v/>
      </c>
      <c r="AY210" s="152">
        <f>MIN(AX210,AX$7)</f>
        <v/>
      </c>
      <c r="AZ210" s="152">
        <f>MAX(0,MIN(AX210-AY210,CL210))</f>
        <v/>
      </c>
      <c r="BA210" s="152">
        <f>AX210-AY210-AZ210</f>
        <v/>
      </c>
      <c r="BB210" s="152">
        <f>IF(BE209&lt;=0.005,0,BE209*(1+BB$6))</f>
        <v/>
      </c>
      <c r="BC210" s="152">
        <f>MIN(BB210,BB$7)</f>
        <v/>
      </c>
      <c r="BD210" s="152">
        <f>MAX(0,MIN(BB210-BC210,CL210-(AZ210)))</f>
        <v/>
      </c>
      <c r="BE210" s="152">
        <f>BB210-BC210-BD210</f>
        <v/>
      </c>
      <c r="BF210" s="152">
        <f>IF(BI209&lt;=0.005,0,BI209*(1+BF$6))</f>
        <v/>
      </c>
      <c r="BG210" s="152">
        <f>MIN(BF210,BF$7)</f>
        <v/>
      </c>
      <c r="BH210" s="152">
        <f>MAX(0,MIN(BF210-BG210,CL210-(AZ210+BD210)))</f>
        <v/>
      </c>
      <c r="BI210" s="152">
        <f>BF210-BG210-BH210</f>
        <v/>
      </c>
      <c r="BJ210" s="152">
        <f>IF(BM209&lt;=0.005,0,BM209*(1+BJ$6))</f>
        <v/>
      </c>
      <c r="BK210" s="152">
        <f>MIN(BJ210,BJ$7)</f>
        <v/>
      </c>
      <c r="BL210" s="152">
        <f>MAX(0,MIN(BJ210-BK210,CL210-(AZ210+BD210+BH210)))</f>
        <v/>
      </c>
      <c r="BM210" s="152">
        <f>BJ210-BK210-BL210</f>
        <v/>
      </c>
      <c r="BN210" s="152">
        <f>IF(BQ209&lt;=0.005,0,BQ209*(1+BN$6))</f>
        <v/>
      </c>
      <c r="BO210" s="152">
        <f>MIN(BN210,BN$7)</f>
        <v/>
      </c>
      <c r="BP210" s="152">
        <f>MAX(0,MIN(BN210-BO210,CL210-(AZ210+BD210+BH210+BL210)))</f>
        <v/>
      </c>
      <c r="BQ210" s="152">
        <f>BN210-BO210-BP210</f>
        <v/>
      </c>
      <c r="BR210" s="152">
        <f>IF(BU209&lt;=0.005,0,BU209*(1+BR$6))</f>
        <v/>
      </c>
      <c r="BS210" s="152">
        <f>MIN(BR210,BR$7)</f>
        <v/>
      </c>
      <c r="BT210" s="152">
        <f>MAX(0,MIN(BR210-BS210,CL210-(AZ210+BD210+BH210+BL210+BP210)))</f>
        <v/>
      </c>
      <c r="BU210" s="152">
        <f>BR210-BS210-BT210</f>
        <v/>
      </c>
      <c r="BV210" s="152">
        <f>IF(BY209&lt;=0.005,0,BY209*(1+BV$6))</f>
        <v/>
      </c>
      <c r="BW210" s="152">
        <f>MIN(BV210,BV$7)</f>
        <v/>
      </c>
      <c r="BX210" s="152">
        <f>MAX(0,MIN(BV210-BW210,CL210-(AZ210+BD210+BH210+BL210+BP210+BT210)))</f>
        <v/>
      </c>
      <c r="BY210" s="152">
        <f>BV210-BW210-BX210</f>
        <v/>
      </c>
      <c r="BZ210" s="152">
        <f>IF(CC209&lt;=0.005,0,CC209*(1+BZ$6))</f>
        <v/>
      </c>
      <c r="CA210" s="152">
        <f>MIN(BZ210,BZ$7)</f>
        <v/>
      </c>
      <c r="CB210" s="152">
        <f>MAX(0,MIN(BZ210-CA210,CL210-(AZ210+BD210+BH210+BL210+BP210+BT210+BX210)))</f>
        <v/>
      </c>
      <c r="CC210" s="152">
        <f>BZ210-CA210-CB210</f>
        <v/>
      </c>
      <c r="CD210" s="152">
        <f>IF(CG209&lt;=0.005,0,CG209*(1+CD$6))</f>
        <v/>
      </c>
      <c r="CE210" s="152">
        <f>MIN(CD210,CD$7)</f>
        <v/>
      </c>
      <c r="CF210" s="152">
        <f>MAX(0,MIN(CD210-CE210,CL210-(AZ210+BD210+BH210+BL210+BP210+BT210+BX210+CB210)))</f>
        <v/>
      </c>
      <c r="CG210" s="152">
        <f>CD210-CE210-CF210</f>
        <v/>
      </c>
      <c r="CH210" s="152">
        <f>IF(CK209&lt;=0.005,0,CK209*(1+CH$6))</f>
        <v/>
      </c>
      <c r="CI210" s="152">
        <f>MIN(CH210,CH$7)</f>
        <v/>
      </c>
      <c r="CJ210" s="152">
        <f>MAX(0,MIN(CH210-CI210,CL210-(AZ210+BD210+BH210+BL210+BP210+BT210+BX210+CB210+CF210)))</f>
        <v/>
      </c>
      <c r="CK210" s="152">
        <f>CH210-CI210-CJ210</f>
        <v/>
      </c>
      <c r="CL210" s="152">
        <f>'Debt Payoff'!$C$8-SUM(AY210,BC210,BG210,BK210,BO210,BS210,BW210,CA210,CE210,CI210)</f>
        <v/>
      </c>
      <c r="CM210" s="152">
        <f>SUM(AY210,BC210,BG210,BK210,BO210,BS210,BW210,CA210,CE210,CI210)+SUM(AZ210,BD210,BH210,BL210,BP210,BT210,BX210,CB210,CF210,CJ210)</f>
        <v/>
      </c>
      <c r="CN210" s="152">
        <f>SUM(BA210,BE210,BI210,BM210,BQ210,BU210,BY210,CC210,CG210,CK210)</f>
        <v/>
      </c>
      <c r="CO210" s="152">
        <f>IF(AW210&gt;CN$6,NA(),AW210)</f>
        <v/>
      </c>
      <c r="CP210" s="152">
        <f>IF(AW210&gt;CN$6,NA(),CN210)</f>
        <v/>
      </c>
    </row>
    <row r="211">
      <c r="B211" s="152" t="n">
        <v>200</v>
      </c>
      <c r="C211" s="152">
        <f>IF(F210&lt;=0.005,0,F210*(1+C$6))</f>
        <v/>
      </c>
      <c r="D211" s="152">
        <f>MIN(C211,C$7)</f>
        <v/>
      </c>
      <c r="E211" s="152">
        <f>MAX(0,MIN(C211-D211,AQ211))</f>
        <v/>
      </c>
      <c r="F211" s="152">
        <f>C211-D211-E211</f>
        <v/>
      </c>
      <c r="G211" s="152">
        <f>IF(J210&lt;=0.005,0,J210*(1+G$6))</f>
        <v/>
      </c>
      <c r="H211" s="152">
        <f>MIN(G211,G$7)</f>
        <v/>
      </c>
      <c r="I211" s="152">
        <f>MAX(0,MIN(G211-H211,AQ211-(E211)))</f>
        <v/>
      </c>
      <c r="J211" s="152">
        <f>G211-H211-I211</f>
        <v/>
      </c>
      <c r="K211" s="152">
        <f>IF(N210&lt;=0.005,0,N210*(1+K$6))</f>
        <v/>
      </c>
      <c r="L211" s="152">
        <f>MIN(K211,K$7)</f>
        <v/>
      </c>
      <c r="M211" s="152">
        <f>MAX(0,MIN(K211-L211,AQ211-(E211+I211)))</f>
        <v/>
      </c>
      <c r="N211" s="152">
        <f>K211-L211-M211</f>
        <v/>
      </c>
      <c r="O211" s="152">
        <f>IF(R210&lt;=0.005,0,R210*(1+O$6))</f>
        <v/>
      </c>
      <c r="P211" s="152">
        <f>MIN(O211,O$7)</f>
        <v/>
      </c>
      <c r="Q211" s="152">
        <f>MAX(0,MIN(O211-P211,AQ211-(E211+I211+M211)))</f>
        <v/>
      </c>
      <c r="R211" s="152">
        <f>O211-P211-Q211</f>
        <v/>
      </c>
      <c r="S211" s="152">
        <f>IF(V210&lt;=0.005,0,V210*(1+S$6))</f>
        <v/>
      </c>
      <c r="T211" s="152">
        <f>MIN(S211,S$7)</f>
        <v/>
      </c>
      <c r="U211" s="152">
        <f>MAX(0,MIN(S211-T211,AQ211-(E211+I211+M211+Q211)))</f>
        <v/>
      </c>
      <c r="V211" s="152">
        <f>S211-T211-U211</f>
        <v/>
      </c>
      <c r="W211" s="152">
        <f>IF(Z210&lt;=0.005,0,Z210*(1+W$6))</f>
        <v/>
      </c>
      <c r="X211" s="152">
        <f>MIN(W211,W$7)</f>
        <v/>
      </c>
      <c r="Y211" s="152">
        <f>MAX(0,MIN(W211-X211,AQ211-(E211+I211+M211+Q211+U211)))</f>
        <v/>
      </c>
      <c r="Z211" s="152">
        <f>W211-X211-Y211</f>
        <v/>
      </c>
      <c r="AA211" s="152">
        <f>IF(AD210&lt;=0.005,0,AD210*(1+AA$6))</f>
        <v/>
      </c>
      <c r="AB211" s="152">
        <f>MIN(AA211,AA$7)</f>
        <v/>
      </c>
      <c r="AC211" s="152">
        <f>MAX(0,MIN(AA211-AB211,AQ211-(E211+I211+M211+Q211+U211+Y211)))</f>
        <v/>
      </c>
      <c r="AD211" s="152">
        <f>AA211-AB211-AC211</f>
        <v/>
      </c>
      <c r="AE211" s="152">
        <f>IF(AH210&lt;=0.005,0,AH210*(1+AE$6))</f>
        <v/>
      </c>
      <c r="AF211" s="152">
        <f>MIN(AE211,AE$7)</f>
        <v/>
      </c>
      <c r="AG211" s="152">
        <f>MAX(0,MIN(AE211-AF211,AQ211-(E211+I211+M211+Q211+U211+Y211+AC211)))</f>
        <v/>
      </c>
      <c r="AH211" s="152">
        <f>AE211-AF211-AG211</f>
        <v/>
      </c>
      <c r="AI211" s="152">
        <f>IF(AL210&lt;=0.005,0,AL210*(1+AI$6))</f>
        <v/>
      </c>
      <c r="AJ211" s="152">
        <f>MIN(AI211,AI$7)</f>
        <v/>
      </c>
      <c r="AK211" s="152">
        <f>MAX(0,MIN(AI211-AJ211,AQ211-(E211+I211+M211+Q211+U211+Y211+AC211+AG211)))</f>
        <v/>
      </c>
      <c r="AL211" s="152">
        <f>AI211-AJ211-AK211</f>
        <v/>
      </c>
      <c r="AM211" s="152">
        <f>IF(AP210&lt;=0.005,0,AP210*(1+AM$6))</f>
        <v/>
      </c>
      <c r="AN211" s="152">
        <f>MIN(AM211,AM$7)</f>
        <v/>
      </c>
      <c r="AO211" s="152">
        <f>MAX(0,MIN(AM211-AN211,AQ211-(E211+I211+M211+Q211+U211+Y211+AC211+AG211+AK211)))</f>
        <v/>
      </c>
      <c r="AP211" s="152">
        <f>AM211-AN211-AO211</f>
        <v/>
      </c>
      <c r="AQ211" s="152">
        <f>'Debt Payoff'!$C$8-SUM(D211,H211,L211,P211,T211,X211,AB211,AF211,AJ211,AN211)</f>
        <v/>
      </c>
      <c r="AR211" s="152">
        <f>SUM(D211,H211,L211,P211,T211,X211,AB211,AF211,AJ211,AN211)+SUM(E211,I211,M211,Q211,U211,Y211,AC211,AG211,AK211,AO211)</f>
        <v/>
      </c>
      <c r="AS211" s="152">
        <f>SUM(F211,J211,N211,R211,V211,Z211,AD211,AH211,AL211,AP211)</f>
        <v/>
      </c>
      <c r="AT211" s="152">
        <f>IF(B211&gt;AS$6,NA(),B211)</f>
        <v/>
      </c>
      <c r="AU211" s="152">
        <f>IF(B211&gt;AS$6,NA(),AS211)</f>
        <v/>
      </c>
      <c r="AV211" s="152" t="n"/>
      <c r="AW211" s="152" t="n">
        <v>200</v>
      </c>
      <c r="AX211" s="152">
        <f>IF(BA210&lt;=0.005,0,BA210*(1+AX$6))</f>
        <v/>
      </c>
      <c r="AY211" s="152">
        <f>MIN(AX211,AX$7)</f>
        <v/>
      </c>
      <c r="AZ211" s="152">
        <f>MAX(0,MIN(AX211-AY211,CL211))</f>
        <v/>
      </c>
      <c r="BA211" s="152">
        <f>AX211-AY211-AZ211</f>
        <v/>
      </c>
      <c r="BB211" s="152">
        <f>IF(BE210&lt;=0.005,0,BE210*(1+BB$6))</f>
        <v/>
      </c>
      <c r="BC211" s="152">
        <f>MIN(BB211,BB$7)</f>
        <v/>
      </c>
      <c r="BD211" s="152">
        <f>MAX(0,MIN(BB211-BC211,CL211-(AZ211)))</f>
        <v/>
      </c>
      <c r="BE211" s="152">
        <f>BB211-BC211-BD211</f>
        <v/>
      </c>
      <c r="BF211" s="152">
        <f>IF(BI210&lt;=0.005,0,BI210*(1+BF$6))</f>
        <v/>
      </c>
      <c r="BG211" s="152">
        <f>MIN(BF211,BF$7)</f>
        <v/>
      </c>
      <c r="BH211" s="152">
        <f>MAX(0,MIN(BF211-BG211,CL211-(AZ211+BD211)))</f>
        <v/>
      </c>
      <c r="BI211" s="152">
        <f>BF211-BG211-BH211</f>
        <v/>
      </c>
      <c r="BJ211" s="152">
        <f>IF(BM210&lt;=0.005,0,BM210*(1+BJ$6))</f>
        <v/>
      </c>
      <c r="BK211" s="152">
        <f>MIN(BJ211,BJ$7)</f>
        <v/>
      </c>
      <c r="BL211" s="152">
        <f>MAX(0,MIN(BJ211-BK211,CL211-(AZ211+BD211+BH211)))</f>
        <v/>
      </c>
      <c r="BM211" s="152">
        <f>BJ211-BK211-BL211</f>
        <v/>
      </c>
      <c r="BN211" s="152">
        <f>IF(BQ210&lt;=0.005,0,BQ210*(1+BN$6))</f>
        <v/>
      </c>
      <c r="BO211" s="152">
        <f>MIN(BN211,BN$7)</f>
        <v/>
      </c>
      <c r="BP211" s="152">
        <f>MAX(0,MIN(BN211-BO211,CL211-(AZ211+BD211+BH211+BL211)))</f>
        <v/>
      </c>
      <c r="BQ211" s="152">
        <f>BN211-BO211-BP211</f>
        <v/>
      </c>
      <c r="BR211" s="152">
        <f>IF(BU210&lt;=0.005,0,BU210*(1+BR$6))</f>
        <v/>
      </c>
      <c r="BS211" s="152">
        <f>MIN(BR211,BR$7)</f>
        <v/>
      </c>
      <c r="BT211" s="152">
        <f>MAX(0,MIN(BR211-BS211,CL211-(AZ211+BD211+BH211+BL211+BP211)))</f>
        <v/>
      </c>
      <c r="BU211" s="152">
        <f>BR211-BS211-BT211</f>
        <v/>
      </c>
      <c r="BV211" s="152">
        <f>IF(BY210&lt;=0.005,0,BY210*(1+BV$6))</f>
        <v/>
      </c>
      <c r="BW211" s="152">
        <f>MIN(BV211,BV$7)</f>
        <v/>
      </c>
      <c r="BX211" s="152">
        <f>MAX(0,MIN(BV211-BW211,CL211-(AZ211+BD211+BH211+BL211+BP211+BT211)))</f>
        <v/>
      </c>
      <c r="BY211" s="152">
        <f>BV211-BW211-BX211</f>
        <v/>
      </c>
      <c r="BZ211" s="152">
        <f>IF(CC210&lt;=0.005,0,CC210*(1+BZ$6))</f>
        <v/>
      </c>
      <c r="CA211" s="152">
        <f>MIN(BZ211,BZ$7)</f>
        <v/>
      </c>
      <c r="CB211" s="152">
        <f>MAX(0,MIN(BZ211-CA211,CL211-(AZ211+BD211+BH211+BL211+BP211+BT211+BX211)))</f>
        <v/>
      </c>
      <c r="CC211" s="152">
        <f>BZ211-CA211-CB211</f>
        <v/>
      </c>
      <c r="CD211" s="152">
        <f>IF(CG210&lt;=0.005,0,CG210*(1+CD$6))</f>
        <v/>
      </c>
      <c r="CE211" s="152">
        <f>MIN(CD211,CD$7)</f>
        <v/>
      </c>
      <c r="CF211" s="152">
        <f>MAX(0,MIN(CD211-CE211,CL211-(AZ211+BD211+BH211+BL211+BP211+BT211+BX211+CB211)))</f>
        <v/>
      </c>
      <c r="CG211" s="152">
        <f>CD211-CE211-CF211</f>
        <v/>
      </c>
      <c r="CH211" s="152">
        <f>IF(CK210&lt;=0.005,0,CK210*(1+CH$6))</f>
        <v/>
      </c>
      <c r="CI211" s="152">
        <f>MIN(CH211,CH$7)</f>
        <v/>
      </c>
      <c r="CJ211" s="152">
        <f>MAX(0,MIN(CH211-CI211,CL211-(AZ211+BD211+BH211+BL211+BP211+BT211+BX211+CB211+CF211)))</f>
        <v/>
      </c>
      <c r="CK211" s="152">
        <f>CH211-CI211-CJ211</f>
        <v/>
      </c>
      <c r="CL211" s="152">
        <f>'Debt Payoff'!$C$8-SUM(AY211,BC211,BG211,BK211,BO211,BS211,BW211,CA211,CE211,CI211)</f>
        <v/>
      </c>
      <c r="CM211" s="152">
        <f>SUM(AY211,BC211,BG211,BK211,BO211,BS211,BW211,CA211,CE211,CI211)+SUM(AZ211,BD211,BH211,BL211,BP211,BT211,BX211,CB211,CF211,CJ211)</f>
        <v/>
      </c>
      <c r="CN211" s="152">
        <f>SUM(BA211,BE211,BI211,BM211,BQ211,BU211,BY211,CC211,CG211,CK211)</f>
        <v/>
      </c>
      <c r="CO211" s="152">
        <f>IF(AW211&gt;CN$6,NA(),AW211)</f>
        <v/>
      </c>
      <c r="CP211" s="152">
        <f>IF(AW211&gt;CN$6,NA(),CN211)</f>
        <v/>
      </c>
    </row>
    <row r="212">
      <c r="B212" s="152" t="n">
        <v>201</v>
      </c>
      <c r="C212" s="152">
        <f>IF(F211&lt;=0.005,0,F211*(1+C$6))</f>
        <v/>
      </c>
      <c r="D212" s="152">
        <f>MIN(C212,C$7)</f>
        <v/>
      </c>
      <c r="E212" s="152">
        <f>MAX(0,MIN(C212-D212,AQ212))</f>
        <v/>
      </c>
      <c r="F212" s="152">
        <f>C212-D212-E212</f>
        <v/>
      </c>
      <c r="G212" s="152">
        <f>IF(J211&lt;=0.005,0,J211*(1+G$6))</f>
        <v/>
      </c>
      <c r="H212" s="152">
        <f>MIN(G212,G$7)</f>
        <v/>
      </c>
      <c r="I212" s="152">
        <f>MAX(0,MIN(G212-H212,AQ212-(E212)))</f>
        <v/>
      </c>
      <c r="J212" s="152">
        <f>G212-H212-I212</f>
        <v/>
      </c>
      <c r="K212" s="152">
        <f>IF(N211&lt;=0.005,0,N211*(1+K$6))</f>
        <v/>
      </c>
      <c r="L212" s="152">
        <f>MIN(K212,K$7)</f>
        <v/>
      </c>
      <c r="M212" s="152">
        <f>MAX(0,MIN(K212-L212,AQ212-(E212+I212)))</f>
        <v/>
      </c>
      <c r="N212" s="152">
        <f>K212-L212-M212</f>
        <v/>
      </c>
      <c r="O212" s="152">
        <f>IF(R211&lt;=0.005,0,R211*(1+O$6))</f>
        <v/>
      </c>
      <c r="P212" s="152">
        <f>MIN(O212,O$7)</f>
        <v/>
      </c>
      <c r="Q212" s="152">
        <f>MAX(0,MIN(O212-P212,AQ212-(E212+I212+M212)))</f>
        <v/>
      </c>
      <c r="R212" s="152">
        <f>O212-P212-Q212</f>
        <v/>
      </c>
      <c r="S212" s="152">
        <f>IF(V211&lt;=0.005,0,V211*(1+S$6))</f>
        <v/>
      </c>
      <c r="T212" s="152">
        <f>MIN(S212,S$7)</f>
        <v/>
      </c>
      <c r="U212" s="152">
        <f>MAX(0,MIN(S212-T212,AQ212-(E212+I212+M212+Q212)))</f>
        <v/>
      </c>
      <c r="V212" s="152">
        <f>S212-T212-U212</f>
        <v/>
      </c>
      <c r="W212" s="152">
        <f>IF(Z211&lt;=0.005,0,Z211*(1+W$6))</f>
        <v/>
      </c>
      <c r="X212" s="152">
        <f>MIN(W212,W$7)</f>
        <v/>
      </c>
      <c r="Y212" s="152">
        <f>MAX(0,MIN(W212-X212,AQ212-(E212+I212+M212+Q212+U212)))</f>
        <v/>
      </c>
      <c r="Z212" s="152">
        <f>W212-X212-Y212</f>
        <v/>
      </c>
      <c r="AA212" s="152">
        <f>IF(AD211&lt;=0.005,0,AD211*(1+AA$6))</f>
        <v/>
      </c>
      <c r="AB212" s="152">
        <f>MIN(AA212,AA$7)</f>
        <v/>
      </c>
      <c r="AC212" s="152">
        <f>MAX(0,MIN(AA212-AB212,AQ212-(E212+I212+M212+Q212+U212+Y212)))</f>
        <v/>
      </c>
      <c r="AD212" s="152">
        <f>AA212-AB212-AC212</f>
        <v/>
      </c>
      <c r="AE212" s="152">
        <f>IF(AH211&lt;=0.005,0,AH211*(1+AE$6))</f>
        <v/>
      </c>
      <c r="AF212" s="152">
        <f>MIN(AE212,AE$7)</f>
        <v/>
      </c>
      <c r="AG212" s="152">
        <f>MAX(0,MIN(AE212-AF212,AQ212-(E212+I212+M212+Q212+U212+Y212+AC212)))</f>
        <v/>
      </c>
      <c r="AH212" s="152">
        <f>AE212-AF212-AG212</f>
        <v/>
      </c>
      <c r="AI212" s="152">
        <f>IF(AL211&lt;=0.005,0,AL211*(1+AI$6))</f>
        <v/>
      </c>
      <c r="AJ212" s="152">
        <f>MIN(AI212,AI$7)</f>
        <v/>
      </c>
      <c r="AK212" s="152">
        <f>MAX(0,MIN(AI212-AJ212,AQ212-(E212+I212+M212+Q212+U212+Y212+AC212+AG212)))</f>
        <v/>
      </c>
      <c r="AL212" s="152">
        <f>AI212-AJ212-AK212</f>
        <v/>
      </c>
      <c r="AM212" s="152">
        <f>IF(AP211&lt;=0.005,0,AP211*(1+AM$6))</f>
        <v/>
      </c>
      <c r="AN212" s="152">
        <f>MIN(AM212,AM$7)</f>
        <v/>
      </c>
      <c r="AO212" s="152">
        <f>MAX(0,MIN(AM212-AN212,AQ212-(E212+I212+M212+Q212+U212+Y212+AC212+AG212+AK212)))</f>
        <v/>
      </c>
      <c r="AP212" s="152">
        <f>AM212-AN212-AO212</f>
        <v/>
      </c>
      <c r="AQ212" s="152">
        <f>'Debt Payoff'!$C$8-SUM(D212,H212,L212,P212,T212,X212,AB212,AF212,AJ212,AN212)</f>
        <v/>
      </c>
      <c r="AR212" s="152">
        <f>SUM(D212,H212,L212,P212,T212,X212,AB212,AF212,AJ212,AN212)+SUM(E212,I212,M212,Q212,U212,Y212,AC212,AG212,AK212,AO212)</f>
        <v/>
      </c>
      <c r="AS212" s="152">
        <f>SUM(F212,J212,N212,R212,V212,Z212,AD212,AH212,AL212,AP212)</f>
        <v/>
      </c>
      <c r="AT212" s="152">
        <f>IF(B212&gt;AS$6,NA(),B212)</f>
        <v/>
      </c>
      <c r="AU212" s="152">
        <f>IF(B212&gt;AS$6,NA(),AS212)</f>
        <v/>
      </c>
      <c r="AV212" s="152" t="n"/>
      <c r="AW212" s="152" t="n">
        <v>201</v>
      </c>
      <c r="AX212" s="152">
        <f>IF(BA211&lt;=0.005,0,BA211*(1+AX$6))</f>
        <v/>
      </c>
      <c r="AY212" s="152">
        <f>MIN(AX212,AX$7)</f>
        <v/>
      </c>
      <c r="AZ212" s="152">
        <f>MAX(0,MIN(AX212-AY212,CL212))</f>
        <v/>
      </c>
      <c r="BA212" s="152">
        <f>AX212-AY212-AZ212</f>
        <v/>
      </c>
      <c r="BB212" s="152">
        <f>IF(BE211&lt;=0.005,0,BE211*(1+BB$6))</f>
        <v/>
      </c>
      <c r="BC212" s="152">
        <f>MIN(BB212,BB$7)</f>
        <v/>
      </c>
      <c r="BD212" s="152">
        <f>MAX(0,MIN(BB212-BC212,CL212-(AZ212)))</f>
        <v/>
      </c>
      <c r="BE212" s="152">
        <f>BB212-BC212-BD212</f>
        <v/>
      </c>
      <c r="BF212" s="152">
        <f>IF(BI211&lt;=0.005,0,BI211*(1+BF$6))</f>
        <v/>
      </c>
      <c r="BG212" s="152">
        <f>MIN(BF212,BF$7)</f>
        <v/>
      </c>
      <c r="BH212" s="152">
        <f>MAX(0,MIN(BF212-BG212,CL212-(AZ212+BD212)))</f>
        <v/>
      </c>
      <c r="BI212" s="152">
        <f>BF212-BG212-BH212</f>
        <v/>
      </c>
      <c r="BJ212" s="152">
        <f>IF(BM211&lt;=0.005,0,BM211*(1+BJ$6))</f>
        <v/>
      </c>
      <c r="BK212" s="152">
        <f>MIN(BJ212,BJ$7)</f>
        <v/>
      </c>
      <c r="BL212" s="152">
        <f>MAX(0,MIN(BJ212-BK212,CL212-(AZ212+BD212+BH212)))</f>
        <v/>
      </c>
      <c r="BM212" s="152">
        <f>BJ212-BK212-BL212</f>
        <v/>
      </c>
      <c r="BN212" s="152">
        <f>IF(BQ211&lt;=0.005,0,BQ211*(1+BN$6))</f>
        <v/>
      </c>
      <c r="BO212" s="152">
        <f>MIN(BN212,BN$7)</f>
        <v/>
      </c>
      <c r="BP212" s="152">
        <f>MAX(0,MIN(BN212-BO212,CL212-(AZ212+BD212+BH212+BL212)))</f>
        <v/>
      </c>
      <c r="BQ212" s="152">
        <f>BN212-BO212-BP212</f>
        <v/>
      </c>
      <c r="BR212" s="152">
        <f>IF(BU211&lt;=0.005,0,BU211*(1+BR$6))</f>
        <v/>
      </c>
      <c r="BS212" s="152">
        <f>MIN(BR212,BR$7)</f>
        <v/>
      </c>
      <c r="BT212" s="152">
        <f>MAX(0,MIN(BR212-BS212,CL212-(AZ212+BD212+BH212+BL212+BP212)))</f>
        <v/>
      </c>
      <c r="BU212" s="152">
        <f>BR212-BS212-BT212</f>
        <v/>
      </c>
      <c r="BV212" s="152">
        <f>IF(BY211&lt;=0.005,0,BY211*(1+BV$6))</f>
        <v/>
      </c>
      <c r="BW212" s="152">
        <f>MIN(BV212,BV$7)</f>
        <v/>
      </c>
      <c r="BX212" s="152">
        <f>MAX(0,MIN(BV212-BW212,CL212-(AZ212+BD212+BH212+BL212+BP212+BT212)))</f>
        <v/>
      </c>
      <c r="BY212" s="152">
        <f>BV212-BW212-BX212</f>
        <v/>
      </c>
      <c r="BZ212" s="152">
        <f>IF(CC211&lt;=0.005,0,CC211*(1+BZ$6))</f>
        <v/>
      </c>
      <c r="CA212" s="152">
        <f>MIN(BZ212,BZ$7)</f>
        <v/>
      </c>
      <c r="CB212" s="152">
        <f>MAX(0,MIN(BZ212-CA212,CL212-(AZ212+BD212+BH212+BL212+BP212+BT212+BX212)))</f>
        <v/>
      </c>
      <c r="CC212" s="152">
        <f>BZ212-CA212-CB212</f>
        <v/>
      </c>
      <c r="CD212" s="152">
        <f>IF(CG211&lt;=0.005,0,CG211*(1+CD$6))</f>
        <v/>
      </c>
      <c r="CE212" s="152">
        <f>MIN(CD212,CD$7)</f>
        <v/>
      </c>
      <c r="CF212" s="152">
        <f>MAX(0,MIN(CD212-CE212,CL212-(AZ212+BD212+BH212+BL212+BP212+BT212+BX212+CB212)))</f>
        <v/>
      </c>
      <c r="CG212" s="152">
        <f>CD212-CE212-CF212</f>
        <v/>
      </c>
      <c r="CH212" s="152">
        <f>IF(CK211&lt;=0.005,0,CK211*(1+CH$6))</f>
        <v/>
      </c>
      <c r="CI212" s="152">
        <f>MIN(CH212,CH$7)</f>
        <v/>
      </c>
      <c r="CJ212" s="152">
        <f>MAX(0,MIN(CH212-CI212,CL212-(AZ212+BD212+BH212+BL212+BP212+BT212+BX212+CB212+CF212)))</f>
        <v/>
      </c>
      <c r="CK212" s="152">
        <f>CH212-CI212-CJ212</f>
        <v/>
      </c>
      <c r="CL212" s="152">
        <f>'Debt Payoff'!$C$8-SUM(AY212,BC212,BG212,BK212,BO212,BS212,BW212,CA212,CE212,CI212)</f>
        <v/>
      </c>
      <c r="CM212" s="152">
        <f>SUM(AY212,BC212,BG212,BK212,BO212,BS212,BW212,CA212,CE212,CI212)+SUM(AZ212,BD212,BH212,BL212,BP212,BT212,BX212,CB212,CF212,CJ212)</f>
        <v/>
      </c>
      <c r="CN212" s="152">
        <f>SUM(BA212,BE212,BI212,BM212,BQ212,BU212,BY212,CC212,CG212,CK212)</f>
        <v/>
      </c>
      <c r="CO212" s="152">
        <f>IF(AW212&gt;CN$6,NA(),AW212)</f>
        <v/>
      </c>
      <c r="CP212" s="152">
        <f>IF(AW212&gt;CN$6,NA(),CN212)</f>
        <v/>
      </c>
    </row>
    <row r="213">
      <c r="B213" s="152" t="n">
        <v>202</v>
      </c>
      <c r="C213" s="152">
        <f>IF(F212&lt;=0.005,0,F212*(1+C$6))</f>
        <v/>
      </c>
      <c r="D213" s="152">
        <f>MIN(C213,C$7)</f>
        <v/>
      </c>
      <c r="E213" s="152">
        <f>MAX(0,MIN(C213-D213,AQ213))</f>
        <v/>
      </c>
      <c r="F213" s="152">
        <f>C213-D213-E213</f>
        <v/>
      </c>
      <c r="G213" s="152">
        <f>IF(J212&lt;=0.005,0,J212*(1+G$6))</f>
        <v/>
      </c>
      <c r="H213" s="152">
        <f>MIN(G213,G$7)</f>
        <v/>
      </c>
      <c r="I213" s="152">
        <f>MAX(0,MIN(G213-H213,AQ213-(E213)))</f>
        <v/>
      </c>
      <c r="J213" s="152">
        <f>G213-H213-I213</f>
        <v/>
      </c>
      <c r="K213" s="152">
        <f>IF(N212&lt;=0.005,0,N212*(1+K$6))</f>
        <v/>
      </c>
      <c r="L213" s="152">
        <f>MIN(K213,K$7)</f>
        <v/>
      </c>
      <c r="M213" s="152">
        <f>MAX(0,MIN(K213-L213,AQ213-(E213+I213)))</f>
        <v/>
      </c>
      <c r="N213" s="152">
        <f>K213-L213-M213</f>
        <v/>
      </c>
      <c r="O213" s="152">
        <f>IF(R212&lt;=0.005,0,R212*(1+O$6))</f>
        <v/>
      </c>
      <c r="P213" s="152">
        <f>MIN(O213,O$7)</f>
        <v/>
      </c>
      <c r="Q213" s="152">
        <f>MAX(0,MIN(O213-P213,AQ213-(E213+I213+M213)))</f>
        <v/>
      </c>
      <c r="R213" s="152">
        <f>O213-P213-Q213</f>
        <v/>
      </c>
      <c r="S213" s="152">
        <f>IF(V212&lt;=0.005,0,V212*(1+S$6))</f>
        <v/>
      </c>
      <c r="T213" s="152">
        <f>MIN(S213,S$7)</f>
        <v/>
      </c>
      <c r="U213" s="152">
        <f>MAX(0,MIN(S213-T213,AQ213-(E213+I213+M213+Q213)))</f>
        <v/>
      </c>
      <c r="V213" s="152">
        <f>S213-T213-U213</f>
        <v/>
      </c>
      <c r="W213" s="152">
        <f>IF(Z212&lt;=0.005,0,Z212*(1+W$6))</f>
        <v/>
      </c>
      <c r="X213" s="152">
        <f>MIN(W213,W$7)</f>
        <v/>
      </c>
      <c r="Y213" s="152">
        <f>MAX(0,MIN(W213-X213,AQ213-(E213+I213+M213+Q213+U213)))</f>
        <v/>
      </c>
      <c r="Z213" s="152">
        <f>W213-X213-Y213</f>
        <v/>
      </c>
      <c r="AA213" s="152">
        <f>IF(AD212&lt;=0.005,0,AD212*(1+AA$6))</f>
        <v/>
      </c>
      <c r="AB213" s="152">
        <f>MIN(AA213,AA$7)</f>
        <v/>
      </c>
      <c r="AC213" s="152">
        <f>MAX(0,MIN(AA213-AB213,AQ213-(E213+I213+M213+Q213+U213+Y213)))</f>
        <v/>
      </c>
      <c r="AD213" s="152">
        <f>AA213-AB213-AC213</f>
        <v/>
      </c>
      <c r="AE213" s="152">
        <f>IF(AH212&lt;=0.005,0,AH212*(1+AE$6))</f>
        <v/>
      </c>
      <c r="AF213" s="152">
        <f>MIN(AE213,AE$7)</f>
        <v/>
      </c>
      <c r="AG213" s="152">
        <f>MAX(0,MIN(AE213-AF213,AQ213-(E213+I213+M213+Q213+U213+Y213+AC213)))</f>
        <v/>
      </c>
      <c r="AH213" s="152">
        <f>AE213-AF213-AG213</f>
        <v/>
      </c>
      <c r="AI213" s="152">
        <f>IF(AL212&lt;=0.005,0,AL212*(1+AI$6))</f>
        <v/>
      </c>
      <c r="AJ213" s="152">
        <f>MIN(AI213,AI$7)</f>
        <v/>
      </c>
      <c r="AK213" s="152">
        <f>MAX(0,MIN(AI213-AJ213,AQ213-(E213+I213+M213+Q213+U213+Y213+AC213+AG213)))</f>
        <v/>
      </c>
      <c r="AL213" s="152">
        <f>AI213-AJ213-AK213</f>
        <v/>
      </c>
      <c r="AM213" s="152">
        <f>IF(AP212&lt;=0.005,0,AP212*(1+AM$6))</f>
        <v/>
      </c>
      <c r="AN213" s="152">
        <f>MIN(AM213,AM$7)</f>
        <v/>
      </c>
      <c r="AO213" s="152">
        <f>MAX(0,MIN(AM213-AN213,AQ213-(E213+I213+M213+Q213+U213+Y213+AC213+AG213+AK213)))</f>
        <v/>
      </c>
      <c r="AP213" s="152">
        <f>AM213-AN213-AO213</f>
        <v/>
      </c>
      <c r="AQ213" s="152">
        <f>'Debt Payoff'!$C$8-SUM(D213,H213,L213,P213,T213,X213,AB213,AF213,AJ213,AN213)</f>
        <v/>
      </c>
      <c r="AR213" s="152">
        <f>SUM(D213,H213,L213,P213,T213,X213,AB213,AF213,AJ213,AN213)+SUM(E213,I213,M213,Q213,U213,Y213,AC213,AG213,AK213,AO213)</f>
        <v/>
      </c>
      <c r="AS213" s="152">
        <f>SUM(F213,J213,N213,R213,V213,Z213,AD213,AH213,AL213,AP213)</f>
        <v/>
      </c>
      <c r="AT213" s="152">
        <f>IF(B213&gt;AS$6,NA(),B213)</f>
        <v/>
      </c>
      <c r="AU213" s="152">
        <f>IF(B213&gt;AS$6,NA(),AS213)</f>
        <v/>
      </c>
      <c r="AV213" s="152" t="n"/>
      <c r="AW213" s="152" t="n">
        <v>202</v>
      </c>
      <c r="AX213" s="152">
        <f>IF(BA212&lt;=0.005,0,BA212*(1+AX$6))</f>
        <v/>
      </c>
      <c r="AY213" s="152">
        <f>MIN(AX213,AX$7)</f>
        <v/>
      </c>
      <c r="AZ213" s="152">
        <f>MAX(0,MIN(AX213-AY213,CL213))</f>
        <v/>
      </c>
      <c r="BA213" s="152">
        <f>AX213-AY213-AZ213</f>
        <v/>
      </c>
      <c r="BB213" s="152">
        <f>IF(BE212&lt;=0.005,0,BE212*(1+BB$6))</f>
        <v/>
      </c>
      <c r="BC213" s="152">
        <f>MIN(BB213,BB$7)</f>
        <v/>
      </c>
      <c r="BD213" s="152">
        <f>MAX(0,MIN(BB213-BC213,CL213-(AZ213)))</f>
        <v/>
      </c>
      <c r="BE213" s="152">
        <f>BB213-BC213-BD213</f>
        <v/>
      </c>
      <c r="BF213" s="152">
        <f>IF(BI212&lt;=0.005,0,BI212*(1+BF$6))</f>
        <v/>
      </c>
      <c r="BG213" s="152">
        <f>MIN(BF213,BF$7)</f>
        <v/>
      </c>
      <c r="BH213" s="152">
        <f>MAX(0,MIN(BF213-BG213,CL213-(AZ213+BD213)))</f>
        <v/>
      </c>
      <c r="BI213" s="152">
        <f>BF213-BG213-BH213</f>
        <v/>
      </c>
      <c r="BJ213" s="152">
        <f>IF(BM212&lt;=0.005,0,BM212*(1+BJ$6))</f>
        <v/>
      </c>
      <c r="BK213" s="152">
        <f>MIN(BJ213,BJ$7)</f>
        <v/>
      </c>
      <c r="BL213" s="152">
        <f>MAX(0,MIN(BJ213-BK213,CL213-(AZ213+BD213+BH213)))</f>
        <v/>
      </c>
      <c r="BM213" s="152">
        <f>BJ213-BK213-BL213</f>
        <v/>
      </c>
      <c r="BN213" s="152">
        <f>IF(BQ212&lt;=0.005,0,BQ212*(1+BN$6))</f>
        <v/>
      </c>
      <c r="BO213" s="152">
        <f>MIN(BN213,BN$7)</f>
        <v/>
      </c>
      <c r="BP213" s="152">
        <f>MAX(0,MIN(BN213-BO213,CL213-(AZ213+BD213+BH213+BL213)))</f>
        <v/>
      </c>
      <c r="BQ213" s="152">
        <f>BN213-BO213-BP213</f>
        <v/>
      </c>
      <c r="BR213" s="152">
        <f>IF(BU212&lt;=0.005,0,BU212*(1+BR$6))</f>
        <v/>
      </c>
      <c r="BS213" s="152">
        <f>MIN(BR213,BR$7)</f>
        <v/>
      </c>
      <c r="BT213" s="152">
        <f>MAX(0,MIN(BR213-BS213,CL213-(AZ213+BD213+BH213+BL213+BP213)))</f>
        <v/>
      </c>
      <c r="BU213" s="152">
        <f>BR213-BS213-BT213</f>
        <v/>
      </c>
      <c r="BV213" s="152">
        <f>IF(BY212&lt;=0.005,0,BY212*(1+BV$6))</f>
        <v/>
      </c>
      <c r="BW213" s="152">
        <f>MIN(BV213,BV$7)</f>
        <v/>
      </c>
      <c r="BX213" s="152">
        <f>MAX(0,MIN(BV213-BW213,CL213-(AZ213+BD213+BH213+BL213+BP213+BT213)))</f>
        <v/>
      </c>
      <c r="BY213" s="152">
        <f>BV213-BW213-BX213</f>
        <v/>
      </c>
      <c r="BZ213" s="152">
        <f>IF(CC212&lt;=0.005,0,CC212*(1+BZ$6))</f>
        <v/>
      </c>
      <c r="CA213" s="152">
        <f>MIN(BZ213,BZ$7)</f>
        <v/>
      </c>
      <c r="CB213" s="152">
        <f>MAX(0,MIN(BZ213-CA213,CL213-(AZ213+BD213+BH213+BL213+BP213+BT213+BX213)))</f>
        <v/>
      </c>
      <c r="CC213" s="152">
        <f>BZ213-CA213-CB213</f>
        <v/>
      </c>
      <c r="CD213" s="152">
        <f>IF(CG212&lt;=0.005,0,CG212*(1+CD$6))</f>
        <v/>
      </c>
      <c r="CE213" s="152">
        <f>MIN(CD213,CD$7)</f>
        <v/>
      </c>
      <c r="CF213" s="152">
        <f>MAX(0,MIN(CD213-CE213,CL213-(AZ213+BD213+BH213+BL213+BP213+BT213+BX213+CB213)))</f>
        <v/>
      </c>
      <c r="CG213" s="152">
        <f>CD213-CE213-CF213</f>
        <v/>
      </c>
      <c r="CH213" s="152">
        <f>IF(CK212&lt;=0.005,0,CK212*(1+CH$6))</f>
        <v/>
      </c>
      <c r="CI213" s="152">
        <f>MIN(CH213,CH$7)</f>
        <v/>
      </c>
      <c r="CJ213" s="152">
        <f>MAX(0,MIN(CH213-CI213,CL213-(AZ213+BD213+BH213+BL213+BP213+BT213+BX213+CB213+CF213)))</f>
        <v/>
      </c>
      <c r="CK213" s="152">
        <f>CH213-CI213-CJ213</f>
        <v/>
      </c>
      <c r="CL213" s="152">
        <f>'Debt Payoff'!$C$8-SUM(AY213,BC213,BG213,BK213,BO213,BS213,BW213,CA213,CE213,CI213)</f>
        <v/>
      </c>
      <c r="CM213" s="152">
        <f>SUM(AY213,BC213,BG213,BK213,BO213,BS213,BW213,CA213,CE213,CI213)+SUM(AZ213,BD213,BH213,BL213,BP213,BT213,BX213,CB213,CF213,CJ213)</f>
        <v/>
      </c>
      <c r="CN213" s="152">
        <f>SUM(BA213,BE213,BI213,BM213,BQ213,BU213,BY213,CC213,CG213,CK213)</f>
        <v/>
      </c>
      <c r="CO213" s="152">
        <f>IF(AW213&gt;CN$6,NA(),AW213)</f>
        <v/>
      </c>
      <c r="CP213" s="152">
        <f>IF(AW213&gt;CN$6,NA(),CN213)</f>
        <v/>
      </c>
    </row>
    <row r="214">
      <c r="B214" s="152" t="n">
        <v>203</v>
      </c>
      <c r="C214" s="152">
        <f>IF(F213&lt;=0.005,0,F213*(1+C$6))</f>
        <v/>
      </c>
      <c r="D214" s="152">
        <f>MIN(C214,C$7)</f>
        <v/>
      </c>
      <c r="E214" s="152">
        <f>MAX(0,MIN(C214-D214,AQ214))</f>
        <v/>
      </c>
      <c r="F214" s="152">
        <f>C214-D214-E214</f>
        <v/>
      </c>
      <c r="G214" s="152">
        <f>IF(J213&lt;=0.005,0,J213*(1+G$6))</f>
        <v/>
      </c>
      <c r="H214" s="152">
        <f>MIN(G214,G$7)</f>
        <v/>
      </c>
      <c r="I214" s="152">
        <f>MAX(0,MIN(G214-H214,AQ214-(E214)))</f>
        <v/>
      </c>
      <c r="J214" s="152">
        <f>G214-H214-I214</f>
        <v/>
      </c>
      <c r="K214" s="152">
        <f>IF(N213&lt;=0.005,0,N213*(1+K$6))</f>
        <v/>
      </c>
      <c r="L214" s="152">
        <f>MIN(K214,K$7)</f>
        <v/>
      </c>
      <c r="M214" s="152">
        <f>MAX(0,MIN(K214-L214,AQ214-(E214+I214)))</f>
        <v/>
      </c>
      <c r="N214" s="152">
        <f>K214-L214-M214</f>
        <v/>
      </c>
      <c r="O214" s="152">
        <f>IF(R213&lt;=0.005,0,R213*(1+O$6))</f>
        <v/>
      </c>
      <c r="P214" s="152">
        <f>MIN(O214,O$7)</f>
        <v/>
      </c>
      <c r="Q214" s="152">
        <f>MAX(0,MIN(O214-P214,AQ214-(E214+I214+M214)))</f>
        <v/>
      </c>
      <c r="R214" s="152">
        <f>O214-P214-Q214</f>
        <v/>
      </c>
      <c r="S214" s="152">
        <f>IF(V213&lt;=0.005,0,V213*(1+S$6))</f>
        <v/>
      </c>
      <c r="T214" s="152">
        <f>MIN(S214,S$7)</f>
        <v/>
      </c>
      <c r="U214" s="152">
        <f>MAX(0,MIN(S214-T214,AQ214-(E214+I214+M214+Q214)))</f>
        <v/>
      </c>
      <c r="V214" s="152">
        <f>S214-T214-U214</f>
        <v/>
      </c>
      <c r="W214" s="152">
        <f>IF(Z213&lt;=0.005,0,Z213*(1+W$6))</f>
        <v/>
      </c>
      <c r="X214" s="152">
        <f>MIN(W214,W$7)</f>
        <v/>
      </c>
      <c r="Y214" s="152">
        <f>MAX(0,MIN(W214-X214,AQ214-(E214+I214+M214+Q214+U214)))</f>
        <v/>
      </c>
      <c r="Z214" s="152">
        <f>W214-X214-Y214</f>
        <v/>
      </c>
      <c r="AA214" s="152">
        <f>IF(AD213&lt;=0.005,0,AD213*(1+AA$6))</f>
        <v/>
      </c>
      <c r="AB214" s="152">
        <f>MIN(AA214,AA$7)</f>
        <v/>
      </c>
      <c r="AC214" s="152">
        <f>MAX(0,MIN(AA214-AB214,AQ214-(E214+I214+M214+Q214+U214+Y214)))</f>
        <v/>
      </c>
      <c r="AD214" s="152">
        <f>AA214-AB214-AC214</f>
        <v/>
      </c>
      <c r="AE214" s="152">
        <f>IF(AH213&lt;=0.005,0,AH213*(1+AE$6))</f>
        <v/>
      </c>
      <c r="AF214" s="152">
        <f>MIN(AE214,AE$7)</f>
        <v/>
      </c>
      <c r="AG214" s="152">
        <f>MAX(0,MIN(AE214-AF214,AQ214-(E214+I214+M214+Q214+U214+Y214+AC214)))</f>
        <v/>
      </c>
      <c r="AH214" s="152">
        <f>AE214-AF214-AG214</f>
        <v/>
      </c>
      <c r="AI214" s="152">
        <f>IF(AL213&lt;=0.005,0,AL213*(1+AI$6))</f>
        <v/>
      </c>
      <c r="AJ214" s="152">
        <f>MIN(AI214,AI$7)</f>
        <v/>
      </c>
      <c r="AK214" s="152">
        <f>MAX(0,MIN(AI214-AJ214,AQ214-(E214+I214+M214+Q214+U214+Y214+AC214+AG214)))</f>
        <v/>
      </c>
      <c r="AL214" s="152">
        <f>AI214-AJ214-AK214</f>
        <v/>
      </c>
      <c r="AM214" s="152">
        <f>IF(AP213&lt;=0.005,0,AP213*(1+AM$6))</f>
        <v/>
      </c>
      <c r="AN214" s="152">
        <f>MIN(AM214,AM$7)</f>
        <v/>
      </c>
      <c r="AO214" s="152">
        <f>MAX(0,MIN(AM214-AN214,AQ214-(E214+I214+M214+Q214+U214+Y214+AC214+AG214+AK214)))</f>
        <v/>
      </c>
      <c r="AP214" s="152">
        <f>AM214-AN214-AO214</f>
        <v/>
      </c>
      <c r="AQ214" s="152">
        <f>'Debt Payoff'!$C$8-SUM(D214,H214,L214,P214,T214,X214,AB214,AF214,AJ214,AN214)</f>
        <v/>
      </c>
      <c r="AR214" s="152">
        <f>SUM(D214,H214,L214,P214,T214,X214,AB214,AF214,AJ214,AN214)+SUM(E214,I214,M214,Q214,U214,Y214,AC214,AG214,AK214,AO214)</f>
        <v/>
      </c>
      <c r="AS214" s="152">
        <f>SUM(F214,J214,N214,R214,V214,Z214,AD214,AH214,AL214,AP214)</f>
        <v/>
      </c>
      <c r="AT214" s="152">
        <f>IF(B214&gt;AS$6,NA(),B214)</f>
        <v/>
      </c>
      <c r="AU214" s="152">
        <f>IF(B214&gt;AS$6,NA(),AS214)</f>
        <v/>
      </c>
      <c r="AV214" s="152" t="n"/>
      <c r="AW214" s="152" t="n">
        <v>203</v>
      </c>
      <c r="AX214" s="152">
        <f>IF(BA213&lt;=0.005,0,BA213*(1+AX$6))</f>
        <v/>
      </c>
      <c r="AY214" s="152">
        <f>MIN(AX214,AX$7)</f>
        <v/>
      </c>
      <c r="AZ214" s="152">
        <f>MAX(0,MIN(AX214-AY214,CL214))</f>
        <v/>
      </c>
      <c r="BA214" s="152">
        <f>AX214-AY214-AZ214</f>
        <v/>
      </c>
      <c r="BB214" s="152">
        <f>IF(BE213&lt;=0.005,0,BE213*(1+BB$6))</f>
        <v/>
      </c>
      <c r="BC214" s="152">
        <f>MIN(BB214,BB$7)</f>
        <v/>
      </c>
      <c r="BD214" s="152">
        <f>MAX(0,MIN(BB214-BC214,CL214-(AZ214)))</f>
        <v/>
      </c>
      <c r="BE214" s="152">
        <f>BB214-BC214-BD214</f>
        <v/>
      </c>
      <c r="BF214" s="152">
        <f>IF(BI213&lt;=0.005,0,BI213*(1+BF$6))</f>
        <v/>
      </c>
      <c r="BG214" s="152">
        <f>MIN(BF214,BF$7)</f>
        <v/>
      </c>
      <c r="BH214" s="152">
        <f>MAX(0,MIN(BF214-BG214,CL214-(AZ214+BD214)))</f>
        <v/>
      </c>
      <c r="BI214" s="152">
        <f>BF214-BG214-BH214</f>
        <v/>
      </c>
      <c r="BJ214" s="152">
        <f>IF(BM213&lt;=0.005,0,BM213*(1+BJ$6))</f>
        <v/>
      </c>
      <c r="BK214" s="152">
        <f>MIN(BJ214,BJ$7)</f>
        <v/>
      </c>
      <c r="BL214" s="152">
        <f>MAX(0,MIN(BJ214-BK214,CL214-(AZ214+BD214+BH214)))</f>
        <v/>
      </c>
      <c r="BM214" s="152">
        <f>BJ214-BK214-BL214</f>
        <v/>
      </c>
      <c r="BN214" s="152">
        <f>IF(BQ213&lt;=0.005,0,BQ213*(1+BN$6))</f>
        <v/>
      </c>
      <c r="BO214" s="152">
        <f>MIN(BN214,BN$7)</f>
        <v/>
      </c>
      <c r="BP214" s="152">
        <f>MAX(0,MIN(BN214-BO214,CL214-(AZ214+BD214+BH214+BL214)))</f>
        <v/>
      </c>
      <c r="BQ214" s="152">
        <f>BN214-BO214-BP214</f>
        <v/>
      </c>
      <c r="BR214" s="152">
        <f>IF(BU213&lt;=0.005,0,BU213*(1+BR$6))</f>
        <v/>
      </c>
      <c r="BS214" s="152">
        <f>MIN(BR214,BR$7)</f>
        <v/>
      </c>
      <c r="BT214" s="152">
        <f>MAX(0,MIN(BR214-BS214,CL214-(AZ214+BD214+BH214+BL214+BP214)))</f>
        <v/>
      </c>
      <c r="BU214" s="152">
        <f>BR214-BS214-BT214</f>
        <v/>
      </c>
      <c r="BV214" s="152">
        <f>IF(BY213&lt;=0.005,0,BY213*(1+BV$6))</f>
        <v/>
      </c>
      <c r="BW214" s="152">
        <f>MIN(BV214,BV$7)</f>
        <v/>
      </c>
      <c r="BX214" s="152">
        <f>MAX(0,MIN(BV214-BW214,CL214-(AZ214+BD214+BH214+BL214+BP214+BT214)))</f>
        <v/>
      </c>
      <c r="BY214" s="152">
        <f>BV214-BW214-BX214</f>
        <v/>
      </c>
      <c r="BZ214" s="152">
        <f>IF(CC213&lt;=0.005,0,CC213*(1+BZ$6))</f>
        <v/>
      </c>
      <c r="CA214" s="152">
        <f>MIN(BZ214,BZ$7)</f>
        <v/>
      </c>
      <c r="CB214" s="152">
        <f>MAX(0,MIN(BZ214-CA214,CL214-(AZ214+BD214+BH214+BL214+BP214+BT214+BX214)))</f>
        <v/>
      </c>
      <c r="CC214" s="152">
        <f>BZ214-CA214-CB214</f>
        <v/>
      </c>
      <c r="CD214" s="152">
        <f>IF(CG213&lt;=0.005,0,CG213*(1+CD$6))</f>
        <v/>
      </c>
      <c r="CE214" s="152">
        <f>MIN(CD214,CD$7)</f>
        <v/>
      </c>
      <c r="CF214" s="152">
        <f>MAX(0,MIN(CD214-CE214,CL214-(AZ214+BD214+BH214+BL214+BP214+BT214+BX214+CB214)))</f>
        <v/>
      </c>
      <c r="CG214" s="152">
        <f>CD214-CE214-CF214</f>
        <v/>
      </c>
      <c r="CH214" s="152">
        <f>IF(CK213&lt;=0.005,0,CK213*(1+CH$6))</f>
        <v/>
      </c>
      <c r="CI214" s="152">
        <f>MIN(CH214,CH$7)</f>
        <v/>
      </c>
      <c r="CJ214" s="152">
        <f>MAX(0,MIN(CH214-CI214,CL214-(AZ214+BD214+BH214+BL214+BP214+BT214+BX214+CB214+CF214)))</f>
        <v/>
      </c>
      <c r="CK214" s="152">
        <f>CH214-CI214-CJ214</f>
        <v/>
      </c>
      <c r="CL214" s="152">
        <f>'Debt Payoff'!$C$8-SUM(AY214,BC214,BG214,BK214,BO214,BS214,BW214,CA214,CE214,CI214)</f>
        <v/>
      </c>
      <c r="CM214" s="152">
        <f>SUM(AY214,BC214,BG214,BK214,BO214,BS214,BW214,CA214,CE214,CI214)+SUM(AZ214,BD214,BH214,BL214,BP214,BT214,BX214,CB214,CF214,CJ214)</f>
        <v/>
      </c>
      <c r="CN214" s="152">
        <f>SUM(BA214,BE214,BI214,BM214,BQ214,BU214,BY214,CC214,CG214,CK214)</f>
        <v/>
      </c>
      <c r="CO214" s="152">
        <f>IF(AW214&gt;CN$6,NA(),AW214)</f>
        <v/>
      </c>
      <c r="CP214" s="152">
        <f>IF(AW214&gt;CN$6,NA(),CN214)</f>
        <v/>
      </c>
    </row>
    <row r="215">
      <c r="B215" s="152" t="n">
        <v>204</v>
      </c>
      <c r="C215" s="152">
        <f>IF(F214&lt;=0.005,0,F214*(1+C$6))</f>
        <v/>
      </c>
      <c r="D215" s="152">
        <f>MIN(C215,C$7)</f>
        <v/>
      </c>
      <c r="E215" s="152">
        <f>MAX(0,MIN(C215-D215,AQ215))</f>
        <v/>
      </c>
      <c r="F215" s="152">
        <f>C215-D215-E215</f>
        <v/>
      </c>
      <c r="G215" s="152">
        <f>IF(J214&lt;=0.005,0,J214*(1+G$6))</f>
        <v/>
      </c>
      <c r="H215" s="152">
        <f>MIN(G215,G$7)</f>
        <v/>
      </c>
      <c r="I215" s="152">
        <f>MAX(0,MIN(G215-H215,AQ215-(E215)))</f>
        <v/>
      </c>
      <c r="J215" s="152">
        <f>G215-H215-I215</f>
        <v/>
      </c>
      <c r="K215" s="152">
        <f>IF(N214&lt;=0.005,0,N214*(1+K$6))</f>
        <v/>
      </c>
      <c r="L215" s="152">
        <f>MIN(K215,K$7)</f>
        <v/>
      </c>
      <c r="M215" s="152">
        <f>MAX(0,MIN(K215-L215,AQ215-(E215+I215)))</f>
        <v/>
      </c>
      <c r="N215" s="152">
        <f>K215-L215-M215</f>
        <v/>
      </c>
      <c r="O215" s="152">
        <f>IF(R214&lt;=0.005,0,R214*(1+O$6))</f>
        <v/>
      </c>
      <c r="P215" s="152">
        <f>MIN(O215,O$7)</f>
        <v/>
      </c>
      <c r="Q215" s="152">
        <f>MAX(0,MIN(O215-P215,AQ215-(E215+I215+M215)))</f>
        <v/>
      </c>
      <c r="R215" s="152">
        <f>O215-P215-Q215</f>
        <v/>
      </c>
      <c r="S215" s="152">
        <f>IF(V214&lt;=0.005,0,V214*(1+S$6))</f>
        <v/>
      </c>
      <c r="T215" s="152">
        <f>MIN(S215,S$7)</f>
        <v/>
      </c>
      <c r="U215" s="152">
        <f>MAX(0,MIN(S215-T215,AQ215-(E215+I215+M215+Q215)))</f>
        <v/>
      </c>
      <c r="V215" s="152">
        <f>S215-T215-U215</f>
        <v/>
      </c>
      <c r="W215" s="152">
        <f>IF(Z214&lt;=0.005,0,Z214*(1+W$6))</f>
        <v/>
      </c>
      <c r="X215" s="152">
        <f>MIN(W215,W$7)</f>
        <v/>
      </c>
      <c r="Y215" s="152">
        <f>MAX(0,MIN(W215-X215,AQ215-(E215+I215+M215+Q215+U215)))</f>
        <v/>
      </c>
      <c r="Z215" s="152">
        <f>W215-X215-Y215</f>
        <v/>
      </c>
      <c r="AA215" s="152">
        <f>IF(AD214&lt;=0.005,0,AD214*(1+AA$6))</f>
        <v/>
      </c>
      <c r="AB215" s="152">
        <f>MIN(AA215,AA$7)</f>
        <v/>
      </c>
      <c r="AC215" s="152">
        <f>MAX(0,MIN(AA215-AB215,AQ215-(E215+I215+M215+Q215+U215+Y215)))</f>
        <v/>
      </c>
      <c r="AD215" s="152">
        <f>AA215-AB215-AC215</f>
        <v/>
      </c>
      <c r="AE215" s="152">
        <f>IF(AH214&lt;=0.005,0,AH214*(1+AE$6))</f>
        <v/>
      </c>
      <c r="AF215" s="152">
        <f>MIN(AE215,AE$7)</f>
        <v/>
      </c>
      <c r="AG215" s="152">
        <f>MAX(0,MIN(AE215-AF215,AQ215-(E215+I215+M215+Q215+U215+Y215+AC215)))</f>
        <v/>
      </c>
      <c r="AH215" s="152">
        <f>AE215-AF215-AG215</f>
        <v/>
      </c>
      <c r="AI215" s="152">
        <f>IF(AL214&lt;=0.005,0,AL214*(1+AI$6))</f>
        <v/>
      </c>
      <c r="AJ215" s="152">
        <f>MIN(AI215,AI$7)</f>
        <v/>
      </c>
      <c r="AK215" s="152">
        <f>MAX(0,MIN(AI215-AJ215,AQ215-(E215+I215+M215+Q215+U215+Y215+AC215+AG215)))</f>
        <v/>
      </c>
      <c r="AL215" s="152">
        <f>AI215-AJ215-AK215</f>
        <v/>
      </c>
      <c r="AM215" s="152">
        <f>IF(AP214&lt;=0.005,0,AP214*(1+AM$6))</f>
        <v/>
      </c>
      <c r="AN215" s="152">
        <f>MIN(AM215,AM$7)</f>
        <v/>
      </c>
      <c r="AO215" s="152">
        <f>MAX(0,MIN(AM215-AN215,AQ215-(E215+I215+M215+Q215+U215+Y215+AC215+AG215+AK215)))</f>
        <v/>
      </c>
      <c r="AP215" s="152">
        <f>AM215-AN215-AO215</f>
        <v/>
      </c>
      <c r="AQ215" s="152">
        <f>'Debt Payoff'!$C$8-SUM(D215,H215,L215,P215,T215,X215,AB215,AF215,AJ215,AN215)</f>
        <v/>
      </c>
      <c r="AR215" s="152">
        <f>SUM(D215,H215,L215,P215,T215,X215,AB215,AF215,AJ215,AN215)+SUM(E215,I215,M215,Q215,U215,Y215,AC215,AG215,AK215,AO215)</f>
        <v/>
      </c>
      <c r="AS215" s="152">
        <f>SUM(F215,J215,N215,R215,V215,Z215,AD215,AH215,AL215,AP215)</f>
        <v/>
      </c>
      <c r="AT215" s="152">
        <f>IF(B215&gt;AS$6,NA(),B215)</f>
        <v/>
      </c>
      <c r="AU215" s="152">
        <f>IF(B215&gt;AS$6,NA(),AS215)</f>
        <v/>
      </c>
      <c r="AV215" s="152" t="n"/>
      <c r="AW215" s="152" t="n">
        <v>204</v>
      </c>
      <c r="AX215" s="152">
        <f>IF(BA214&lt;=0.005,0,BA214*(1+AX$6))</f>
        <v/>
      </c>
      <c r="AY215" s="152">
        <f>MIN(AX215,AX$7)</f>
        <v/>
      </c>
      <c r="AZ215" s="152">
        <f>MAX(0,MIN(AX215-AY215,CL215))</f>
        <v/>
      </c>
      <c r="BA215" s="152">
        <f>AX215-AY215-AZ215</f>
        <v/>
      </c>
      <c r="BB215" s="152">
        <f>IF(BE214&lt;=0.005,0,BE214*(1+BB$6))</f>
        <v/>
      </c>
      <c r="BC215" s="152">
        <f>MIN(BB215,BB$7)</f>
        <v/>
      </c>
      <c r="BD215" s="152">
        <f>MAX(0,MIN(BB215-BC215,CL215-(AZ215)))</f>
        <v/>
      </c>
      <c r="BE215" s="152">
        <f>BB215-BC215-BD215</f>
        <v/>
      </c>
      <c r="BF215" s="152">
        <f>IF(BI214&lt;=0.005,0,BI214*(1+BF$6))</f>
        <v/>
      </c>
      <c r="BG215" s="152">
        <f>MIN(BF215,BF$7)</f>
        <v/>
      </c>
      <c r="BH215" s="152">
        <f>MAX(0,MIN(BF215-BG215,CL215-(AZ215+BD215)))</f>
        <v/>
      </c>
      <c r="BI215" s="152">
        <f>BF215-BG215-BH215</f>
        <v/>
      </c>
      <c r="BJ215" s="152">
        <f>IF(BM214&lt;=0.005,0,BM214*(1+BJ$6))</f>
        <v/>
      </c>
      <c r="BK215" s="152">
        <f>MIN(BJ215,BJ$7)</f>
        <v/>
      </c>
      <c r="BL215" s="152">
        <f>MAX(0,MIN(BJ215-BK215,CL215-(AZ215+BD215+BH215)))</f>
        <v/>
      </c>
      <c r="BM215" s="152">
        <f>BJ215-BK215-BL215</f>
        <v/>
      </c>
      <c r="BN215" s="152">
        <f>IF(BQ214&lt;=0.005,0,BQ214*(1+BN$6))</f>
        <v/>
      </c>
      <c r="BO215" s="152">
        <f>MIN(BN215,BN$7)</f>
        <v/>
      </c>
      <c r="BP215" s="152">
        <f>MAX(0,MIN(BN215-BO215,CL215-(AZ215+BD215+BH215+BL215)))</f>
        <v/>
      </c>
      <c r="BQ215" s="152">
        <f>BN215-BO215-BP215</f>
        <v/>
      </c>
      <c r="BR215" s="152">
        <f>IF(BU214&lt;=0.005,0,BU214*(1+BR$6))</f>
        <v/>
      </c>
      <c r="BS215" s="152">
        <f>MIN(BR215,BR$7)</f>
        <v/>
      </c>
      <c r="BT215" s="152">
        <f>MAX(0,MIN(BR215-BS215,CL215-(AZ215+BD215+BH215+BL215+BP215)))</f>
        <v/>
      </c>
      <c r="BU215" s="152">
        <f>BR215-BS215-BT215</f>
        <v/>
      </c>
      <c r="BV215" s="152">
        <f>IF(BY214&lt;=0.005,0,BY214*(1+BV$6))</f>
        <v/>
      </c>
      <c r="BW215" s="152">
        <f>MIN(BV215,BV$7)</f>
        <v/>
      </c>
      <c r="BX215" s="152">
        <f>MAX(0,MIN(BV215-BW215,CL215-(AZ215+BD215+BH215+BL215+BP215+BT215)))</f>
        <v/>
      </c>
      <c r="BY215" s="152">
        <f>BV215-BW215-BX215</f>
        <v/>
      </c>
      <c r="BZ215" s="152">
        <f>IF(CC214&lt;=0.005,0,CC214*(1+BZ$6))</f>
        <v/>
      </c>
      <c r="CA215" s="152">
        <f>MIN(BZ215,BZ$7)</f>
        <v/>
      </c>
      <c r="CB215" s="152">
        <f>MAX(0,MIN(BZ215-CA215,CL215-(AZ215+BD215+BH215+BL215+BP215+BT215+BX215)))</f>
        <v/>
      </c>
      <c r="CC215" s="152">
        <f>BZ215-CA215-CB215</f>
        <v/>
      </c>
      <c r="CD215" s="152">
        <f>IF(CG214&lt;=0.005,0,CG214*(1+CD$6))</f>
        <v/>
      </c>
      <c r="CE215" s="152">
        <f>MIN(CD215,CD$7)</f>
        <v/>
      </c>
      <c r="CF215" s="152">
        <f>MAX(0,MIN(CD215-CE215,CL215-(AZ215+BD215+BH215+BL215+BP215+BT215+BX215+CB215)))</f>
        <v/>
      </c>
      <c r="CG215" s="152">
        <f>CD215-CE215-CF215</f>
        <v/>
      </c>
      <c r="CH215" s="152">
        <f>IF(CK214&lt;=0.005,0,CK214*(1+CH$6))</f>
        <v/>
      </c>
      <c r="CI215" s="152">
        <f>MIN(CH215,CH$7)</f>
        <v/>
      </c>
      <c r="CJ215" s="152">
        <f>MAX(0,MIN(CH215-CI215,CL215-(AZ215+BD215+BH215+BL215+BP215+BT215+BX215+CB215+CF215)))</f>
        <v/>
      </c>
      <c r="CK215" s="152">
        <f>CH215-CI215-CJ215</f>
        <v/>
      </c>
      <c r="CL215" s="152">
        <f>'Debt Payoff'!$C$8-SUM(AY215,BC215,BG215,BK215,BO215,BS215,BW215,CA215,CE215,CI215)</f>
        <v/>
      </c>
      <c r="CM215" s="152">
        <f>SUM(AY215,BC215,BG215,BK215,BO215,BS215,BW215,CA215,CE215,CI215)+SUM(AZ215,BD215,BH215,BL215,BP215,BT215,BX215,CB215,CF215,CJ215)</f>
        <v/>
      </c>
      <c r="CN215" s="152">
        <f>SUM(BA215,BE215,BI215,BM215,BQ215,BU215,BY215,CC215,CG215,CK215)</f>
        <v/>
      </c>
      <c r="CO215" s="152">
        <f>IF(AW215&gt;CN$6,NA(),AW215)</f>
        <v/>
      </c>
      <c r="CP215" s="152">
        <f>IF(AW215&gt;CN$6,NA(),CN215)</f>
        <v/>
      </c>
    </row>
    <row r="216">
      <c r="B216" s="152" t="n">
        <v>205</v>
      </c>
      <c r="C216" s="152">
        <f>IF(F215&lt;=0.005,0,F215*(1+C$6))</f>
        <v/>
      </c>
      <c r="D216" s="152">
        <f>MIN(C216,C$7)</f>
        <v/>
      </c>
      <c r="E216" s="152">
        <f>MAX(0,MIN(C216-D216,AQ216))</f>
        <v/>
      </c>
      <c r="F216" s="152">
        <f>C216-D216-E216</f>
        <v/>
      </c>
      <c r="G216" s="152">
        <f>IF(J215&lt;=0.005,0,J215*(1+G$6))</f>
        <v/>
      </c>
      <c r="H216" s="152">
        <f>MIN(G216,G$7)</f>
        <v/>
      </c>
      <c r="I216" s="152">
        <f>MAX(0,MIN(G216-H216,AQ216-(E216)))</f>
        <v/>
      </c>
      <c r="J216" s="152">
        <f>G216-H216-I216</f>
        <v/>
      </c>
      <c r="K216" s="152">
        <f>IF(N215&lt;=0.005,0,N215*(1+K$6))</f>
        <v/>
      </c>
      <c r="L216" s="152">
        <f>MIN(K216,K$7)</f>
        <v/>
      </c>
      <c r="M216" s="152">
        <f>MAX(0,MIN(K216-L216,AQ216-(E216+I216)))</f>
        <v/>
      </c>
      <c r="N216" s="152">
        <f>K216-L216-M216</f>
        <v/>
      </c>
      <c r="O216" s="152">
        <f>IF(R215&lt;=0.005,0,R215*(1+O$6))</f>
        <v/>
      </c>
      <c r="P216" s="152">
        <f>MIN(O216,O$7)</f>
        <v/>
      </c>
      <c r="Q216" s="152">
        <f>MAX(0,MIN(O216-P216,AQ216-(E216+I216+M216)))</f>
        <v/>
      </c>
      <c r="R216" s="152">
        <f>O216-P216-Q216</f>
        <v/>
      </c>
      <c r="S216" s="152">
        <f>IF(V215&lt;=0.005,0,V215*(1+S$6))</f>
        <v/>
      </c>
      <c r="T216" s="152">
        <f>MIN(S216,S$7)</f>
        <v/>
      </c>
      <c r="U216" s="152">
        <f>MAX(0,MIN(S216-T216,AQ216-(E216+I216+M216+Q216)))</f>
        <v/>
      </c>
      <c r="V216" s="152">
        <f>S216-T216-U216</f>
        <v/>
      </c>
      <c r="W216" s="152">
        <f>IF(Z215&lt;=0.005,0,Z215*(1+W$6))</f>
        <v/>
      </c>
      <c r="X216" s="152">
        <f>MIN(W216,W$7)</f>
        <v/>
      </c>
      <c r="Y216" s="152">
        <f>MAX(0,MIN(W216-X216,AQ216-(E216+I216+M216+Q216+U216)))</f>
        <v/>
      </c>
      <c r="Z216" s="152">
        <f>W216-X216-Y216</f>
        <v/>
      </c>
      <c r="AA216" s="152">
        <f>IF(AD215&lt;=0.005,0,AD215*(1+AA$6))</f>
        <v/>
      </c>
      <c r="AB216" s="152">
        <f>MIN(AA216,AA$7)</f>
        <v/>
      </c>
      <c r="AC216" s="152">
        <f>MAX(0,MIN(AA216-AB216,AQ216-(E216+I216+M216+Q216+U216+Y216)))</f>
        <v/>
      </c>
      <c r="AD216" s="152">
        <f>AA216-AB216-AC216</f>
        <v/>
      </c>
      <c r="AE216" s="152">
        <f>IF(AH215&lt;=0.005,0,AH215*(1+AE$6))</f>
        <v/>
      </c>
      <c r="AF216" s="152">
        <f>MIN(AE216,AE$7)</f>
        <v/>
      </c>
      <c r="AG216" s="152">
        <f>MAX(0,MIN(AE216-AF216,AQ216-(E216+I216+M216+Q216+U216+Y216+AC216)))</f>
        <v/>
      </c>
      <c r="AH216" s="152">
        <f>AE216-AF216-AG216</f>
        <v/>
      </c>
      <c r="AI216" s="152">
        <f>IF(AL215&lt;=0.005,0,AL215*(1+AI$6))</f>
        <v/>
      </c>
      <c r="AJ216" s="152">
        <f>MIN(AI216,AI$7)</f>
        <v/>
      </c>
      <c r="AK216" s="152">
        <f>MAX(0,MIN(AI216-AJ216,AQ216-(E216+I216+M216+Q216+U216+Y216+AC216+AG216)))</f>
        <v/>
      </c>
      <c r="AL216" s="152">
        <f>AI216-AJ216-AK216</f>
        <v/>
      </c>
      <c r="AM216" s="152">
        <f>IF(AP215&lt;=0.005,0,AP215*(1+AM$6))</f>
        <v/>
      </c>
      <c r="AN216" s="152">
        <f>MIN(AM216,AM$7)</f>
        <v/>
      </c>
      <c r="AO216" s="152">
        <f>MAX(0,MIN(AM216-AN216,AQ216-(E216+I216+M216+Q216+U216+Y216+AC216+AG216+AK216)))</f>
        <v/>
      </c>
      <c r="AP216" s="152">
        <f>AM216-AN216-AO216</f>
        <v/>
      </c>
      <c r="AQ216" s="152">
        <f>'Debt Payoff'!$C$8-SUM(D216,H216,L216,P216,T216,X216,AB216,AF216,AJ216,AN216)</f>
        <v/>
      </c>
      <c r="AR216" s="152">
        <f>SUM(D216,H216,L216,P216,T216,X216,AB216,AF216,AJ216,AN216)+SUM(E216,I216,M216,Q216,U216,Y216,AC216,AG216,AK216,AO216)</f>
        <v/>
      </c>
      <c r="AS216" s="152">
        <f>SUM(F216,J216,N216,R216,V216,Z216,AD216,AH216,AL216,AP216)</f>
        <v/>
      </c>
      <c r="AT216" s="152">
        <f>IF(B216&gt;AS$6,NA(),B216)</f>
        <v/>
      </c>
      <c r="AU216" s="152">
        <f>IF(B216&gt;AS$6,NA(),AS216)</f>
        <v/>
      </c>
      <c r="AV216" s="152" t="n"/>
      <c r="AW216" s="152" t="n">
        <v>205</v>
      </c>
      <c r="AX216" s="152">
        <f>IF(BA215&lt;=0.005,0,BA215*(1+AX$6))</f>
        <v/>
      </c>
      <c r="AY216" s="152">
        <f>MIN(AX216,AX$7)</f>
        <v/>
      </c>
      <c r="AZ216" s="152">
        <f>MAX(0,MIN(AX216-AY216,CL216))</f>
        <v/>
      </c>
      <c r="BA216" s="152">
        <f>AX216-AY216-AZ216</f>
        <v/>
      </c>
      <c r="BB216" s="152">
        <f>IF(BE215&lt;=0.005,0,BE215*(1+BB$6))</f>
        <v/>
      </c>
      <c r="BC216" s="152">
        <f>MIN(BB216,BB$7)</f>
        <v/>
      </c>
      <c r="BD216" s="152">
        <f>MAX(0,MIN(BB216-BC216,CL216-(AZ216)))</f>
        <v/>
      </c>
      <c r="BE216" s="152">
        <f>BB216-BC216-BD216</f>
        <v/>
      </c>
      <c r="BF216" s="152">
        <f>IF(BI215&lt;=0.005,0,BI215*(1+BF$6))</f>
        <v/>
      </c>
      <c r="BG216" s="152">
        <f>MIN(BF216,BF$7)</f>
        <v/>
      </c>
      <c r="BH216" s="152">
        <f>MAX(0,MIN(BF216-BG216,CL216-(AZ216+BD216)))</f>
        <v/>
      </c>
      <c r="BI216" s="152">
        <f>BF216-BG216-BH216</f>
        <v/>
      </c>
      <c r="BJ216" s="152">
        <f>IF(BM215&lt;=0.005,0,BM215*(1+BJ$6))</f>
        <v/>
      </c>
      <c r="BK216" s="152">
        <f>MIN(BJ216,BJ$7)</f>
        <v/>
      </c>
      <c r="BL216" s="152">
        <f>MAX(0,MIN(BJ216-BK216,CL216-(AZ216+BD216+BH216)))</f>
        <v/>
      </c>
      <c r="BM216" s="152">
        <f>BJ216-BK216-BL216</f>
        <v/>
      </c>
      <c r="BN216" s="152">
        <f>IF(BQ215&lt;=0.005,0,BQ215*(1+BN$6))</f>
        <v/>
      </c>
      <c r="BO216" s="152">
        <f>MIN(BN216,BN$7)</f>
        <v/>
      </c>
      <c r="BP216" s="152">
        <f>MAX(0,MIN(BN216-BO216,CL216-(AZ216+BD216+BH216+BL216)))</f>
        <v/>
      </c>
      <c r="BQ216" s="152">
        <f>BN216-BO216-BP216</f>
        <v/>
      </c>
      <c r="BR216" s="152">
        <f>IF(BU215&lt;=0.005,0,BU215*(1+BR$6))</f>
        <v/>
      </c>
      <c r="BS216" s="152">
        <f>MIN(BR216,BR$7)</f>
        <v/>
      </c>
      <c r="BT216" s="152">
        <f>MAX(0,MIN(BR216-BS216,CL216-(AZ216+BD216+BH216+BL216+BP216)))</f>
        <v/>
      </c>
      <c r="BU216" s="152">
        <f>BR216-BS216-BT216</f>
        <v/>
      </c>
      <c r="BV216" s="152">
        <f>IF(BY215&lt;=0.005,0,BY215*(1+BV$6))</f>
        <v/>
      </c>
      <c r="BW216" s="152">
        <f>MIN(BV216,BV$7)</f>
        <v/>
      </c>
      <c r="BX216" s="152">
        <f>MAX(0,MIN(BV216-BW216,CL216-(AZ216+BD216+BH216+BL216+BP216+BT216)))</f>
        <v/>
      </c>
      <c r="BY216" s="152">
        <f>BV216-BW216-BX216</f>
        <v/>
      </c>
      <c r="BZ216" s="152">
        <f>IF(CC215&lt;=0.005,0,CC215*(1+BZ$6))</f>
        <v/>
      </c>
      <c r="CA216" s="152">
        <f>MIN(BZ216,BZ$7)</f>
        <v/>
      </c>
      <c r="CB216" s="152">
        <f>MAX(0,MIN(BZ216-CA216,CL216-(AZ216+BD216+BH216+BL216+BP216+BT216+BX216)))</f>
        <v/>
      </c>
      <c r="CC216" s="152">
        <f>BZ216-CA216-CB216</f>
        <v/>
      </c>
      <c r="CD216" s="152">
        <f>IF(CG215&lt;=0.005,0,CG215*(1+CD$6))</f>
        <v/>
      </c>
      <c r="CE216" s="152">
        <f>MIN(CD216,CD$7)</f>
        <v/>
      </c>
      <c r="CF216" s="152">
        <f>MAX(0,MIN(CD216-CE216,CL216-(AZ216+BD216+BH216+BL216+BP216+BT216+BX216+CB216)))</f>
        <v/>
      </c>
      <c r="CG216" s="152">
        <f>CD216-CE216-CF216</f>
        <v/>
      </c>
      <c r="CH216" s="152">
        <f>IF(CK215&lt;=0.005,0,CK215*(1+CH$6))</f>
        <v/>
      </c>
      <c r="CI216" s="152">
        <f>MIN(CH216,CH$7)</f>
        <v/>
      </c>
      <c r="CJ216" s="152">
        <f>MAX(0,MIN(CH216-CI216,CL216-(AZ216+BD216+BH216+BL216+BP216+BT216+BX216+CB216+CF216)))</f>
        <v/>
      </c>
      <c r="CK216" s="152">
        <f>CH216-CI216-CJ216</f>
        <v/>
      </c>
      <c r="CL216" s="152">
        <f>'Debt Payoff'!$C$8-SUM(AY216,BC216,BG216,BK216,BO216,BS216,BW216,CA216,CE216,CI216)</f>
        <v/>
      </c>
      <c r="CM216" s="152">
        <f>SUM(AY216,BC216,BG216,BK216,BO216,BS216,BW216,CA216,CE216,CI216)+SUM(AZ216,BD216,BH216,BL216,BP216,BT216,BX216,CB216,CF216,CJ216)</f>
        <v/>
      </c>
      <c r="CN216" s="152">
        <f>SUM(BA216,BE216,BI216,BM216,BQ216,BU216,BY216,CC216,CG216,CK216)</f>
        <v/>
      </c>
      <c r="CO216" s="152">
        <f>IF(AW216&gt;CN$6,NA(),AW216)</f>
        <v/>
      </c>
      <c r="CP216" s="152">
        <f>IF(AW216&gt;CN$6,NA(),CN216)</f>
        <v/>
      </c>
    </row>
    <row r="217">
      <c r="B217" s="152" t="n">
        <v>206</v>
      </c>
      <c r="C217" s="152">
        <f>IF(F216&lt;=0.005,0,F216*(1+C$6))</f>
        <v/>
      </c>
      <c r="D217" s="152">
        <f>MIN(C217,C$7)</f>
        <v/>
      </c>
      <c r="E217" s="152">
        <f>MAX(0,MIN(C217-D217,AQ217))</f>
        <v/>
      </c>
      <c r="F217" s="152">
        <f>C217-D217-E217</f>
        <v/>
      </c>
      <c r="G217" s="152">
        <f>IF(J216&lt;=0.005,0,J216*(1+G$6))</f>
        <v/>
      </c>
      <c r="H217" s="152">
        <f>MIN(G217,G$7)</f>
        <v/>
      </c>
      <c r="I217" s="152">
        <f>MAX(0,MIN(G217-H217,AQ217-(E217)))</f>
        <v/>
      </c>
      <c r="J217" s="152">
        <f>G217-H217-I217</f>
        <v/>
      </c>
      <c r="K217" s="152">
        <f>IF(N216&lt;=0.005,0,N216*(1+K$6))</f>
        <v/>
      </c>
      <c r="L217" s="152">
        <f>MIN(K217,K$7)</f>
        <v/>
      </c>
      <c r="M217" s="152">
        <f>MAX(0,MIN(K217-L217,AQ217-(E217+I217)))</f>
        <v/>
      </c>
      <c r="N217" s="152">
        <f>K217-L217-M217</f>
        <v/>
      </c>
      <c r="O217" s="152">
        <f>IF(R216&lt;=0.005,0,R216*(1+O$6))</f>
        <v/>
      </c>
      <c r="P217" s="152">
        <f>MIN(O217,O$7)</f>
        <v/>
      </c>
      <c r="Q217" s="152">
        <f>MAX(0,MIN(O217-P217,AQ217-(E217+I217+M217)))</f>
        <v/>
      </c>
      <c r="R217" s="152">
        <f>O217-P217-Q217</f>
        <v/>
      </c>
      <c r="S217" s="152">
        <f>IF(V216&lt;=0.005,0,V216*(1+S$6))</f>
        <v/>
      </c>
      <c r="T217" s="152">
        <f>MIN(S217,S$7)</f>
        <v/>
      </c>
      <c r="U217" s="152">
        <f>MAX(0,MIN(S217-T217,AQ217-(E217+I217+M217+Q217)))</f>
        <v/>
      </c>
      <c r="V217" s="152">
        <f>S217-T217-U217</f>
        <v/>
      </c>
      <c r="W217" s="152">
        <f>IF(Z216&lt;=0.005,0,Z216*(1+W$6))</f>
        <v/>
      </c>
      <c r="X217" s="152">
        <f>MIN(W217,W$7)</f>
        <v/>
      </c>
      <c r="Y217" s="152">
        <f>MAX(0,MIN(W217-X217,AQ217-(E217+I217+M217+Q217+U217)))</f>
        <v/>
      </c>
      <c r="Z217" s="152">
        <f>W217-X217-Y217</f>
        <v/>
      </c>
      <c r="AA217" s="152">
        <f>IF(AD216&lt;=0.005,0,AD216*(1+AA$6))</f>
        <v/>
      </c>
      <c r="AB217" s="152">
        <f>MIN(AA217,AA$7)</f>
        <v/>
      </c>
      <c r="AC217" s="152">
        <f>MAX(0,MIN(AA217-AB217,AQ217-(E217+I217+M217+Q217+U217+Y217)))</f>
        <v/>
      </c>
      <c r="AD217" s="152">
        <f>AA217-AB217-AC217</f>
        <v/>
      </c>
      <c r="AE217" s="152">
        <f>IF(AH216&lt;=0.005,0,AH216*(1+AE$6))</f>
        <v/>
      </c>
      <c r="AF217" s="152">
        <f>MIN(AE217,AE$7)</f>
        <v/>
      </c>
      <c r="AG217" s="152">
        <f>MAX(0,MIN(AE217-AF217,AQ217-(E217+I217+M217+Q217+U217+Y217+AC217)))</f>
        <v/>
      </c>
      <c r="AH217" s="152">
        <f>AE217-AF217-AG217</f>
        <v/>
      </c>
      <c r="AI217" s="152">
        <f>IF(AL216&lt;=0.005,0,AL216*(1+AI$6))</f>
        <v/>
      </c>
      <c r="AJ217" s="152">
        <f>MIN(AI217,AI$7)</f>
        <v/>
      </c>
      <c r="AK217" s="152">
        <f>MAX(0,MIN(AI217-AJ217,AQ217-(E217+I217+M217+Q217+U217+Y217+AC217+AG217)))</f>
        <v/>
      </c>
      <c r="AL217" s="152">
        <f>AI217-AJ217-AK217</f>
        <v/>
      </c>
      <c r="AM217" s="152">
        <f>IF(AP216&lt;=0.005,0,AP216*(1+AM$6))</f>
        <v/>
      </c>
      <c r="AN217" s="152">
        <f>MIN(AM217,AM$7)</f>
        <v/>
      </c>
      <c r="AO217" s="152">
        <f>MAX(0,MIN(AM217-AN217,AQ217-(E217+I217+M217+Q217+U217+Y217+AC217+AG217+AK217)))</f>
        <v/>
      </c>
      <c r="AP217" s="152">
        <f>AM217-AN217-AO217</f>
        <v/>
      </c>
      <c r="AQ217" s="152">
        <f>'Debt Payoff'!$C$8-SUM(D217,H217,L217,P217,T217,X217,AB217,AF217,AJ217,AN217)</f>
        <v/>
      </c>
      <c r="AR217" s="152">
        <f>SUM(D217,H217,L217,P217,T217,X217,AB217,AF217,AJ217,AN217)+SUM(E217,I217,M217,Q217,U217,Y217,AC217,AG217,AK217,AO217)</f>
        <v/>
      </c>
      <c r="AS217" s="152">
        <f>SUM(F217,J217,N217,R217,V217,Z217,AD217,AH217,AL217,AP217)</f>
        <v/>
      </c>
      <c r="AT217" s="152">
        <f>IF(B217&gt;AS$6,NA(),B217)</f>
        <v/>
      </c>
      <c r="AU217" s="152">
        <f>IF(B217&gt;AS$6,NA(),AS217)</f>
        <v/>
      </c>
      <c r="AV217" s="152" t="n"/>
      <c r="AW217" s="152" t="n">
        <v>206</v>
      </c>
      <c r="AX217" s="152">
        <f>IF(BA216&lt;=0.005,0,BA216*(1+AX$6))</f>
        <v/>
      </c>
      <c r="AY217" s="152">
        <f>MIN(AX217,AX$7)</f>
        <v/>
      </c>
      <c r="AZ217" s="152">
        <f>MAX(0,MIN(AX217-AY217,CL217))</f>
        <v/>
      </c>
      <c r="BA217" s="152">
        <f>AX217-AY217-AZ217</f>
        <v/>
      </c>
      <c r="BB217" s="152">
        <f>IF(BE216&lt;=0.005,0,BE216*(1+BB$6))</f>
        <v/>
      </c>
      <c r="BC217" s="152">
        <f>MIN(BB217,BB$7)</f>
        <v/>
      </c>
      <c r="BD217" s="152">
        <f>MAX(0,MIN(BB217-BC217,CL217-(AZ217)))</f>
        <v/>
      </c>
      <c r="BE217" s="152">
        <f>BB217-BC217-BD217</f>
        <v/>
      </c>
      <c r="BF217" s="152">
        <f>IF(BI216&lt;=0.005,0,BI216*(1+BF$6))</f>
        <v/>
      </c>
      <c r="BG217" s="152">
        <f>MIN(BF217,BF$7)</f>
        <v/>
      </c>
      <c r="BH217" s="152">
        <f>MAX(0,MIN(BF217-BG217,CL217-(AZ217+BD217)))</f>
        <v/>
      </c>
      <c r="BI217" s="152">
        <f>BF217-BG217-BH217</f>
        <v/>
      </c>
      <c r="BJ217" s="152">
        <f>IF(BM216&lt;=0.005,0,BM216*(1+BJ$6))</f>
        <v/>
      </c>
      <c r="BK217" s="152">
        <f>MIN(BJ217,BJ$7)</f>
        <v/>
      </c>
      <c r="BL217" s="152">
        <f>MAX(0,MIN(BJ217-BK217,CL217-(AZ217+BD217+BH217)))</f>
        <v/>
      </c>
      <c r="BM217" s="152">
        <f>BJ217-BK217-BL217</f>
        <v/>
      </c>
      <c r="BN217" s="152">
        <f>IF(BQ216&lt;=0.005,0,BQ216*(1+BN$6))</f>
        <v/>
      </c>
      <c r="BO217" s="152">
        <f>MIN(BN217,BN$7)</f>
        <v/>
      </c>
      <c r="BP217" s="152">
        <f>MAX(0,MIN(BN217-BO217,CL217-(AZ217+BD217+BH217+BL217)))</f>
        <v/>
      </c>
      <c r="BQ217" s="152">
        <f>BN217-BO217-BP217</f>
        <v/>
      </c>
      <c r="BR217" s="152">
        <f>IF(BU216&lt;=0.005,0,BU216*(1+BR$6))</f>
        <v/>
      </c>
      <c r="BS217" s="152">
        <f>MIN(BR217,BR$7)</f>
        <v/>
      </c>
      <c r="BT217" s="152">
        <f>MAX(0,MIN(BR217-BS217,CL217-(AZ217+BD217+BH217+BL217+BP217)))</f>
        <v/>
      </c>
      <c r="BU217" s="152">
        <f>BR217-BS217-BT217</f>
        <v/>
      </c>
      <c r="BV217" s="152">
        <f>IF(BY216&lt;=0.005,0,BY216*(1+BV$6))</f>
        <v/>
      </c>
      <c r="BW217" s="152">
        <f>MIN(BV217,BV$7)</f>
        <v/>
      </c>
      <c r="BX217" s="152">
        <f>MAX(0,MIN(BV217-BW217,CL217-(AZ217+BD217+BH217+BL217+BP217+BT217)))</f>
        <v/>
      </c>
      <c r="BY217" s="152">
        <f>BV217-BW217-BX217</f>
        <v/>
      </c>
      <c r="BZ217" s="152">
        <f>IF(CC216&lt;=0.005,0,CC216*(1+BZ$6))</f>
        <v/>
      </c>
      <c r="CA217" s="152">
        <f>MIN(BZ217,BZ$7)</f>
        <v/>
      </c>
      <c r="CB217" s="152">
        <f>MAX(0,MIN(BZ217-CA217,CL217-(AZ217+BD217+BH217+BL217+BP217+BT217+BX217)))</f>
        <v/>
      </c>
      <c r="CC217" s="152">
        <f>BZ217-CA217-CB217</f>
        <v/>
      </c>
      <c r="CD217" s="152">
        <f>IF(CG216&lt;=0.005,0,CG216*(1+CD$6))</f>
        <v/>
      </c>
      <c r="CE217" s="152">
        <f>MIN(CD217,CD$7)</f>
        <v/>
      </c>
      <c r="CF217" s="152">
        <f>MAX(0,MIN(CD217-CE217,CL217-(AZ217+BD217+BH217+BL217+BP217+BT217+BX217+CB217)))</f>
        <v/>
      </c>
      <c r="CG217" s="152">
        <f>CD217-CE217-CF217</f>
        <v/>
      </c>
      <c r="CH217" s="152">
        <f>IF(CK216&lt;=0.005,0,CK216*(1+CH$6))</f>
        <v/>
      </c>
      <c r="CI217" s="152">
        <f>MIN(CH217,CH$7)</f>
        <v/>
      </c>
      <c r="CJ217" s="152">
        <f>MAX(0,MIN(CH217-CI217,CL217-(AZ217+BD217+BH217+BL217+BP217+BT217+BX217+CB217+CF217)))</f>
        <v/>
      </c>
      <c r="CK217" s="152">
        <f>CH217-CI217-CJ217</f>
        <v/>
      </c>
      <c r="CL217" s="152">
        <f>'Debt Payoff'!$C$8-SUM(AY217,BC217,BG217,BK217,BO217,BS217,BW217,CA217,CE217,CI217)</f>
        <v/>
      </c>
      <c r="CM217" s="152">
        <f>SUM(AY217,BC217,BG217,BK217,BO217,BS217,BW217,CA217,CE217,CI217)+SUM(AZ217,BD217,BH217,BL217,BP217,BT217,BX217,CB217,CF217,CJ217)</f>
        <v/>
      </c>
      <c r="CN217" s="152">
        <f>SUM(BA217,BE217,BI217,BM217,BQ217,BU217,BY217,CC217,CG217,CK217)</f>
        <v/>
      </c>
      <c r="CO217" s="152">
        <f>IF(AW217&gt;CN$6,NA(),AW217)</f>
        <v/>
      </c>
      <c r="CP217" s="152">
        <f>IF(AW217&gt;CN$6,NA(),CN217)</f>
        <v/>
      </c>
    </row>
    <row r="218">
      <c r="B218" s="152" t="n">
        <v>207</v>
      </c>
      <c r="C218" s="152">
        <f>IF(F217&lt;=0.005,0,F217*(1+C$6))</f>
        <v/>
      </c>
      <c r="D218" s="152">
        <f>MIN(C218,C$7)</f>
        <v/>
      </c>
      <c r="E218" s="152">
        <f>MAX(0,MIN(C218-D218,AQ218))</f>
        <v/>
      </c>
      <c r="F218" s="152">
        <f>C218-D218-E218</f>
        <v/>
      </c>
      <c r="G218" s="152">
        <f>IF(J217&lt;=0.005,0,J217*(1+G$6))</f>
        <v/>
      </c>
      <c r="H218" s="152">
        <f>MIN(G218,G$7)</f>
        <v/>
      </c>
      <c r="I218" s="152">
        <f>MAX(0,MIN(G218-H218,AQ218-(E218)))</f>
        <v/>
      </c>
      <c r="J218" s="152">
        <f>G218-H218-I218</f>
        <v/>
      </c>
      <c r="K218" s="152">
        <f>IF(N217&lt;=0.005,0,N217*(1+K$6))</f>
        <v/>
      </c>
      <c r="L218" s="152">
        <f>MIN(K218,K$7)</f>
        <v/>
      </c>
      <c r="M218" s="152">
        <f>MAX(0,MIN(K218-L218,AQ218-(E218+I218)))</f>
        <v/>
      </c>
      <c r="N218" s="152">
        <f>K218-L218-M218</f>
        <v/>
      </c>
      <c r="O218" s="152">
        <f>IF(R217&lt;=0.005,0,R217*(1+O$6))</f>
        <v/>
      </c>
      <c r="P218" s="152">
        <f>MIN(O218,O$7)</f>
        <v/>
      </c>
      <c r="Q218" s="152">
        <f>MAX(0,MIN(O218-P218,AQ218-(E218+I218+M218)))</f>
        <v/>
      </c>
      <c r="R218" s="152">
        <f>O218-P218-Q218</f>
        <v/>
      </c>
      <c r="S218" s="152">
        <f>IF(V217&lt;=0.005,0,V217*(1+S$6))</f>
        <v/>
      </c>
      <c r="T218" s="152">
        <f>MIN(S218,S$7)</f>
        <v/>
      </c>
      <c r="U218" s="152">
        <f>MAX(0,MIN(S218-T218,AQ218-(E218+I218+M218+Q218)))</f>
        <v/>
      </c>
      <c r="V218" s="152">
        <f>S218-T218-U218</f>
        <v/>
      </c>
      <c r="W218" s="152">
        <f>IF(Z217&lt;=0.005,0,Z217*(1+W$6))</f>
        <v/>
      </c>
      <c r="X218" s="152">
        <f>MIN(W218,W$7)</f>
        <v/>
      </c>
      <c r="Y218" s="152">
        <f>MAX(0,MIN(W218-X218,AQ218-(E218+I218+M218+Q218+U218)))</f>
        <v/>
      </c>
      <c r="Z218" s="152">
        <f>W218-X218-Y218</f>
        <v/>
      </c>
      <c r="AA218" s="152">
        <f>IF(AD217&lt;=0.005,0,AD217*(1+AA$6))</f>
        <v/>
      </c>
      <c r="AB218" s="152">
        <f>MIN(AA218,AA$7)</f>
        <v/>
      </c>
      <c r="AC218" s="152">
        <f>MAX(0,MIN(AA218-AB218,AQ218-(E218+I218+M218+Q218+U218+Y218)))</f>
        <v/>
      </c>
      <c r="AD218" s="152">
        <f>AA218-AB218-AC218</f>
        <v/>
      </c>
      <c r="AE218" s="152">
        <f>IF(AH217&lt;=0.005,0,AH217*(1+AE$6))</f>
        <v/>
      </c>
      <c r="AF218" s="152">
        <f>MIN(AE218,AE$7)</f>
        <v/>
      </c>
      <c r="AG218" s="152">
        <f>MAX(0,MIN(AE218-AF218,AQ218-(E218+I218+M218+Q218+U218+Y218+AC218)))</f>
        <v/>
      </c>
      <c r="AH218" s="152">
        <f>AE218-AF218-AG218</f>
        <v/>
      </c>
      <c r="AI218" s="152">
        <f>IF(AL217&lt;=0.005,0,AL217*(1+AI$6))</f>
        <v/>
      </c>
      <c r="AJ218" s="152">
        <f>MIN(AI218,AI$7)</f>
        <v/>
      </c>
      <c r="AK218" s="152">
        <f>MAX(0,MIN(AI218-AJ218,AQ218-(E218+I218+M218+Q218+U218+Y218+AC218+AG218)))</f>
        <v/>
      </c>
      <c r="AL218" s="152">
        <f>AI218-AJ218-AK218</f>
        <v/>
      </c>
      <c r="AM218" s="152">
        <f>IF(AP217&lt;=0.005,0,AP217*(1+AM$6))</f>
        <v/>
      </c>
      <c r="AN218" s="152">
        <f>MIN(AM218,AM$7)</f>
        <v/>
      </c>
      <c r="AO218" s="152">
        <f>MAX(0,MIN(AM218-AN218,AQ218-(E218+I218+M218+Q218+U218+Y218+AC218+AG218+AK218)))</f>
        <v/>
      </c>
      <c r="AP218" s="152">
        <f>AM218-AN218-AO218</f>
        <v/>
      </c>
      <c r="AQ218" s="152">
        <f>'Debt Payoff'!$C$8-SUM(D218,H218,L218,P218,T218,X218,AB218,AF218,AJ218,AN218)</f>
        <v/>
      </c>
      <c r="AR218" s="152">
        <f>SUM(D218,H218,L218,P218,T218,X218,AB218,AF218,AJ218,AN218)+SUM(E218,I218,M218,Q218,U218,Y218,AC218,AG218,AK218,AO218)</f>
        <v/>
      </c>
      <c r="AS218" s="152">
        <f>SUM(F218,J218,N218,R218,V218,Z218,AD218,AH218,AL218,AP218)</f>
        <v/>
      </c>
      <c r="AT218" s="152">
        <f>IF(B218&gt;AS$6,NA(),B218)</f>
        <v/>
      </c>
      <c r="AU218" s="152">
        <f>IF(B218&gt;AS$6,NA(),AS218)</f>
        <v/>
      </c>
      <c r="AV218" s="152" t="n"/>
      <c r="AW218" s="152" t="n">
        <v>207</v>
      </c>
      <c r="AX218" s="152">
        <f>IF(BA217&lt;=0.005,0,BA217*(1+AX$6))</f>
        <v/>
      </c>
      <c r="AY218" s="152">
        <f>MIN(AX218,AX$7)</f>
        <v/>
      </c>
      <c r="AZ218" s="152">
        <f>MAX(0,MIN(AX218-AY218,CL218))</f>
        <v/>
      </c>
      <c r="BA218" s="152">
        <f>AX218-AY218-AZ218</f>
        <v/>
      </c>
      <c r="BB218" s="152">
        <f>IF(BE217&lt;=0.005,0,BE217*(1+BB$6))</f>
        <v/>
      </c>
      <c r="BC218" s="152">
        <f>MIN(BB218,BB$7)</f>
        <v/>
      </c>
      <c r="BD218" s="152">
        <f>MAX(0,MIN(BB218-BC218,CL218-(AZ218)))</f>
        <v/>
      </c>
      <c r="BE218" s="152">
        <f>BB218-BC218-BD218</f>
        <v/>
      </c>
      <c r="BF218" s="152">
        <f>IF(BI217&lt;=0.005,0,BI217*(1+BF$6))</f>
        <v/>
      </c>
      <c r="BG218" s="152">
        <f>MIN(BF218,BF$7)</f>
        <v/>
      </c>
      <c r="BH218" s="152">
        <f>MAX(0,MIN(BF218-BG218,CL218-(AZ218+BD218)))</f>
        <v/>
      </c>
      <c r="BI218" s="152">
        <f>BF218-BG218-BH218</f>
        <v/>
      </c>
      <c r="BJ218" s="152">
        <f>IF(BM217&lt;=0.005,0,BM217*(1+BJ$6))</f>
        <v/>
      </c>
      <c r="BK218" s="152">
        <f>MIN(BJ218,BJ$7)</f>
        <v/>
      </c>
      <c r="BL218" s="152">
        <f>MAX(0,MIN(BJ218-BK218,CL218-(AZ218+BD218+BH218)))</f>
        <v/>
      </c>
      <c r="BM218" s="152">
        <f>BJ218-BK218-BL218</f>
        <v/>
      </c>
      <c r="BN218" s="152">
        <f>IF(BQ217&lt;=0.005,0,BQ217*(1+BN$6))</f>
        <v/>
      </c>
      <c r="BO218" s="152">
        <f>MIN(BN218,BN$7)</f>
        <v/>
      </c>
      <c r="BP218" s="152">
        <f>MAX(0,MIN(BN218-BO218,CL218-(AZ218+BD218+BH218+BL218)))</f>
        <v/>
      </c>
      <c r="BQ218" s="152">
        <f>BN218-BO218-BP218</f>
        <v/>
      </c>
      <c r="BR218" s="152">
        <f>IF(BU217&lt;=0.005,0,BU217*(1+BR$6))</f>
        <v/>
      </c>
      <c r="BS218" s="152">
        <f>MIN(BR218,BR$7)</f>
        <v/>
      </c>
      <c r="BT218" s="152">
        <f>MAX(0,MIN(BR218-BS218,CL218-(AZ218+BD218+BH218+BL218+BP218)))</f>
        <v/>
      </c>
      <c r="BU218" s="152">
        <f>BR218-BS218-BT218</f>
        <v/>
      </c>
      <c r="BV218" s="152">
        <f>IF(BY217&lt;=0.005,0,BY217*(1+BV$6))</f>
        <v/>
      </c>
      <c r="BW218" s="152">
        <f>MIN(BV218,BV$7)</f>
        <v/>
      </c>
      <c r="BX218" s="152">
        <f>MAX(0,MIN(BV218-BW218,CL218-(AZ218+BD218+BH218+BL218+BP218+BT218)))</f>
        <v/>
      </c>
      <c r="BY218" s="152">
        <f>BV218-BW218-BX218</f>
        <v/>
      </c>
      <c r="BZ218" s="152">
        <f>IF(CC217&lt;=0.005,0,CC217*(1+BZ$6))</f>
        <v/>
      </c>
      <c r="CA218" s="152">
        <f>MIN(BZ218,BZ$7)</f>
        <v/>
      </c>
      <c r="CB218" s="152">
        <f>MAX(0,MIN(BZ218-CA218,CL218-(AZ218+BD218+BH218+BL218+BP218+BT218+BX218)))</f>
        <v/>
      </c>
      <c r="CC218" s="152">
        <f>BZ218-CA218-CB218</f>
        <v/>
      </c>
      <c r="CD218" s="152">
        <f>IF(CG217&lt;=0.005,0,CG217*(1+CD$6))</f>
        <v/>
      </c>
      <c r="CE218" s="152">
        <f>MIN(CD218,CD$7)</f>
        <v/>
      </c>
      <c r="CF218" s="152">
        <f>MAX(0,MIN(CD218-CE218,CL218-(AZ218+BD218+BH218+BL218+BP218+BT218+BX218+CB218)))</f>
        <v/>
      </c>
      <c r="CG218" s="152">
        <f>CD218-CE218-CF218</f>
        <v/>
      </c>
      <c r="CH218" s="152">
        <f>IF(CK217&lt;=0.005,0,CK217*(1+CH$6))</f>
        <v/>
      </c>
      <c r="CI218" s="152">
        <f>MIN(CH218,CH$7)</f>
        <v/>
      </c>
      <c r="CJ218" s="152">
        <f>MAX(0,MIN(CH218-CI218,CL218-(AZ218+BD218+BH218+BL218+BP218+BT218+BX218+CB218+CF218)))</f>
        <v/>
      </c>
      <c r="CK218" s="152">
        <f>CH218-CI218-CJ218</f>
        <v/>
      </c>
      <c r="CL218" s="152">
        <f>'Debt Payoff'!$C$8-SUM(AY218,BC218,BG218,BK218,BO218,BS218,BW218,CA218,CE218,CI218)</f>
        <v/>
      </c>
      <c r="CM218" s="152">
        <f>SUM(AY218,BC218,BG218,BK218,BO218,BS218,BW218,CA218,CE218,CI218)+SUM(AZ218,BD218,BH218,BL218,BP218,BT218,BX218,CB218,CF218,CJ218)</f>
        <v/>
      </c>
      <c r="CN218" s="152">
        <f>SUM(BA218,BE218,BI218,BM218,BQ218,BU218,BY218,CC218,CG218,CK218)</f>
        <v/>
      </c>
      <c r="CO218" s="152">
        <f>IF(AW218&gt;CN$6,NA(),AW218)</f>
        <v/>
      </c>
      <c r="CP218" s="152">
        <f>IF(AW218&gt;CN$6,NA(),CN218)</f>
        <v/>
      </c>
    </row>
    <row r="219">
      <c r="B219" s="152" t="n">
        <v>208</v>
      </c>
      <c r="C219" s="152">
        <f>IF(F218&lt;=0.005,0,F218*(1+C$6))</f>
        <v/>
      </c>
      <c r="D219" s="152">
        <f>MIN(C219,C$7)</f>
        <v/>
      </c>
      <c r="E219" s="152">
        <f>MAX(0,MIN(C219-D219,AQ219))</f>
        <v/>
      </c>
      <c r="F219" s="152">
        <f>C219-D219-E219</f>
        <v/>
      </c>
      <c r="G219" s="152">
        <f>IF(J218&lt;=0.005,0,J218*(1+G$6))</f>
        <v/>
      </c>
      <c r="H219" s="152">
        <f>MIN(G219,G$7)</f>
        <v/>
      </c>
      <c r="I219" s="152">
        <f>MAX(0,MIN(G219-H219,AQ219-(E219)))</f>
        <v/>
      </c>
      <c r="J219" s="152">
        <f>G219-H219-I219</f>
        <v/>
      </c>
      <c r="K219" s="152">
        <f>IF(N218&lt;=0.005,0,N218*(1+K$6))</f>
        <v/>
      </c>
      <c r="L219" s="152">
        <f>MIN(K219,K$7)</f>
        <v/>
      </c>
      <c r="M219" s="152">
        <f>MAX(0,MIN(K219-L219,AQ219-(E219+I219)))</f>
        <v/>
      </c>
      <c r="N219" s="152">
        <f>K219-L219-M219</f>
        <v/>
      </c>
      <c r="O219" s="152">
        <f>IF(R218&lt;=0.005,0,R218*(1+O$6))</f>
        <v/>
      </c>
      <c r="P219" s="152">
        <f>MIN(O219,O$7)</f>
        <v/>
      </c>
      <c r="Q219" s="152">
        <f>MAX(0,MIN(O219-P219,AQ219-(E219+I219+M219)))</f>
        <v/>
      </c>
      <c r="R219" s="152">
        <f>O219-P219-Q219</f>
        <v/>
      </c>
      <c r="S219" s="152">
        <f>IF(V218&lt;=0.005,0,V218*(1+S$6))</f>
        <v/>
      </c>
      <c r="T219" s="152">
        <f>MIN(S219,S$7)</f>
        <v/>
      </c>
      <c r="U219" s="152">
        <f>MAX(0,MIN(S219-T219,AQ219-(E219+I219+M219+Q219)))</f>
        <v/>
      </c>
      <c r="V219" s="152">
        <f>S219-T219-U219</f>
        <v/>
      </c>
      <c r="W219" s="152">
        <f>IF(Z218&lt;=0.005,0,Z218*(1+W$6))</f>
        <v/>
      </c>
      <c r="X219" s="152">
        <f>MIN(W219,W$7)</f>
        <v/>
      </c>
      <c r="Y219" s="152">
        <f>MAX(0,MIN(W219-X219,AQ219-(E219+I219+M219+Q219+U219)))</f>
        <v/>
      </c>
      <c r="Z219" s="152">
        <f>W219-X219-Y219</f>
        <v/>
      </c>
      <c r="AA219" s="152">
        <f>IF(AD218&lt;=0.005,0,AD218*(1+AA$6))</f>
        <v/>
      </c>
      <c r="AB219" s="152">
        <f>MIN(AA219,AA$7)</f>
        <v/>
      </c>
      <c r="AC219" s="152">
        <f>MAX(0,MIN(AA219-AB219,AQ219-(E219+I219+M219+Q219+U219+Y219)))</f>
        <v/>
      </c>
      <c r="AD219" s="152">
        <f>AA219-AB219-AC219</f>
        <v/>
      </c>
      <c r="AE219" s="152">
        <f>IF(AH218&lt;=0.005,0,AH218*(1+AE$6))</f>
        <v/>
      </c>
      <c r="AF219" s="152">
        <f>MIN(AE219,AE$7)</f>
        <v/>
      </c>
      <c r="AG219" s="152">
        <f>MAX(0,MIN(AE219-AF219,AQ219-(E219+I219+M219+Q219+U219+Y219+AC219)))</f>
        <v/>
      </c>
      <c r="AH219" s="152">
        <f>AE219-AF219-AG219</f>
        <v/>
      </c>
      <c r="AI219" s="152">
        <f>IF(AL218&lt;=0.005,0,AL218*(1+AI$6))</f>
        <v/>
      </c>
      <c r="AJ219" s="152">
        <f>MIN(AI219,AI$7)</f>
        <v/>
      </c>
      <c r="AK219" s="152">
        <f>MAX(0,MIN(AI219-AJ219,AQ219-(E219+I219+M219+Q219+U219+Y219+AC219+AG219)))</f>
        <v/>
      </c>
      <c r="AL219" s="152">
        <f>AI219-AJ219-AK219</f>
        <v/>
      </c>
      <c r="AM219" s="152">
        <f>IF(AP218&lt;=0.005,0,AP218*(1+AM$6))</f>
        <v/>
      </c>
      <c r="AN219" s="152">
        <f>MIN(AM219,AM$7)</f>
        <v/>
      </c>
      <c r="AO219" s="152">
        <f>MAX(0,MIN(AM219-AN219,AQ219-(E219+I219+M219+Q219+U219+Y219+AC219+AG219+AK219)))</f>
        <v/>
      </c>
      <c r="AP219" s="152">
        <f>AM219-AN219-AO219</f>
        <v/>
      </c>
      <c r="AQ219" s="152">
        <f>'Debt Payoff'!$C$8-SUM(D219,H219,L219,P219,T219,X219,AB219,AF219,AJ219,AN219)</f>
        <v/>
      </c>
      <c r="AR219" s="152">
        <f>SUM(D219,H219,L219,P219,T219,X219,AB219,AF219,AJ219,AN219)+SUM(E219,I219,M219,Q219,U219,Y219,AC219,AG219,AK219,AO219)</f>
        <v/>
      </c>
      <c r="AS219" s="152">
        <f>SUM(F219,J219,N219,R219,V219,Z219,AD219,AH219,AL219,AP219)</f>
        <v/>
      </c>
      <c r="AT219" s="152">
        <f>IF(B219&gt;AS$6,NA(),B219)</f>
        <v/>
      </c>
      <c r="AU219" s="152">
        <f>IF(B219&gt;AS$6,NA(),AS219)</f>
        <v/>
      </c>
      <c r="AV219" s="152" t="n"/>
      <c r="AW219" s="152" t="n">
        <v>208</v>
      </c>
      <c r="AX219" s="152">
        <f>IF(BA218&lt;=0.005,0,BA218*(1+AX$6))</f>
        <v/>
      </c>
      <c r="AY219" s="152">
        <f>MIN(AX219,AX$7)</f>
        <v/>
      </c>
      <c r="AZ219" s="152">
        <f>MAX(0,MIN(AX219-AY219,CL219))</f>
        <v/>
      </c>
      <c r="BA219" s="152">
        <f>AX219-AY219-AZ219</f>
        <v/>
      </c>
      <c r="BB219" s="152">
        <f>IF(BE218&lt;=0.005,0,BE218*(1+BB$6))</f>
        <v/>
      </c>
      <c r="BC219" s="152">
        <f>MIN(BB219,BB$7)</f>
        <v/>
      </c>
      <c r="BD219" s="152">
        <f>MAX(0,MIN(BB219-BC219,CL219-(AZ219)))</f>
        <v/>
      </c>
      <c r="BE219" s="152">
        <f>BB219-BC219-BD219</f>
        <v/>
      </c>
      <c r="BF219" s="152">
        <f>IF(BI218&lt;=0.005,0,BI218*(1+BF$6))</f>
        <v/>
      </c>
      <c r="BG219" s="152">
        <f>MIN(BF219,BF$7)</f>
        <v/>
      </c>
      <c r="BH219" s="152">
        <f>MAX(0,MIN(BF219-BG219,CL219-(AZ219+BD219)))</f>
        <v/>
      </c>
      <c r="BI219" s="152">
        <f>BF219-BG219-BH219</f>
        <v/>
      </c>
      <c r="BJ219" s="152">
        <f>IF(BM218&lt;=0.005,0,BM218*(1+BJ$6))</f>
        <v/>
      </c>
      <c r="BK219" s="152">
        <f>MIN(BJ219,BJ$7)</f>
        <v/>
      </c>
      <c r="BL219" s="152">
        <f>MAX(0,MIN(BJ219-BK219,CL219-(AZ219+BD219+BH219)))</f>
        <v/>
      </c>
      <c r="BM219" s="152">
        <f>BJ219-BK219-BL219</f>
        <v/>
      </c>
      <c r="BN219" s="152">
        <f>IF(BQ218&lt;=0.005,0,BQ218*(1+BN$6))</f>
        <v/>
      </c>
      <c r="BO219" s="152">
        <f>MIN(BN219,BN$7)</f>
        <v/>
      </c>
      <c r="BP219" s="152">
        <f>MAX(0,MIN(BN219-BO219,CL219-(AZ219+BD219+BH219+BL219)))</f>
        <v/>
      </c>
      <c r="BQ219" s="152">
        <f>BN219-BO219-BP219</f>
        <v/>
      </c>
      <c r="BR219" s="152">
        <f>IF(BU218&lt;=0.005,0,BU218*(1+BR$6))</f>
        <v/>
      </c>
      <c r="BS219" s="152">
        <f>MIN(BR219,BR$7)</f>
        <v/>
      </c>
      <c r="BT219" s="152">
        <f>MAX(0,MIN(BR219-BS219,CL219-(AZ219+BD219+BH219+BL219+BP219)))</f>
        <v/>
      </c>
      <c r="BU219" s="152">
        <f>BR219-BS219-BT219</f>
        <v/>
      </c>
      <c r="BV219" s="152">
        <f>IF(BY218&lt;=0.005,0,BY218*(1+BV$6))</f>
        <v/>
      </c>
      <c r="BW219" s="152">
        <f>MIN(BV219,BV$7)</f>
        <v/>
      </c>
      <c r="BX219" s="152">
        <f>MAX(0,MIN(BV219-BW219,CL219-(AZ219+BD219+BH219+BL219+BP219+BT219)))</f>
        <v/>
      </c>
      <c r="BY219" s="152">
        <f>BV219-BW219-BX219</f>
        <v/>
      </c>
      <c r="BZ219" s="152">
        <f>IF(CC218&lt;=0.005,0,CC218*(1+BZ$6))</f>
        <v/>
      </c>
      <c r="CA219" s="152">
        <f>MIN(BZ219,BZ$7)</f>
        <v/>
      </c>
      <c r="CB219" s="152">
        <f>MAX(0,MIN(BZ219-CA219,CL219-(AZ219+BD219+BH219+BL219+BP219+BT219+BX219)))</f>
        <v/>
      </c>
      <c r="CC219" s="152">
        <f>BZ219-CA219-CB219</f>
        <v/>
      </c>
      <c r="CD219" s="152">
        <f>IF(CG218&lt;=0.005,0,CG218*(1+CD$6))</f>
        <v/>
      </c>
      <c r="CE219" s="152">
        <f>MIN(CD219,CD$7)</f>
        <v/>
      </c>
      <c r="CF219" s="152">
        <f>MAX(0,MIN(CD219-CE219,CL219-(AZ219+BD219+BH219+BL219+BP219+BT219+BX219+CB219)))</f>
        <v/>
      </c>
      <c r="CG219" s="152">
        <f>CD219-CE219-CF219</f>
        <v/>
      </c>
      <c r="CH219" s="152">
        <f>IF(CK218&lt;=0.005,0,CK218*(1+CH$6))</f>
        <v/>
      </c>
      <c r="CI219" s="152">
        <f>MIN(CH219,CH$7)</f>
        <v/>
      </c>
      <c r="CJ219" s="152">
        <f>MAX(0,MIN(CH219-CI219,CL219-(AZ219+BD219+BH219+BL219+BP219+BT219+BX219+CB219+CF219)))</f>
        <v/>
      </c>
      <c r="CK219" s="152">
        <f>CH219-CI219-CJ219</f>
        <v/>
      </c>
      <c r="CL219" s="152">
        <f>'Debt Payoff'!$C$8-SUM(AY219,BC219,BG219,BK219,BO219,BS219,BW219,CA219,CE219,CI219)</f>
        <v/>
      </c>
      <c r="CM219" s="152">
        <f>SUM(AY219,BC219,BG219,BK219,BO219,BS219,BW219,CA219,CE219,CI219)+SUM(AZ219,BD219,BH219,BL219,BP219,BT219,BX219,CB219,CF219,CJ219)</f>
        <v/>
      </c>
      <c r="CN219" s="152">
        <f>SUM(BA219,BE219,BI219,BM219,BQ219,BU219,BY219,CC219,CG219,CK219)</f>
        <v/>
      </c>
      <c r="CO219" s="152">
        <f>IF(AW219&gt;CN$6,NA(),AW219)</f>
        <v/>
      </c>
      <c r="CP219" s="152">
        <f>IF(AW219&gt;CN$6,NA(),CN219)</f>
        <v/>
      </c>
    </row>
    <row r="220">
      <c r="B220" s="152" t="n">
        <v>209</v>
      </c>
      <c r="C220" s="152">
        <f>IF(F219&lt;=0.005,0,F219*(1+C$6))</f>
        <v/>
      </c>
      <c r="D220" s="152">
        <f>MIN(C220,C$7)</f>
        <v/>
      </c>
      <c r="E220" s="152">
        <f>MAX(0,MIN(C220-D220,AQ220))</f>
        <v/>
      </c>
      <c r="F220" s="152">
        <f>C220-D220-E220</f>
        <v/>
      </c>
      <c r="G220" s="152">
        <f>IF(J219&lt;=0.005,0,J219*(1+G$6))</f>
        <v/>
      </c>
      <c r="H220" s="152">
        <f>MIN(G220,G$7)</f>
        <v/>
      </c>
      <c r="I220" s="152">
        <f>MAX(0,MIN(G220-H220,AQ220-(E220)))</f>
        <v/>
      </c>
      <c r="J220" s="152">
        <f>G220-H220-I220</f>
        <v/>
      </c>
      <c r="K220" s="152">
        <f>IF(N219&lt;=0.005,0,N219*(1+K$6))</f>
        <v/>
      </c>
      <c r="L220" s="152">
        <f>MIN(K220,K$7)</f>
        <v/>
      </c>
      <c r="M220" s="152">
        <f>MAX(0,MIN(K220-L220,AQ220-(E220+I220)))</f>
        <v/>
      </c>
      <c r="N220" s="152">
        <f>K220-L220-M220</f>
        <v/>
      </c>
      <c r="O220" s="152">
        <f>IF(R219&lt;=0.005,0,R219*(1+O$6))</f>
        <v/>
      </c>
      <c r="P220" s="152">
        <f>MIN(O220,O$7)</f>
        <v/>
      </c>
      <c r="Q220" s="152">
        <f>MAX(0,MIN(O220-P220,AQ220-(E220+I220+M220)))</f>
        <v/>
      </c>
      <c r="R220" s="152">
        <f>O220-P220-Q220</f>
        <v/>
      </c>
      <c r="S220" s="152">
        <f>IF(V219&lt;=0.005,0,V219*(1+S$6))</f>
        <v/>
      </c>
      <c r="T220" s="152">
        <f>MIN(S220,S$7)</f>
        <v/>
      </c>
      <c r="U220" s="152">
        <f>MAX(0,MIN(S220-T220,AQ220-(E220+I220+M220+Q220)))</f>
        <v/>
      </c>
      <c r="V220" s="152">
        <f>S220-T220-U220</f>
        <v/>
      </c>
      <c r="W220" s="152">
        <f>IF(Z219&lt;=0.005,0,Z219*(1+W$6))</f>
        <v/>
      </c>
      <c r="X220" s="152">
        <f>MIN(W220,W$7)</f>
        <v/>
      </c>
      <c r="Y220" s="152">
        <f>MAX(0,MIN(W220-X220,AQ220-(E220+I220+M220+Q220+U220)))</f>
        <v/>
      </c>
      <c r="Z220" s="152">
        <f>W220-X220-Y220</f>
        <v/>
      </c>
      <c r="AA220" s="152">
        <f>IF(AD219&lt;=0.005,0,AD219*(1+AA$6))</f>
        <v/>
      </c>
      <c r="AB220" s="152">
        <f>MIN(AA220,AA$7)</f>
        <v/>
      </c>
      <c r="AC220" s="152">
        <f>MAX(0,MIN(AA220-AB220,AQ220-(E220+I220+M220+Q220+U220+Y220)))</f>
        <v/>
      </c>
      <c r="AD220" s="152">
        <f>AA220-AB220-AC220</f>
        <v/>
      </c>
      <c r="AE220" s="152">
        <f>IF(AH219&lt;=0.005,0,AH219*(1+AE$6))</f>
        <v/>
      </c>
      <c r="AF220" s="152">
        <f>MIN(AE220,AE$7)</f>
        <v/>
      </c>
      <c r="AG220" s="152">
        <f>MAX(0,MIN(AE220-AF220,AQ220-(E220+I220+M220+Q220+U220+Y220+AC220)))</f>
        <v/>
      </c>
      <c r="AH220" s="152">
        <f>AE220-AF220-AG220</f>
        <v/>
      </c>
      <c r="AI220" s="152">
        <f>IF(AL219&lt;=0.005,0,AL219*(1+AI$6))</f>
        <v/>
      </c>
      <c r="AJ220" s="152">
        <f>MIN(AI220,AI$7)</f>
        <v/>
      </c>
      <c r="AK220" s="152">
        <f>MAX(0,MIN(AI220-AJ220,AQ220-(E220+I220+M220+Q220+U220+Y220+AC220+AG220)))</f>
        <v/>
      </c>
      <c r="AL220" s="152">
        <f>AI220-AJ220-AK220</f>
        <v/>
      </c>
      <c r="AM220" s="152">
        <f>IF(AP219&lt;=0.005,0,AP219*(1+AM$6))</f>
        <v/>
      </c>
      <c r="AN220" s="152">
        <f>MIN(AM220,AM$7)</f>
        <v/>
      </c>
      <c r="AO220" s="152">
        <f>MAX(0,MIN(AM220-AN220,AQ220-(E220+I220+M220+Q220+U220+Y220+AC220+AG220+AK220)))</f>
        <v/>
      </c>
      <c r="AP220" s="152">
        <f>AM220-AN220-AO220</f>
        <v/>
      </c>
      <c r="AQ220" s="152">
        <f>'Debt Payoff'!$C$8-SUM(D220,H220,L220,P220,T220,X220,AB220,AF220,AJ220,AN220)</f>
        <v/>
      </c>
      <c r="AR220" s="152">
        <f>SUM(D220,H220,L220,P220,T220,X220,AB220,AF220,AJ220,AN220)+SUM(E220,I220,M220,Q220,U220,Y220,AC220,AG220,AK220,AO220)</f>
        <v/>
      </c>
      <c r="AS220" s="152">
        <f>SUM(F220,J220,N220,R220,V220,Z220,AD220,AH220,AL220,AP220)</f>
        <v/>
      </c>
      <c r="AT220" s="152">
        <f>IF(B220&gt;AS$6,NA(),B220)</f>
        <v/>
      </c>
      <c r="AU220" s="152">
        <f>IF(B220&gt;AS$6,NA(),AS220)</f>
        <v/>
      </c>
      <c r="AV220" s="152" t="n"/>
      <c r="AW220" s="152" t="n">
        <v>209</v>
      </c>
      <c r="AX220" s="152">
        <f>IF(BA219&lt;=0.005,0,BA219*(1+AX$6))</f>
        <v/>
      </c>
      <c r="AY220" s="152">
        <f>MIN(AX220,AX$7)</f>
        <v/>
      </c>
      <c r="AZ220" s="152">
        <f>MAX(0,MIN(AX220-AY220,CL220))</f>
        <v/>
      </c>
      <c r="BA220" s="152">
        <f>AX220-AY220-AZ220</f>
        <v/>
      </c>
      <c r="BB220" s="152">
        <f>IF(BE219&lt;=0.005,0,BE219*(1+BB$6))</f>
        <v/>
      </c>
      <c r="BC220" s="152">
        <f>MIN(BB220,BB$7)</f>
        <v/>
      </c>
      <c r="BD220" s="152">
        <f>MAX(0,MIN(BB220-BC220,CL220-(AZ220)))</f>
        <v/>
      </c>
      <c r="BE220" s="152">
        <f>BB220-BC220-BD220</f>
        <v/>
      </c>
      <c r="BF220" s="152">
        <f>IF(BI219&lt;=0.005,0,BI219*(1+BF$6))</f>
        <v/>
      </c>
      <c r="BG220" s="152">
        <f>MIN(BF220,BF$7)</f>
        <v/>
      </c>
      <c r="BH220" s="152">
        <f>MAX(0,MIN(BF220-BG220,CL220-(AZ220+BD220)))</f>
        <v/>
      </c>
      <c r="BI220" s="152">
        <f>BF220-BG220-BH220</f>
        <v/>
      </c>
      <c r="BJ220" s="152">
        <f>IF(BM219&lt;=0.005,0,BM219*(1+BJ$6))</f>
        <v/>
      </c>
      <c r="BK220" s="152">
        <f>MIN(BJ220,BJ$7)</f>
        <v/>
      </c>
      <c r="BL220" s="152">
        <f>MAX(0,MIN(BJ220-BK220,CL220-(AZ220+BD220+BH220)))</f>
        <v/>
      </c>
      <c r="BM220" s="152">
        <f>BJ220-BK220-BL220</f>
        <v/>
      </c>
      <c r="BN220" s="152">
        <f>IF(BQ219&lt;=0.005,0,BQ219*(1+BN$6))</f>
        <v/>
      </c>
      <c r="BO220" s="152">
        <f>MIN(BN220,BN$7)</f>
        <v/>
      </c>
      <c r="BP220" s="152">
        <f>MAX(0,MIN(BN220-BO220,CL220-(AZ220+BD220+BH220+BL220)))</f>
        <v/>
      </c>
      <c r="BQ220" s="152">
        <f>BN220-BO220-BP220</f>
        <v/>
      </c>
      <c r="BR220" s="152">
        <f>IF(BU219&lt;=0.005,0,BU219*(1+BR$6))</f>
        <v/>
      </c>
      <c r="BS220" s="152">
        <f>MIN(BR220,BR$7)</f>
        <v/>
      </c>
      <c r="BT220" s="152">
        <f>MAX(0,MIN(BR220-BS220,CL220-(AZ220+BD220+BH220+BL220+BP220)))</f>
        <v/>
      </c>
      <c r="BU220" s="152">
        <f>BR220-BS220-BT220</f>
        <v/>
      </c>
      <c r="BV220" s="152">
        <f>IF(BY219&lt;=0.005,0,BY219*(1+BV$6))</f>
        <v/>
      </c>
      <c r="BW220" s="152">
        <f>MIN(BV220,BV$7)</f>
        <v/>
      </c>
      <c r="BX220" s="152">
        <f>MAX(0,MIN(BV220-BW220,CL220-(AZ220+BD220+BH220+BL220+BP220+BT220)))</f>
        <v/>
      </c>
      <c r="BY220" s="152">
        <f>BV220-BW220-BX220</f>
        <v/>
      </c>
      <c r="BZ220" s="152">
        <f>IF(CC219&lt;=0.005,0,CC219*(1+BZ$6))</f>
        <v/>
      </c>
      <c r="CA220" s="152">
        <f>MIN(BZ220,BZ$7)</f>
        <v/>
      </c>
      <c r="CB220" s="152">
        <f>MAX(0,MIN(BZ220-CA220,CL220-(AZ220+BD220+BH220+BL220+BP220+BT220+BX220)))</f>
        <v/>
      </c>
      <c r="CC220" s="152">
        <f>BZ220-CA220-CB220</f>
        <v/>
      </c>
      <c r="CD220" s="152">
        <f>IF(CG219&lt;=0.005,0,CG219*(1+CD$6))</f>
        <v/>
      </c>
      <c r="CE220" s="152">
        <f>MIN(CD220,CD$7)</f>
        <v/>
      </c>
      <c r="CF220" s="152">
        <f>MAX(0,MIN(CD220-CE220,CL220-(AZ220+BD220+BH220+BL220+BP220+BT220+BX220+CB220)))</f>
        <v/>
      </c>
      <c r="CG220" s="152">
        <f>CD220-CE220-CF220</f>
        <v/>
      </c>
      <c r="CH220" s="152">
        <f>IF(CK219&lt;=0.005,0,CK219*(1+CH$6))</f>
        <v/>
      </c>
      <c r="CI220" s="152">
        <f>MIN(CH220,CH$7)</f>
        <v/>
      </c>
      <c r="CJ220" s="152">
        <f>MAX(0,MIN(CH220-CI220,CL220-(AZ220+BD220+BH220+BL220+BP220+BT220+BX220+CB220+CF220)))</f>
        <v/>
      </c>
      <c r="CK220" s="152">
        <f>CH220-CI220-CJ220</f>
        <v/>
      </c>
      <c r="CL220" s="152">
        <f>'Debt Payoff'!$C$8-SUM(AY220,BC220,BG220,BK220,BO220,BS220,BW220,CA220,CE220,CI220)</f>
        <v/>
      </c>
      <c r="CM220" s="152">
        <f>SUM(AY220,BC220,BG220,BK220,BO220,BS220,BW220,CA220,CE220,CI220)+SUM(AZ220,BD220,BH220,BL220,BP220,BT220,BX220,CB220,CF220,CJ220)</f>
        <v/>
      </c>
      <c r="CN220" s="152">
        <f>SUM(BA220,BE220,BI220,BM220,BQ220,BU220,BY220,CC220,CG220,CK220)</f>
        <v/>
      </c>
      <c r="CO220" s="152">
        <f>IF(AW220&gt;CN$6,NA(),AW220)</f>
        <v/>
      </c>
      <c r="CP220" s="152">
        <f>IF(AW220&gt;CN$6,NA(),CN220)</f>
        <v/>
      </c>
    </row>
    <row r="221">
      <c r="B221" s="152" t="n">
        <v>210</v>
      </c>
      <c r="C221" s="152">
        <f>IF(F220&lt;=0.005,0,F220*(1+C$6))</f>
        <v/>
      </c>
      <c r="D221" s="152">
        <f>MIN(C221,C$7)</f>
        <v/>
      </c>
      <c r="E221" s="152">
        <f>MAX(0,MIN(C221-D221,AQ221))</f>
        <v/>
      </c>
      <c r="F221" s="152">
        <f>C221-D221-E221</f>
        <v/>
      </c>
      <c r="G221" s="152">
        <f>IF(J220&lt;=0.005,0,J220*(1+G$6))</f>
        <v/>
      </c>
      <c r="H221" s="152">
        <f>MIN(G221,G$7)</f>
        <v/>
      </c>
      <c r="I221" s="152">
        <f>MAX(0,MIN(G221-H221,AQ221-(E221)))</f>
        <v/>
      </c>
      <c r="J221" s="152">
        <f>G221-H221-I221</f>
        <v/>
      </c>
      <c r="K221" s="152">
        <f>IF(N220&lt;=0.005,0,N220*(1+K$6))</f>
        <v/>
      </c>
      <c r="L221" s="152">
        <f>MIN(K221,K$7)</f>
        <v/>
      </c>
      <c r="M221" s="152">
        <f>MAX(0,MIN(K221-L221,AQ221-(E221+I221)))</f>
        <v/>
      </c>
      <c r="N221" s="152">
        <f>K221-L221-M221</f>
        <v/>
      </c>
      <c r="O221" s="152">
        <f>IF(R220&lt;=0.005,0,R220*(1+O$6))</f>
        <v/>
      </c>
      <c r="P221" s="152">
        <f>MIN(O221,O$7)</f>
        <v/>
      </c>
      <c r="Q221" s="152">
        <f>MAX(0,MIN(O221-P221,AQ221-(E221+I221+M221)))</f>
        <v/>
      </c>
      <c r="R221" s="152">
        <f>O221-P221-Q221</f>
        <v/>
      </c>
      <c r="S221" s="152">
        <f>IF(V220&lt;=0.005,0,V220*(1+S$6))</f>
        <v/>
      </c>
      <c r="T221" s="152">
        <f>MIN(S221,S$7)</f>
        <v/>
      </c>
      <c r="U221" s="152">
        <f>MAX(0,MIN(S221-T221,AQ221-(E221+I221+M221+Q221)))</f>
        <v/>
      </c>
      <c r="V221" s="152">
        <f>S221-T221-U221</f>
        <v/>
      </c>
      <c r="W221" s="152">
        <f>IF(Z220&lt;=0.005,0,Z220*(1+W$6))</f>
        <v/>
      </c>
      <c r="X221" s="152">
        <f>MIN(W221,W$7)</f>
        <v/>
      </c>
      <c r="Y221" s="152">
        <f>MAX(0,MIN(W221-X221,AQ221-(E221+I221+M221+Q221+U221)))</f>
        <v/>
      </c>
      <c r="Z221" s="152">
        <f>W221-X221-Y221</f>
        <v/>
      </c>
      <c r="AA221" s="152">
        <f>IF(AD220&lt;=0.005,0,AD220*(1+AA$6))</f>
        <v/>
      </c>
      <c r="AB221" s="152">
        <f>MIN(AA221,AA$7)</f>
        <v/>
      </c>
      <c r="AC221" s="152">
        <f>MAX(0,MIN(AA221-AB221,AQ221-(E221+I221+M221+Q221+U221+Y221)))</f>
        <v/>
      </c>
      <c r="AD221" s="152">
        <f>AA221-AB221-AC221</f>
        <v/>
      </c>
      <c r="AE221" s="152">
        <f>IF(AH220&lt;=0.005,0,AH220*(1+AE$6))</f>
        <v/>
      </c>
      <c r="AF221" s="152">
        <f>MIN(AE221,AE$7)</f>
        <v/>
      </c>
      <c r="AG221" s="152">
        <f>MAX(0,MIN(AE221-AF221,AQ221-(E221+I221+M221+Q221+U221+Y221+AC221)))</f>
        <v/>
      </c>
      <c r="AH221" s="152">
        <f>AE221-AF221-AG221</f>
        <v/>
      </c>
      <c r="AI221" s="152">
        <f>IF(AL220&lt;=0.005,0,AL220*(1+AI$6))</f>
        <v/>
      </c>
      <c r="AJ221" s="152">
        <f>MIN(AI221,AI$7)</f>
        <v/>
      </c>
      <c r="AK221" s="152">
        <f>MAX(0,MIN(AI221-AJ221,AQ221-(E221+I221+M221+Q221+U221+Y221+AC221+AG221)))</f>
        <v/>
      </c>
      <c r="AL221" s="152">
        <f>AI221-AJ221-AK221</f>
        <v/>
      </c>
      <c r="AM221" s="152">
        <f>IF(AP220&lt;=0.005,0,AP220*(1+AM$6))</f>
        <v/>
      </c>
      <c r="AN221" s="152">
        <f>MIN(AM221,AM$7)</f>
        <v/>
      </c>
      <c r="AO221" s="152">
        <f>MAX(0,MIN(AM221-AN221,AQ221-(E221+I221+M221+Q221+U221+Y221+AC221+AG221+AK221)))</f>
        <v/>
      </c>
      <c r="AP221" s="152">
        <f>AM221-AN221-AO221</f>
        <v/>
      </c>
      <c r="AQ221" s="152">
        <f>'Debt Payoff'!$C$8-SUM(D221,H221,L221,P221,T221,X221,AB221,AF221,AJ221,AN221)</f>
        <v/>
      </c>
      <c r="AR221" s="152">
        <f>SUM(D221,H221,L221,P221,T221,X221,AB221,AF221,AJ221,AN221)+SUM(E221,I221,M221,Q221,U221,Y221,AC221,AG221,AK221,AO221)</f>
        <v/>
      </c>
      <c r="AS221" s="152">
        <f>SUM(F221,J221,N221,R221,V221,Z221,AD221,AH221,AL221,AP221)</f>
        <v/>
      </c>
      <c r="AT221" s="152">
        <f>IF(B221&gt;AS$6,NA(),B221)</f>
        <v/>
      </c>
      <c r="AU221" s="152">
        <f>IF(B221&gt;AS$6,NA(),AS221)</f>
        <v/>
      </c>
      <c r="AV221" s="152" t="n"/>
      <c r="AW221" s="152" t="n">
        <v>210</v>
      </c>
      <c r="AX221" s="152">
        <f>IF(BA220&lt;=0.005,0,BA220*(1+AX$6))</f>
        <v/>
      </c>
      <c r="AY221" s="152">
        <f>MIN(AX221,AX$7)</f>
        <v/>
      </c>
      <c r="AZ221" s="152">
        <f>MAX(0,MIN(AX221-AY221,CL221))</f>
        <v/>
      </c>
      <c r="BA221" s="152">
        <f>AX221-AY221-AZ221</f>
        <v/>
      </c>
      <c r="BB221" s="152">
        <f>IF(BE220&lt;=0.005,0,BE220*(1+BB$6))</f>
        <v/>
      </c>
      <c r="BC221" s="152">
        <f>MIN(BB221,BB$7)</f>
        <v/>
      </c>
      <c r="BD221" s="152">
        <f>MAX(0,MIN(BB221-BC221,CL221-(AZ221)))</f>
        <v/>
      </c>
      <c r="BE221" s="152">
        <f>BB221-BC221-BD221</f>
        <v/>
      </c>
      <c r="BF221" s="152">
        <f>IF(BI220&lt;=0.005,0,BI220*(1+BF$6))</f>
        <v/>
      </c>
      <c r="BG221" s="152">
        <f>MIN(BF221,BF$7)</f>
        <v/>
      </c>
      <c r="BH221" s="152">
        <f>MAX(0,MIN(BF221-BG221,CL221-(AZ221+BD221)))</f>
        <v/>
      </c>
      <c r="BI221" s="152">
        <f>BF221-BG221-BH221</f>
        <v/>
      </c>
      <c r="BJ221" s="152">
        <f>IF(BM220&lt;=0.005,0,BM220*(1+BJ$6))</f>
        <v/>
      </c>
      <c r="BK221" s="152">
        <f>MIN(BJ221,BJ$7)</f>
        <v/>
      </c>
      <c r="BL221" s="152">
        <f>MAX(0,MIN(BJ221-BK221,CL221-(AZ221+BD221+BH221)))</f>
        <v/>
      </c>
      <c r="BM221" s="152">
        <f>BJ221-BK221-BL221</f>
        <v/>
      </c>
      <c r="BN221" s="152">
        <f>IF(BQ220&lt;=0.005,0,BQ220*(1+BN$6))</f>
        <v/>
      </c>
      <c r="BO221" s="152">
        <f>MIN(BN221,BN$7)</f>
        <v/>
      </c>
      <c r="BP221" s="152">
        <f>MAX(0,MIN(BN221-BO221,CL221-(AZ221+BD221+BH221+BL221)))</f>
        <v/>
      </c>
      <c r="BQ221" s="152">
        <f>BN221-BO221-BP221</f>
        <v/>
      </c>
      <c r="BR221" s="152">
        <f>IF(BU220&lt;=0.005,0,BU220*(1+BR$6))</f>
        <v/>
      </c>
      <c r="BS221" s="152">
        <f>MIN(BR221,BR$7)</f>
        <v/>
      </c>
      <c r="BT221" s="152">
        <f>MAX(0,MIN(BR221-BS221,CL221-(AZ221+BD221+BH221+BL221+BP221)))</f>
        <v/>
      </c>
      <c r="BU221" s="152">
        <f>BR221-BS221-BT221</f>
        <v/>
      </c>
      <c r="BV221" s="152">
        <f>IF(BY220&lt;=0.005,0,BY220*(1+BV$6))</f>
        <v/>
      </c>
      <c r="BW221" s="152">
        <f>MIN(BV221,BV$7)</f>
        <v/>
      </c>
      <c r="BX221" s="152">
        <f>MAX(0,MIN(BV221-BW221,CL221-(AZ221+BD221+BH221+BL221+BP221+BT221)))</f>
        <v/>
      </c>
      <c r="BY221" s="152">
        <f>BV221-BW221-BX221</f>
        <v/>
      </c>
      <c r="BZ221" s="152">
        <f>IF(CC220&lt;=0.005,0,CC220*(1+BZ$6))</f>
        <v/>
      </c>
      <c r="CA221" s="152">
        <f>MIN(BZ221,BZ$7)</f>
        <v/>
      </c>
      <c r="CB221" s="152">
        <f>MAX(0,MIN(BZ221-CA221,CL221-(AZ221+BD221+BH221+BL221+BP221+BT221+BX221)))</f>
        <v/>
      </c>
      <c r="CC221" s="152">
        <f>BZ221-CA221-CB221</f>
        <v/>
      </c>
      <c r="CD221" s="152">
        <f>IF(CG220&lt;=0.005,0,CG220*(1+CD$6))</f>
        <v/>
      </c>
      <c r="CE221" s="152">
        <f>MIN(CD221,CD$7)</f>
        <v/>
      </c>
      <c r="CF221" s="152">
        <f>MAX(0,MIN(CD221-CE221,CL221-(AZ221+BD221+BH221+BL221+BP221+BT221+BX221+CB221)))</f>
        <v/>
      </c>
      <c r="CG221" s="152">
        <f>CD221-CE221-CF221</f>
        <v/>
      </c>
      <c r="CH221" s="152">
        <f>IF(CK220&lt;=0.005,0,CK220*(1+CH$6))</f>
        <v/>
      </c>
      <c r="CI221" s="152">
        <f>MIN(CH221,CH$7)</f>
        <v/>
      </c>
      <c r="CJ221" s="152">
        <f>MAX(0,MIN(CH221-CI221,CL221-(AZ221+BD221+BH221+BL221+BP221+BT221+BX221+CB221+CF221)))</f>
        <v/>
      </c>
      <c r="CK221" s="152">
        <f>CH221-CI221-CJ221</f>
        <v/>
      </c>
      <c r="CL221" s="152">
        <f>'Debt Payoff'!$C$8-SUM(AY221,BC221,BG221,BK221,BO221,BS221,BW221,CA221,CE221,CI221)</f>
        <v/>
      </c>
      <c r="CM221" s="152">
        <f>SUM(AY221,BC221,BG221,BK221,BO221,BS221,BW221,CA221,CE221,CI221)+SUM(AZ221,BD221,BH221,BL221,BP221,BT221,BX221,CB221,CF221,CJ221)</f>
        <v/>
      </c>
      <c r="CN221" s="152">
        <f>SUM(BA221,BE221,BI221,BM221,BQ221,BU221,BY221,CC221,CG221,CK221)</f>
        <v/>
      </c>
      <c r="CO221" s="152">
        <f>IF(AW221&gt;CN$6,NA(),AW221)</f>
        <v/>
      </c>
      <c r="CP221" s="152">
        <f>IF(AW221&gt;CN$6,NA(),CN221)</f>
        <v/>
      </c>
    </row>
    <row r="222">
      <c r="B222" s="152" t="n">
        <v>211</v>
      </c>
      <c r="C222" s="152">
        <f>IF(F221&lt;=0.005,0,F221*(1+C$6))</f>
        <v/>
      </c>
      <c r="D222" s="152">
        <f>MIN(C222,C$7)</f>
        <v/>
      </c>
      <c r="E222" s="152">
        <f>MAX(0,MIN(C222-D222,AQ222))</f>
        <v/>
      </c>
      <c r="F222" s="152">
        <f>C222-D222-E222</f>
        <v/>
      </c>
      <c r="G222" s="152">
        <f>IF(J221&lt;=0.005,0,J221*(1+G$6))</f>
        <v/>
      </c>
      <c r="H222" s="152">
        <f>MIN(G222,G$7)</f>
        <v/>
      </c>
      <c r="I222" s="152">
        <f>MAX(0,MIN(G222-H222,AQ222-(E222)))</f>
        <v/>
      </c>
      <c r="J222" s="152">
        <f>G222-H222-I222</f>
        <v/>
      </c>
      <c r="K222" s="152">
        <f>IF(N221&lt;=0.005,0,N221*(1+K$6))</f>
        <v/>
      </c>
      <c r="L222" s="152">
        <f>MIN(K222,K$7)</f>
        <v/>
      </c>
      <c r="M222" s="152">
        <f>MAX(0,MIN(K222-L222,AQ222-(E222+I222)))</f>
        <v/>
      </c>
      <c r="N222" s="152">
        <f>K222-L222-M222</f>
        <v/>
      </c>
      <c r="O222" s="152">
        <f>IF(R221&lt;=0.005,0,R221*(1+O$6))</f>
        <v/>
      </c>
      <c r="P222" s="152">
        <f>MIN(O222,O$7)</f>
        <v/>
      </c>
      <c r="Q222" s="152">
        <f>MAX(0,MIN(O222-P222,AQ222-(E222+I222+M222)))</f>
        <v/>
      </c>
      <c r="R222" s="152">
        <f>O222-P222-Q222</f>
        <v/>
      </c>
      <c r="S222" s="152">
        <f>IF(V221&lt;=0.005,0,V221*(1+S$6))</f>
        <v/>
      </c>
      <c r="T222" s="152">
        <f>MIN(S222,S$7)</f>
        <v/>
      </c>
      <c r="U222" s="152">
        <f>MAX(0,MIN(S222-T222,AQ222-(E222+I222+M222+Q222)))</f>
        <v/>
      </c>
      <c r="V222" s="152">
        <f>S222-T222-U222</f>
        <v/>
      </c>
      <c r="W222" s="152">
        <f>IF(Z221&lt;=0.005,0,Z221*(1+W$6))</f>
        <v/>
      </c>
      <c r="X222" s="152">
        <f>MIN(W222,W$7)</f>
        <v/>
      </c>
      <c r="Y222" s="152">
        <f>MAX(0,MIN(W222-X222,AQ222-(E222+I222+M222+Q222+U222)))</f>
        <v/>
      </c>
      <c r="Z222" s="152">
        <f>W222-X222-Y222</f>
        <v/>
      </c>
      <c r="AA222" s="152">
        <f>IF(AD221&lt;=0.005,0,AD221*(1+AA$6))</f>
        <v/>
      </c>
      <c r="AB222" s="152">
        <f>MIN(AA222,AA$7)</f>
        <v/>
      </c>
      <c r="AC222" s="152">
        <f>MAX(0,MIN(AA222-AB222,AQ222-(E222+I222+M222+Q222+U222+Y222)))</f>
        <v/>
      </c>
      <c r="AD222" s="152">
        <f>AA222-AB222-AC222</f>
        <v/>
      </c>
      <c r="AE222" s="152">
        <f>IF(AH221&lt;=0.005,0,AH221*(1+AE$6))</f>
        <v/>
      </c>
      <c r="AF222" s="152">
        <f>MIN(AE222,AE$7)</f>
        <v/>
      </c>
      <c r="AG222" s="152">
        <f>MAX(0,MIN(AE222-AF222,AQ222-(E222+I222+M222+Q222+U222+Y222+AC222)))</f>
        <v/>
      </c>
      <c r="AH222" s="152">
        <f>AE222-AF222-AG222</f>
        <v/>
      </c>
      <c r="AI222" s="152">
        <f>IF(AL221&lt;=0.005,0,AL221*(1+AI$6))</f>
        <v/>
      </c>
      <c r="AJ222" s="152">
        <f>MIN(AI222,AI$7)</f>
        <v/>
      </c>
      <c r="AK222" s="152">
        <f>MAX(0,MIN(AI222-AJ222,AQ222-(E222+I222+M222+Q222+U222+Y222+AC222+AG222)))</f>
        <v/>
      </c>
      <c r="AL222" s="152">
        <f>AI222-AJ222-AK222</f>
        <v/>
      </c>
      <c r="AM222" s="152">
        <f>IF(AP221&lt;=0.005,0,AP221*(1+AM$6))</f>
        <v/>
      </c>
      <c r="AN222" s="152">
        <f>MIN(AM222,AM$7)</f>
        <v/>
      </c>
      <c r="AO222" s="152">
        <f>MAX(0,MIN(AM222-AN222,AQ222-(E222+I222+M222+Q222+U222+Y222+AC222+AG222+AK222)))</f>
        <v/>
      </c>
      <c r="AP222" s="152">
        <f>AM222-AN222-AO222</f>
        <v/>
      </c>
      <c r="AQ222" s="152">
        <f>'Debt Payoff'!$C$8-SUM(D222,H222,L222,P222,T222,X222,AB222,AF222,AJ222,AN222)</f>
        <v/>
      </c>
      <c r="AR222" s="152">
        <f>SUM(D222,H222,L222,P222,T222,X222,AB222,AF222,AJ222,AN222)+SUM(E222,I222,M222,Q222,U222,Y222,AC222,AG222,AK222,AO222)</f>
        <v/>
      </c>
      <c r="AS222" s="152">
        <f>SUM(F222,J222,N222,R222,V222,Z222,AD222,AH222,AL222,AP222)</f>
        <v/>
      </c>
      <c r="AT222" s="152">
        <f>IF(B222&gt;AS$6,NA(),B222)</f>
        <v/>
      </c>
      <c r="AU222" s="152">
        <f>IF(B222&gt;AS$6,NA(),AS222)</f>
        <v/>
      </c>
      <c r="AV222" s="152" t="n"/>
      <c r="AW222" s="152" t="n">
        <v>211</v>
      </c>
      <c r="AX222" s="152">
        <f>IF(BA221&lt;=0.005,0,BA221*(1+AX$6))</f>
        <v/>
      </c>
      <c r="AY222" s="152">
        <f>MIN(AX222,AX$7)</f>
        <v/>
      </c>
      <c r="AZ222" s="152">
        <f>MAX(0,MIN(AX222-AY222,CL222))</f>
        <v/>
      </c>
      <c r="BA222" s="152">
        <f>AX222-AY222-AZ222</f>
        <v/>
      </c>
      <c r="BB222" s="152">
        <f>IF(BE221&lt;=0.005,0,BE221*(1+BB$6))</f>
        <v/>
      </c>
      <c r="BC222" s="152">
        <f>MIN(BB222,BB$7)</f>
        <v/>
      </c>
      <c r="BD222" s="152">
        <f>MAX(0,MIN(BB222-BC222,CL222-(AZ222)))</f>
        <v/>
      </c>
      <c r="BE222" s="152">
        <f>BB222-BC222-BD222</f>
        <v/>
      </c>
      <c r="BF222" s="152">
        <f>IF(BI221&lt;=0.005,0,BI221*(1+BF$6))</f>
        <v/>
      </c>
      <c r="BG222" s="152">
        <f>MIN(BF222,BF$7)</f>
        <v/>
      </c>
      <c r="BH222" s="152">
        <f>MAX(0,MIN(BF222-BG222,CL222-(AZ222+BD222)))</f>
        <v/>
      </c>
      <c r="BI222" s="152">
        <f>BF222-BG222-BH222</f>
        <v/>
      </c>
      <c r="BJ222" s="152">
        <f>IF(BM221&lt;=0.005,0,BM221*(1+BJ$6))</f>
        <v/>
      </c>
      <c r="BK222" s="152">
        <f>MIN(BJ222,BJ$7)</f>
        <v/>
      </c>
      <c r="BL222" s="152">
        <f>MAX(0,MIN(BJ222-BK222,CL222-(AZ222+BD222+BH222)))</f>
        <v/>
      </c>
      <c r="BM222" s="152">
        <f>BJ222-BK222-BL222</f>
        <v/>
      </c>
      <c r="BN222" s="152">
        <f>IF(BQ221&lt;=0.005,0,BQ221*(1+BN$6))</f>
        <v/>
      </c>
      <c r="BO222" s="152">
        <f>MIN(BN222,BN$7)</f>
        <v/>
      </c>
      <c r="BP222" s="152">
        <f>MAX(0,MIN(BN222-BO222,CL222-(AZ222+BD222+BH222+BL222)))</f>
        <v/>
      </c>
      <c r="BQ222" s="152">
        <f>BN222-BO222-BP222</f>
        <v/>
      </c>
      <c r="BR222" s="152">
        <f>IF(BU221&lt;=0.005,0,BU221*(1+BR$6))</f>
        <v/>
      </c>
      <c r="BS222" s="152">
        <f>MIN(BR222,BR$7)</f>
        <v/>
      </c>
      <c r="BT222" s="152">
        <f>MAX(0,MIN(BR222-BS222,CL222-(AZ222+BD222+BH222+BL222+BP222)))</f>
        <v/>
      </c>
      <c r="BU222" s="152">
        <f>BR222-BS222-BT222</f>
        <v/>
      </c>
      <c r="BV222" s="152">
        <f>IF(BY221&lt;=0.005,0,BY221*(1+BV$6))</f>
        <v/>
      </c>
      <c r="BW222" s="152">
        <f>MIN(BV222,BV$7)</f>
        <v/>
      </c>
      <c r="BX222" s="152">
        <f>MAX(0,MIN(BV222-BW222,CL222-(AZ222+BD222+BH222+BL222+BP222+BT222)))</f>
        <v/>
      </c>
      <c r="BY222" s="152">
        <f>BV222-BW222-BX222</f>
        <v/>
      </c>
      <c r="BZ222" s="152">
        <f>IF(CC221&lt;=0.005,0,CC221*(1+BZ$6))</f>
        <v/>
      </c>
      <c r="CA222" s="152">
        <f>MIN(BZ222,BZ$7)</f>
        <v/>
      </c>
      <c r="CB222" s="152">
        <f>MAX(0,MIN(BZ222-CA222,CL222-(AZ222+BD222+BH222+BL222+BP222+BT222+BX222)))</f>
        <v/>
      </c>
      <c r="CC222" s="152">
        <f>BZ222-CA222-CB222</f>
        <v/>
      </c>
      <c r="CD222" s="152">
        <f>IF(CG221&lt;=0.005,0,CG221*(1+CD$6))</f>
        <v/>
      </c>
      <c r="CE222" s="152">
        <f>MIN(CD222,CD$7)</f>
        <v/>
      </c>
      <c r="CF222" s="152">
        <f>MAX(0,MIN(CD222-CE222,CL222-(AZ222+BD222+BH222+BL222+BP222+BT222+BX222+CB222)))</f>
        <v/>
      </c>
      <c r="CG222" s="152">
        <f>CD222-CE222-CF222</f>
        <v/>
      </c>
      <c r="CH222" s="152">
        <f>IF(CK221&lt;=0.005,0,CK221*(1+CH$6))</f>
        <v/>
      </c>
      <c r="CI222" s="152">
        <f>MIN(CH222,CH$7)</f>
        <v/>
      </c>
      <c r="CJ222" s="152">
        <f>MAX(0,MIN(CH222-CI222,CL222-(AZ222+BD222+BH222+BL222+BP222+BT222+BX222+CB222+CF222)))</f>
        <v/>
      </c>
      <c r="CK222" s="152">
        <f>CH222-CI222-CJ222</f>
        <v/>
      </c>
      <c r="CL222" s="152">
        <f>'Debt Payoff'!$C$8-SUM(AY222,BC222,BG222,BK222,BO222,BS222,BW222,CA222,CE222,CI222)</f>
        <v/>
      </c>
      <c r="CM222" s="152">
        <f>SUM(AY222,BC222,BG222,BK222,BO222,BS222,BW222,CA222,CE222,CI222)+SUM(AZ222,BD222,BH222,BL222,BP222,BT222,BX222,CB222,CF222,CJ222)</f>
        <v/>
      </c>
      <c r="CN222" s="152">
        <f>SUM(BA222,BE222,BI222,BM222,BQ222,BU222,BY222,CC222,CG222,CK222)</f>
        <v/>
      </c>
      <c r="CO222" s="152">
        <f>IF(AW222&gt;CN$6,NA(),AW222)</f>
        <v/>
      </c>
      <c r="CP222" s="152">
        <f>IF(AW222&gt;CN$6,NA(),CN222)</f>
        <v/>
      </c>
    </row>
    <row r="223">
      <c r="B223" s="152" t="n">
        <v>212</v>
      </c>
      <c r="C223" s="152">
        <f>IF(F222&lt;=0.005,0,F222*(1+C$6))</f>
        <v/>
      </c>
      <c r="D223" s="152">
        <f>MIN(C223,C$7)</f>
        <v/>
      </c>
      <c r="E223" s="152">
        <f>MAX(0,MIN(C223-D223,AQ223))</f>
        <v/>
      </c>
      <c r="F223" s="152">
        <f>C223-D223-E223</f>
        <v/>
      </c>
      <c r="G223" s="152">
        <f>IF(J222&lt;=0.005,0,J222*(1+G$6))</f>
        <v/>
      </c>
      <c r="H223" s="152">
        <f>MIN(G223,G$7)</f>
        <v/>
      </c>
      <c r="I223" s="152">
        <f>MAX(0,MIN(G223-H223,AQ223-(E223)))</f>
        <v/>
      </c>
      <c r="J223" s="152">
        <f>G223-H223-I223</f>
        <v/>
      </c>
      <c r="K223" s="152">
        <f>IF(N222&lt;=0.005,0,N222*(1+K$6))</f>
        <v/>
      </c>
      <c r="L223" s="152">
        <f>MIN(K223,K$7)</f>
        <v/>
      </c>
      <c r="M223" s="152">
        <f>MAX(0,MIN(K223-L223,AQ223-(E223+I223)))</f>
        <v/>
      </c>
      <c r="N223" s="152">
        <f>K223-L223-M223</f>
        <v/>
      </c>
      <c r="O223" s="152">
        <f>IF(R222&lt;=0.005,0,R222*(1+O$6))</f>
        <v/>
      </c>
      <c r="P223" s="152">
        <f>MIN(O223,O$7)</f>
        <v/>
      </c>
      <c r="Q223" s="152">
        <f>MAX(0,MIN(O223-P223,AQ223-(E223+I223+M223)))</f>
        <v/>
      </c>
      <c r="R223" s="152">
        <f>O223-P223-Q223</f>
        <v/>
      </c>
      <c r="S223" s="152">
        <f>IF(V222&lt;=0.005,0,V222*(1+S$6))</f>
        <v/>
      </c>
      <c r="T223" s="152">
        <f>MIN(S223,S$7)</f>
        <v/>
      </c>
      <c r="U223" s="152">
        <f>MAX(0,MIN(S223-T223,AQ223-(E223+I223+M223+Q223)))</f>
        <v/>
      </c>
      <c r="V223" s="152">
        <f>S223-T223-U223</f>
        <v/>
      </c>
      <c r="W223" s="152">
        <f>IF(Z222&lt;=0.005,0,Z222*(1+W$6))</f>
        <v/>
      </c>
      <c r="X223" s="152">
        <f>MIN(W223,W$7)</f>
        <v/>
      </c>
      <c r="Y223" s="152">
        <f>MAX(0,MIN(W223-X223,AQ223-(E223+I223+M223+Q223+U223)))</f>
        <v/>
      </c>
      <c r="Z223" s="152">
        <f>W223-X223-Y223</f>
        <v/>
      </c>
      <c r="AA223" s="152">
        <f>IF(AD222&lt;=0.005,0,AD222*(1+AA$6))</f>
        <v/>
      </c>
      <c r="AB223" s="152">
        <f>MIN(AA223,AA$7)</f>
        <v/>
      </c>
      <c r="AC223" s="152">
        <f>MAX(0,MIN(AA223-AB223,AQ223-(E223+I223+M223+Q223+U223+Y223)))</f>
        <v/>
      </c>
      <c r="AD223" s="152">
        <f>AA223-AB223-AC223</f>
        <v/>
      </c>
      <c r="AE223" s="152">
        <f>IF(AH222&lt;=0.005,0,AH222*(1+AE$6))</f>
        <v/>
      </c>
      <c r="AF223" s="152">
        <f>MIN(AE223,AE$7)</f>
        <v/>
      </c>
      <c r="AG223" s="152">
        <f>MAX(0,MIN(AE223-AF223,AQ223-(E223+I223+M223+Q223+U223+Y223+AC223)))</f>
        <v/>
      </c>
      <c r="AH223" s="152">
        <f>AE223-AF223-AG223</f>
        <v/>
      </c>
      <c r="AI223" s="152">
        <f>IF(AL222&lt;=0.005,0,AL222*(1+AI$6))</f>
        <v/>
      </c>
      <c r="AJ223" s="152">
        <f>MIN(AI223,AI$7)</f>
        <v/>
      </c>
      <c r="AK223" s="152">
        <f>MAX(0,MIN(AI223-AJ223,AQ223-(E223+I223+M223+Q223+U223+Y223+AC223+AG223)))</f>
        <v/>
      </c>
      <c r="AL223" s="152">
        <f>AI223-AJ223-AK223</f>
        <v/>
      </c>
      <c r="AM223" s="152">
        <f>IF(AP222&lt;=0.005,0,AP222*(1+AM$6))</f>
        <v/>
      </c>
      <c r="AN223" s="152">
        <f>MIN(AM223,AM$7)</f>
        <v/>
      </c>
      <c r="AO223" s="152">
        <f>MAX(0,MIN(AM223-AN223,AQ223-(E223+I223+M223+Q223+U223+Y223+AC223+AG223+AK223)))</f>
        <v/>
      </c>
      <c r="AP223" s="152">
        <f>AM223-AN223-AO223</f>
        <v/>
      </c>
      <c r="AQ223" s="152">
        <f>'Debt Payoff'!$C$8-SUM(D223,H223,L223,P223,T223,X223,AB223,AF223,AJ223,AN223)</f>
        <v/>
      </c>
      <c r="AR223" s="152">
        <f>SUM(D223,H223,L223,P223,T223,X223,AB223,AF223,AJ223,AN223)+SUM(E223,I223,M223,Q223,U223,Y223,AC223,AG223,AK223,AO223)</f>
        <v/>
      </c>
      <c r="AS223" s="152">
        <f>SUM(F223,J223,N223,R223,V223,Z223,AD223,AH223,AL223,AP223)</f>
        <v/>
      </c>
      <c r="AT223" s="152">
        <f>IF(B223&gt;AS$6,NA(),B223)</f>
        <v/>
      </c>
      <c r="AU223" s="152">
        <f>IF(B223&gt;AS$6,NA(),AS223)</f>
        <v/>
      </c>
      <c r="AV223" s="152" t="n"/>
      <c r="AW223" s="152" t="n">
        <v>212</v>
      </c>
      <c r="AX223" s="152">
        <f>IF(BA222&lt;=0.005,0,BA222*(1+AX$6))</f>
        <v/>
      </c>
      <c r="AY223" s="152">
        <f>MIN(AX223,AX$7)</f>
        <v/>
      </c>
      <c r="AZ223" s="152">
        <f>MAX(0,MIN(AX223-AY223,CL223))</f>
        <v/>
      </c>
      <c r="BA223" s="152">
        <f>AX223-AY223-AZ223</f>
        <v/>
      </c>
      <c r="BB223" s="152">
        <f>IF(BE222&lt;=0.005,0,BE222*(1+BB$6))</f>
        <v/>
      </c>
      <c r="BC223" s="152">
        <f>MIN(BB223,BB$7)</f>
        <v/>
      </c>
      <c r="BD223" s="152">
        <f>MAX(0,MIN(BB223-BC223,CL223-(AZ223)))</f>
        <v/>
      </c>
      <c r="BE223" s="152">
        <f>BB223-BC223-BD223</f>
        <v/>
      </c>
      <c r="BF223" s="152">
        <f>IF(BI222&lt;=0.005,0,BI222*(1+BF$6))</f>
        <v/>
      </c>
      <c r="BG223" s="152">
        <f>MIN(BF223,BF$7)</f>
        <v/>
      </c>
      <c r="BH223" s="152">
        <f>MAX(0,MIN(BF223-BG223,CL223-(AZ223+BD223)))</f>
        <v/>
      </c>
      <c r="BI223" s="152">
        <f>BF223-BG223-BH223</f>
        <v/>
      </c>
      <c r="BJ223" s="152">
        <f>IF(BM222&lt;=0.005,0,BM222*(1+BJ$6))</f>
        <v/>
      </c>
      <c r="BK223" s="152">
        <f>MIN(BJ223,BJ$7)</f>
        <v/>
      </c>
      <c r="BL223" s="152">
        <f>MAX(0,MIN(BJ223-BK223,CL223-(AZ223+BD223+BH223)))</f>
        <v/>
      </c>
      <c r="BM223" s="152">
        <f>BJ223-BK223-BL223</f>
        <v/>
      </c>
      <c r="BN223" s="152">
        <f>IF(BQ222&lt;=0.005,0,BQ222*(1+BN$6))</f>
        <v/>
      </c>
      <c r="BO223" s="152">
        <f>MIN(BN223,BN$7)</f>
        <v/>
      </c>
      <c r="BP223" s="152">
        <f>MAX(0,MIN(BN223-BO223,CL223-(AZ223+BD223+BH223+BL223)))</f>
        <v/>
      </c>
      <c r="BQ223" s="152">
        <f>BN223-BO223-BP223</f>
        <v/>
      </c>
      <c r="BR223" s="152">
        <f>IF(BU222&lt;=0.005,0,BU222*(1+BR$6))</f>
        <v/>
      </c>
      <c r="BS223" s="152">
        <f>MIN(BR223,BR$7)</f>
        <v/>
      </c>
      <c r="BT223" s="152">
        <f>MAX(0,MIN(BR223-BS223,CL223-(AZ223+BD223+BH223+BL223+BP223)))</f>
        <v/>
      </c>
      <c r="BU223" s="152">
        <f>BR223-BS223-BT223</f>
        <v/>
      </c>
      <c r="BV223" s="152">
        <f>IF(BY222&lt;=0.005,0,BY222*(1+BV$6))</f>
        <v/>
      </c>
      <c r="BW223" s="152">
        <f>MIN(BV223,BV$7)</f>
        <v/>
      </c>
      <c r="BX223" s="152">
        <f>MAX(0,MIN(BV223-BW223,CL223-(AZ223+BD223+BH223+BL223+BP223+BT223)))</f>
        <v/>
      </c>
      <c r="BY223" s="152">
        <f>BV223-BW223-BX223</f>
        <v/>
      </c>
      <c r="BZ223" s="152">
        <f>IF(CC222&lt;=0.005,0,CC222*(1+BZ$6))</f>
        <v/>
      </c>
      <c r="CA223" s="152">
        <f>MIN(BZ223,BZ$7)</f>
        <v/>
      </c>
      <c r="CB223" s="152">
        <f>MAX(0,MIN(BZ223-CA223,CL223-(AZ223+BD223+BH223+BL223+BP223+BT223+BX223)))</f>
        <v/>
      </c>
      <c r="CC223" s="152">
        <f>BZ223-CA223-CB223</f>
        <v/>
      </c>
      <c r="CD223" s="152">
        <f>IF(CG222&lt;=0.005,0,CG222*(1+CD$6))</f>
        <v/>
      </c>
      <c r="CE223" s="152">
        <f>MIN(CD223,CD$7)</f>
        <v/>
      </c>
      <c r="CF223" s="152">
        <f>MAX(0,MIN(CD223-CE223,CL223-(AZ223+BD223+BH223+BL223+BP223+BT223+BX223+CB223)))</f>
        <v/>
      </c>
      <c r="CG223" s="152">
        <f>CD223-CE223-CF223</f>
        <v/>
      </c>
      <c r="CH223" s="152">
        <f>IF(CK222&lt;=0.005,0,CK222*(1+CH$6))</f>
        <v/>
      </c>
      <c r="CI223" s="152">
        <f>MIN(CH223,CH$7)</f>
        <v/>
      </c>
      <c r="CJ223" s="152">
        <f>MAX(0,MIN(CH223-CI223,CL223-(AZ223+BD223+BH223+BL223+BP223+BT223+BX223+CB223+CF223)))</f>
        <v/>
      </c>
      <c r="CK223" s="152">
        <f>CH223-CI223-CJ223</f>
        <v/>
      </c>
      <c r="CL223" s="152">
        <f>'Debt Payoff'!$C$8-SUM(AY223,BC223,BG223,BK223,BO223,BS223,BW223,CA223,CE223,CI223)</f>
        <v/>
      </c>
      <c r="CM223" s="152">
        <f>SUM(AY223,BC223,BG223,BK223,BO223,BS223,BW223,CA223,CE223,CI223)+SUM(AZ223,BD223,BH223,BL223,BP223,BT223,BX223,CB223,CF223,CJ223)</f>
        <v/>
      </c>
      <c r="CN223" s="152">
        <f>SUM(BA223,BE223,BI223,BM223,BQ223,BU223,BY223,CC223,CG223,CK223)</f>
        <v/>
      </c>
      <c r="CO223" s="152">
        <f>IF(AW223&gt;CN$6,NA(),AW223)</f>
        <v/>
      </c>
      <c r="CP223" s="152">
        <f>IF(AW223&gt;CN$6,NA(),CN223)</f>
        <v/>
      </c>
    </row>
    <row r="224">
      <c r="B224" s="152" t="n">
        <v>213</v>
      </c>
      <c r="C224" s="152">
        <f>IF(F223&lt;=0.005,0,F223*(1+C$6))</f>
        <v/>
      </c>
      <c r="D224" s="152">
        <f>MIN(C224,C$7)</f>
        <v/>
      </c>
      <c r="E224" s="152">
        <f>MAX(0,MIN(C224-D224,AQ224))</f>
        <v/>
      </c>
      <c r="F224" s="152">
        <f>C224-D224-E224</f>
        <v/>
      </c>
      <c r="G224" s="152">
        <f>IF(J223&lt;=0.005,0,J223*(1+G$6))</f>
        <v/>
      </c>
      <c r="H224" s="152">
        <f>MIN(G224,G$7)</f>
        <v/>
      </c>
      <c r="I224" s="152">
        <f>MAX(0,MIN(G224-H224,AQ224-(E224)))</f>
        <v/>
      </c>
      <c r="J224" s="152">
        <f>G224-H224-I224</f>
        <v/>
      </c>
      <c r="K224" s="152">
        <f>IF(N223&lt;=0.005,0,N223*(1+K$6))</f>
        <v/>
      </c>
      <c r="L224" s="152">
        <f>MIN(K224,K$7)</f>
        <v/>
      </c>
      <c r="M224" s="152">
        <f>MAX(0,MIN(K224-L224,AQ224-(E224+I224)))</f>
        <v/>
      </c>
      <c r="N224" s="152">
        <f>K224-L224-M224</f>
        <v/>
      </c>
      <c r="O224" s="152">
        <f>IF(R223&lt;=0.005,0,R223*(1+O$6))</f>
        <v/>
      </c>
      <c r="P224" s="152">
        <f>MIN(O224,O$7)</f>
        <v/>
      </c>
      <c r="Q224" s="152">
        <f>MAX(0,MIN(O224-P224,AQ224-(E224+I224+M224)))</f>
        <v/>
      </c>
      <c r="R224" s="152">
        <f>O224-P224-Q224</f>
        <v/>
      </c>
      <c r="S224" s="152">
        <f>IF(V223&lt;=0.005,0,V223*(1+S$6))</f>
        <v/>
      </c>
      <c r="T224" s="152">
        <f>MIN(S224,S$7)</f>
        <v/>
      </c>
      <c r="U224" s="152">
        <f>MAX(0,MIN(S224-T224,AQ224-(E224+I224+M224+Q224)))</f>
        <v/>
      </c>
      <c r="V224" s="152">
        <f>S224-T224-U224</f>
        <v/>
      </c>
      <c r="W224" s="152">
        <f>IF(Z223&lt;=0.005,0,Z223*(1+W$6))</f>
        <v/>
      </c>
      <c r="X224" s="152">
        <f>MIN(W224,W$7)</f>
        <v/>
      </c>
      <c r="Y224" s="152">
        <f>MAX(0,MIN(W224-X224,AQ224-(E224+I224+M224+Q224+U224)))</f>
        <v/>
      </c>
      <c r="Z224" s="152">
        <f>W224-X224-Y224</f>
        <v/>
      </c>
      <c r="AA224" s="152">
        <f>IF(AD223&lt;=0.005,0,AD223*(1+AA$6))</f>
        <v/>
      </c>
      <c r="AB224" s="152">
        <f>MIN(AA224,AA$7)</f>
        <v/>
      </c>
      <c r="AC224" s="152">
        <f>MAX(0,MIN(AA224-AB224,AQ224-(E224+I224+M224+Q224+U224+Y224)))</f>
        <v/>
      </c>
      <c r="AD224" s="152">
        <f>AA224-AB224-AC224</f>
        <v/>
      </c>
      <c r="AE224" s="152">
        <f>IF(AH223&lt;=0.005,0,AH223*(1+AE$6))</f>
        <v/>
      </c>
      <c r="AF224" s="152">
        <f>MIN(AE224,AE$7)</f>
        <v/>
      </c>
      <c r="AG224" s="152">
        <f>MAX(0,MIN(AE224-AF224,AQ224-(E224+I224+M224+Q224+U224+Y224+AC224)))</f>
        <v/>
      </c>
      <c r="AH224" s="152">
        <f>AE224-AF224-AG224</f>
        <v/>
      </c>
      <c r="AI224" s="152">
        <f>IF(AL223&lt;=0.005,0,AL223*(1+AI$6))</f>
        <v/>
      </c>
      <c r="AJ224" s="152">
        <f>MIN(AI224,AI$7)</f>
        <v/>
      </c>
      <c r="AK224" s="152">
        <f>MAX(0,MIN(AI224-AJ224,AQ224-(E224+I224+M224+Q224+U224+Y224+AC224+AG224)))</f>
        <v/>
      </c>
      <c r="AL224" s="152">
        <f>AI224-AJ224-AK224</f>
        <v/>
      </c>
      <c r="AM224" s="152">
        <f>IF(AP223&lt;=0.005,0,AP223*(1+AM$6))</f>
        <v/>
      </c>
      <c r="AN224" s="152">
        <f>MIN(AM224,AM$7)</f>
        <v/>
      </c>
      <c r="AO224" s="152">
        <f>MAX(0,MIN(AM224-AN224,AQ224-(E224+I224+M224+Q224+U224+Y224+AC224+AG224+AK224)))</f>
        <v/>
      </c>
      <c r="AP224" s="152">
        <f>AM224-AN224-AO224</f>
        <v/>
      </c>
      <c r="AQ224" s="152">
        <f>'Debt Payoff'!$C$8-SUM(D224,H224,L224,P224,T224,X224,AB224,AF224,AJ224,AN224)</f>
        <v/>
      </c>
      <c r="AR224" s="152">
        <f>SUM(D224,H224,L224,P224,T224,X224,AB224,AF224,AJ224,AN224)+SUM(E224,I224,M224,Q224,U224,Y224,AC224,AG224,AK224,AO224)</f>
        <v/>
      </c>
      <c r="AS224" s="152">
        <f>SUM(F224,J224,N224,R224,V224,Z224,AD224,AH224,AL224,AP224)</f>
        <v/>
      </c>
      <c r="AT224" s="152">
        <f>IF(B224&gt;AS$6,NA(),B224)</f>
        <v/>
      </c>
      <c r="AU224" s="152">
        <f>IF(B224&gt;AS$6,NA(),AS224)</f>
        <v/>
      </c>
      <c r="AV224" s="152" t="n"/>
      <c r="AW224" s="152" t="n">
        <v>213</v>
      </c>
      <c r="AX224" s="152">
        <f>IF(BA223&lt;=0.005,0,BA223*(1+AX$6))</f>
        <v/>
      </c>
      <c r="AY224" s="152">
        <f>MIN(AX224,AX$7)</f>
        <v/>
      </c>
      <c r="AZ224" s="152">
        <f>MAX(0,MIN(AX224-AY224,CL224))</f>
        <v/>
      </c>
      <c r="BA224" s="152">
        <f>AX224-AY224-AZ224</f>
        <v/>
      </c>
      <c r="BB224" s="152">
        <f>IF(BE223&lt;=0.005,0,BE223*(1+BB$6))</f>
        <v/>
      </c>
      <c r="BC224" s="152">
        <f>MIN(BB224,BB$7)</f>
        <v/>
      </c>
      <c r="BD224" s="152">
        <f>MAX(0,MIN(BB224-BC224,CL224-(AZ224)))</f>
        <v/>
      </c>
      <c r="BE224" s="152">
        <f>BB224-BC224-BD224</f>
        <v/>
      </c>
      <c r="BF224" s="152">
        <f>IF(BI223&lt;=0.005,0,BI223*(1+BF$6))</f>
        <v/>
      </c>
      <c r="BG224" s="152">
        <f>MIN(BF224,BF$7)</f>
        <v/>
      </c>
      <c r="BH224" s="152">
        <f>MAX(0,MIN(BF224-BG224,CL224-(AZ224+BD224)))</f>
        <v/>
      </c>
      <c r="BI224" s="152">
        <f>BF224-BG224-BH224</f>
        <v/>
      </c>
      <c r="BJ224" s="152">
        <f>IF(BM223&lt;=0.005,0,BM223*(1+BJ$6))</f>
        <v/>
      </c>
      <c r="BK224" s="152">
        <f>MIN(BJ224,BJ$7)</f>
        <v/>
      </c>
      <c r="BL224" s="152">
        <f>MAX(0,MIN(BJ224-BK224,CL224-(AZ224+BD224+BH224)))</f>
        <v/>
      </c>
      <c r="BM224" s="152">
        <f>BJ224-BK224-BL224</f>
        <v/>
      </c>
      <c r="BN224" s="152">
        <f>IF(BQ223&lt;=0.005,0,BQ223*(1+BN$6))</f>
        <v/>
      </c>
      <c r="BO224" s="152">
        <f>MIN(BN224,BN$7)</f>
        <v/>
      </c>
      <c r="BP224" s="152">
        <f>MAX(0,MIN(BN224-BO224,CL224-(AZ224+BD224+BH224+BL224)))</f>
        <v/>
      </c>
      <c r="BQ224" s="152">
        <f>BN224-BO224-BP224</f>
        <v/>
      </c>
      <c r="BR224" s="152">
        <f>IF(BU223&lt;=0.005,0,BU223*(1+BR$6))</f>
        <v/>
      </c>
      <c r="BS224" s="152">
        <f>MIN(BR224,BR$7)</f>
        <v/>
      </c>
      <c r="BT224" s="152">
        <f>MAX(0,MIN(BR224-BS224,CL224-(AZ224+BD224+BH224+BL224+BP224)))</f>
        <v/>
      </c>
      <c r="BU224" s="152">
        <f>BR224-BS224-BT224</f>
        <v/>
      </c>
      <c r="BV224" s="152">
        <f>IF(BY223&lt;=0.005,0,BY223*(1+BV$6))</f>
        <v/>
      </c>
      <c r="BW224" s="152">
        <f>MIN(BV224,BV$7)</f>
        <v/>
      </c>
      <c r="BX224" s="152">
        <f>MAX(0,MIN(BV224-BW224,CL224-(AZ224+BD224+BH224+BL224+BP224+BT224)))</f>
        <v/>
      </c>
      <c r="BY224" s="152">
        <f>BV224-BW224-BX224</f>
        <v/>
      </c>
      <c r="BZ224" s="152">
        <f>IF(CC223&lt;=0.005,0,CC223*(1+BZ$6))</f>
        <v/>
      </c>
      <c r="CA224" s="152">
        <f>MIN(BZ224,BZ$7)</f>
        <v/>
      </c>
      <c r="CB224" s="152">
        <f>MAX(0,MIN(BZ224-CA224,CL224-(AZ224+BD224+BH224+BL224+BP224+BT224+BX224)))</f>
        <v/>
      </c>
      <c r="CC224" s="152">
        <f>BZ224-CA224-CB224</f>
        <v/>
      </c>
      <c r="CD224" s="152">
        <f>IF(CG223&lt;=0.005,0,CG223*(1+CD$6))</f>
        <v/>
      </c>
      <c r="CE224" s="152">
        <f>MIN(CD224,CD$7)</f>
        <v/>
      </c>
      <c r="CF224" s="152">
        <f>MAX(0,MIN(CD224-CE224,CL224-(AZ224+BD224+BH224+BL224+BP224+BT224+BX224+CB224)))</f>
        <v/>
      </c>
      <c r="CG224" s="152">
        <f>CD224-CE224-CF224</f>
        <v/>
      </c>
      <c r="CH224" s="152">
        <f>IF(CK223&lt;=0.005,0,CK223*(1+CH$6))</f>
        <v/>
      </c>
      <c r="CI224" s="152">
        <f>MIN(CH224,CH$7)</f>
        <v/>
      </c>
      <c r="CJ224" s="152">
        <f>MAX(0,MIN(CH224-CI224,CL224-(AZ224+BD224+BH224+BL224+BP224+BT224+BX224+CB224+CF224)))</f>
        <v/>
      </c>
      <c r="CK224" s="152">
        <f>CH224-CI224-CJ224</f>
        <v/>
      </c>
      <c r="CL224" s="152">
        <f>'Debt Payoff'!$C$8-SUM(AY224,BC224,BG224,BK224,BO224,BS224,BW224,CA224,CE224,CI224)</f>
        <v/>
      </c>
      <c r="CM224" s="152">
        <f>SUM(AY224,BC224,BG224,BK224,BO224,BS224,BW224,CA224,CE224,CI224)+SUM(AZ224,BD224,BH224,BL224,BP224,BT224,BX224,CB224,CF224,CJ224)</f>
        <v/>
      </c>
      <c r="CN224" s="152">
        <f>SUM(BA224,BE224,BI224,BM224,BQ224,BU224,BY224,CC224,CG224,CK224)</f>
        <v/>
      </c>
      <c r="CO224" s="152">
        <f>IF(AW224&gt;CN$6,NA(),AW224)</f>
        <v/>
      </c>
      <c r="CP224" s="152">
        <f>IF(AW224&gt;CN$6,NA(),CN224)</f>
        <v/>
      </c>
    </row>
    <row r="225">
      <c r="B225" s="152" t="n">
        <v>214</v>
      </c>
      <c r="C225" s="152">
        <f>IF(F224&lt;=0.005,0,F224*(1+C$6))</f>
        <v/>
      </c>
      <c r="D225" s="152">
        <f>MIN(C225,C$7)</f>
        <v/>
      </c>
      <c r="E225" s="152">
        <f>MAX(0,MIN(C225-D225,AQ225))</f>
        <v/>
      </c>
      <c r="F225" s="152">
        <f>C225-D225-E225</f>
        <v/>
      </c>
      <c r="G225" s="152">
        <f>IF(J224&lt;=0.005,0,J224*(1+G$6))</f>
        <v/>
      </c>
      <c r="H225" s="152">
        <f>MIN(G225,G$7)</f>
        <v/>
      </c>
      <c r="I225" s="152">
        <f>MAX(0,MIN(G225-H225,AQ225-(E225)))</f>
        <v/>
      </c>
      <c r="J225" s="152">
        <f>G225-H225-I225</f>
        <v/>
      </c>
      <c r="K225" s="152">
        <f>IF(N224&lt;=0.005,0,N224*(1+K$6))</f>
        <v/>
      </c>
      <c r="L225" s="152">
        <f>MIN(K225,K$7)</f>
        <v/>
      </c>
      <c r="M225" s="152">
        <f>MAX(0,MIN(K225-L225,AQ225-(E225+I225)))</f>
        <v/>
      </c>
      <c r="N225" s="152">
        <f>K225-L225-M225</f>
        <v/>
      </c>
      <c r="O225" s="152">
        <f>IF(R224&lt;=0.005,0,R224*(1+O$6))</f>
        <v/>
      </c>
      <c r="P225" s="152">
        <f>MIN(O225,O$7)</f>
        <v/>
      </c>
      <c r="Q225" s="152">
        <f>MAX(0,MIN(O225-P225,AQ225-(E225+I225+M225)))</f>
        <v/>
      </c>
      <c r="R225" s="152">
        <f>O225-P225-Q225</f>
        <v/>
      </c>
      <c r="S225" s="152">
        <f>IF(V224&lt;=0.005,0,V224*(1+S$6))</f>
        <v/>
      </c>
      <c r="T225" s="152">
        <f>MIN(S225,S$7)</f>
        <v/>
      </c>
      <c r="U225" s="152">
        <f>MAX(0,MIN(S225-T225,AQ225-(E225+I225+M225+Q225)))</f>
        <v/>
      </c>
      <c r="V225" s="152">
        <f>S225-T225-U225</f>
        <v/>
      </c>
      <c r="W225" s="152">
        <f>IF(Z224&lt;=0.005,0,Z224*(1+W$6))</f>
        <v/>
      </c>
      <c r="X225" s="152">
        <f>MIN(W225,W$7)</f>
        <v/>
      </c>
      <c r="Y225" s="152">
        <f>MAX(0,MIN(W225-X225,AQ225-(E225+I225+M225+Q225+U225)))</f>
        <v/>
      </c>
      <c r="Z225" s="152">
        <f>W225-X225-Y225</f>
        <v/>
      </c>
      <c r="AA225" s="152">
        <f>IF(AD224&lt;=0.005,0,AD224*(1+AA$6))</f>
        <v/>
      </c>
      <c r="AB225" s="152">
        <f>MIN(AA225,AA$7)</f>
        <v/>
      </c>
      <c r="AC225" s="152">
        <f>MAX(0,MIN(AA225-AB225,AQ225-(E225+I225+M225+Q225+U225+Y225)))</f>
        <v/>
      </c>
      <c r="AD225" s="152">
        <f>AA225-AB225-AC225</f>
        <v/>
      </c>
      <c r="AE225" s="152">
        <f>IF(AH224&lt;=0.005,0,AH224*(1+AE$6))</f>
        <v/>
      </c>
      <c r="AF225" s="152">
        <f>MIN(AE225,AE$7)</f>
        <v/>
      </c>
      <c r="AG225" s="152">
        <f>MAX(0,MIN(AE225-AF225,AQ225-(E225+I225+M225+Q225+U225+Y225+AC225)))</f>
        <v/>
      </c>
      <c r="AH225" s="152">
        <f>AE225-AF225-AG225</f>
        <v/>
      </c>
      <c r="AI225" s="152">
        <f>IF(AL224&lt;=0.005,0,AL224*(1+AI$6))</f>
        <v/>
      </c>
      <c r="AJ225" s="152">
        <f>MIN(AI225,AI$7)</f>
        <v/>
      </c>
      <c r="AK225" s="152">
        <f>MAX(0,MIN(AI225-AJ225,AQ225-(E225+I225+M225+Q225+U225+Y225+AC225+AG225)))</f>
        <v/>
      </c>
      <c r="AL225" s="152">
        <f>AI225-AJ225-AK225</f>
        <v/>
      </c>
      <c r="AM225" s="152">
        <f>IF(AP224&lt;=0.005,0,AP224*(1+AM$6))</f>
        <v/>
      </c>
      <c r="AN225" s="152">
        <f>MIN(AM225,AM$7)</f>
        <v/>
      </c>
      <c r="AO225" s="152">
        <f>MAX(0,MIN(AM225-AN225,AQ225-(E225+I225+M225+Q225+U225+Y225+AC225+AG225+AK225)))</f>
        <v/>
      </c>
      <c r="AP225" s="152">
        <f>AM225-AN225-AO225</f>
        <v/>
      </c>
      <c r="AQ225" s="152">
        <f>'Debt Payoff'!$C$8-SUM(D225,H225,L225,P225,T225,X225,AB225,AF225,AJ225,AN225)</f>
        <v/>
      </c>
      <c r="AR225" s="152">
        <f>SUM(D225,H225,L225,P225,T225,X225,AB225,AF225,AJ225,AN225)+SUM(E225,I225,M225,Q225,U225,Y225,AC225,AG225,AK225,AO225)</f>
        <v/>
      </c>
      <c r="AS225" s="152">
        <f>SUM(F225,J225,N225,R225,V225,Z225,AD225,AH225,AL225,AP225)</f>
        <v/>
      </c>
      <c r="AT225" s="152">
        <f>IF(B225&gt;AS$6,NA(),B225)</f>
        <v/>
      </c>
      <c r="AU225" s="152">
        <f>IF(B225&gt;AS$6,NA(),AS225)</f>
        <v/>
      </c>
      <c r="AV225" s="152" t="n"/>
      <c r="AW225" s="152" t="n">
        <v>214</v>
      </c>
      <c r="AX225" s="152">
        <f>IF(BA224&lt;=0.005,0,BA224*(1+AX$6))</f>
        <v/>
      </c>
      <c r="AY225" s="152">
        <f>MIN(AX225,AX$7)</f>
        <v/>
      </c>
      <c r="AZ225" s="152">
        <f>MAX(0,MIN(AX225-AY225,CL225))</f>
        <v/>
      </c>
      <c r="BA225" s="152">
        <f>AX225-AY225-AZ225</f>
        <v/>
      </c>
      <c r="BB225" s="152">
        <f>IF(BE224&lt;=0.005,0,BE224*(1+BB$6))</f>
        <v/>
      </c>
      <c r="BC225" s="152">
        <f>MIN(BB225,BB$7)</f>
        <v/>
      </c>
      <c r="BD225" s="152">
        <f>MAX(0,MIN(BB225-BC225,CL225-(AZ225)))</f>
        <v/>
      </c>
      <c r="BE225" s="152">
        <f>BB225-BC225-BD225</f>
        <v/>
      </c>
      <c r="BF225" s="152">
        <f>IF(BI224&lt;=0.005,0,BI224*(1+BF$6))</f>
        <v/>
      </c>
      <c r="BG225" s="152">
        <f>MIN(BF225,BF$7)</f>
        <v/>
      </c>
      <c r="BH225" s="152">
        <f>MAX(0,MIN(BF225-BG225,CL225-(AZ225+BD225)))</f>
        <v/>
      </c>
      <c r="BI225" s="152">
        <f>BF225-BG225-BH225</f>
        <v/>
      </c>
      <c r="BJ225" s="152">
        <f>IF(BM224&lt;=0.005,0,BM224*(1+BJ$6))</f>
        <v/>
      </c>
      <c r="BK225" s="152">
        <f>MIN(BJ225,BJ$7)</f>
        <v/>
      </c>
      <c r="BL225" s="152">
        <f>MAX(0,MIN(BJ225-BK225,CL225-(AZ225+BD225+BH225)))</f>
        <v/>
      </c>
      <c r="BM225" s="152">
        <f>BJ225-BK225-BL225</f>
        <v/>
      </c>
      <c r="BN225" s="152">
        <f>IF(BQ224&lt;=0.005,0,BQ224*(1+BN$6))</f>
        <v/>
      </c>
      <c r="BO225" s="152">
        <f>MIN(BN225,BN$7)</f>
        <v/>
      </c>
      <c r="BP225" s="152">
        <f>MAX(0,MIN(BN225-BO225,CL225-(AZ225+BD225+BH225+BL225)))</f>
        <v/>
      </c>
      <c r="BQ225" s="152">
        <f>BN225-BO225-BP225</f>
        <v/>
      </c>
      <c r="BR225" s="152">
        <f>IF(BU224&lt;=0.005,0,BU224*(1+BR$6))</f>
        <v/>
      </c>
      <c r="BS225" s="152">
        <f>MIN(BR225,BR$7)</f>
        <v/>
      </c>
      <c r="BT225" s="152">
        <f>MAX(0,MIN(BR225-BS225,CL225-(AZ225+BD225+BH225+BL225+BP225)))</f>
        <v/>
      </c>
      <c r="BU225" s="152">
        <f>BR225-BS225-BT225</f>
        <v/>
      </c>
      <c r="BV225" s="152">
        <f>IF(BY224&lt;=0.005,0,BY224*(1+BV$6))</f>
        <v/>
      </c>
      <c r="BW225" s="152">
        <f>MIN(BV225,BV$7)</f>
        <v/>
      </c>
      <c r="BX225" s="152">
        <f>MAX(0,MIN(BV225-BW225,CL225-(AZ225+BD225+BH225+BL225+BP225+BT225)))</f>
        <v/>
      </c>
      <c r="BY225" s="152">
        <f>BV225-BW225-BX225</f>
        <v/>
      </c>
      <c r="BZ225" s="152">
        <f>IF(CC224&lt;=0.005,0,CC224*(1+BZ$6))</f>
        <v/>
      </c>
      <c r="CA225" s="152">
        <f>MIN(BZ225,BZ$7)</f>
        <v/>
      </c>
      <c r="CB225" s="152">
        <f>MAX(0,MIN(BZ225-CA225,CL225-(AZ225+BD225+BH225+BL225+BP225+BT225+BX225)))</f>
        <v/>
      </c>
      <c r="CC225" s="152">
        <f>BZ225-CA225-CB225</f>
        <v/>
      </c>
      <c r="CD225" s="152">
        <f>IF(CG224&lt;=0.005,0,CG224*(1+CD$6))</f>
        <v/>
      </c>
      <c r="CE225" s="152">
        <f>MIN(CD225,CD$7)</f>
        <v/>
      </c>
      <c r="CF225" s="152">
        <f>MAX(0,MIN(CD225-CE225,CL225-(AZ225+BD225+BH225+BL225+BP225+BT225+BX225+CB225)))</f>
        <v/>
      </c>
      <c r="CG225" s="152">
        <f>CD225-CE225-CF225</f>
        <v/>
      </c>
      <c r="CH225" s="152">
        <f>IF(CK224&lt;=0.005,0,CK224*(1+CH$6))</f>
        <v/>
      </c>
      <c r="CI225" s="152">
        <f>MIN(CH225,CH$7)</f>
        <v/>
      </c>
      <c r="CJ225" s="152">
        <f>MAX(0,MIN(CH225-CI225,CL225-(AZ225+BD225+BH225+BL225+BP225+BT225+BX225+CB225+CF225)))</f>
        <v/>
      </c>
      <c r="CK225" s="152">
        <f>CH225-CI225-CJ225</f>
        <v/>
      </c>
      <c r="CL225" s="152">
        <f>'Debt Payoff'!$C$8-SUM(AY225,BC225,BG225,BK225,BO225,BS225,BW225,CA225,CE225,CI225)</f>
        <v/>
      </c>
      <c r="CM225" s="152">
        <f>SUM(AY225,BC225,BG225,BK225,BO225,BS225,BW225,CA225,CE225,CI225)+SUM(AZ225,BD225,BH225,BL225,BP225,BT225,BX225,CB225,CF225,CJ225)</f>
        <v/>
      </c>
      <c r="CN225" s="152">
        <f>SUM(BA225,BE225,BI225,BM225,BQ225,BU225,BY225,CC225,CG225,CK225)</f>
        <v/>
      </c>
      <c r="CO225" s="152">
        <f>IF(AW225&gt;CN$6,NA(),AW225)</f>
        <v/>
      </c>
      <c r="CP225" s="152">
        <f>IF(AW225&gt;CN$6,NA(),CN225)</f>
        <v/>
      </c>
    </row>
    <row r="226">
      <c r="B226" s="152" t="n">
        <v>215</v>
      </c>
      <c r="C226" s="152">
        <f>IF(F225&lt;=0.005,0,F225*(1+C$6))</f>
        <v/>
      </c>
      <c r="D226" s="152">
        <f>MIN(C226,C$7)</f>
        <v/>
      </c>
      <c r="E226" s="152">
        <f>MAX(0,MIN(C226-D226,AQ226))</f>
        <v/>
      </c>
      <c r="F226" s="152">
        <f>C226-D226-E226</f>
        <v/>
      </c>
      <c r="G226" s="152">
        <f>IF(J225&lt;=0.005,0,J225*(1+G$6))</f>
        <v/>
      </c>
      <c r="H226" s="152">
        <f>MIN(G226,G$7)</f>
        <v/>
      </c>
      <c r="I226" s="152">
        <f>MAX(0,MIN(G226-H226,AQ226-(E226)))</f>
        <v/>
      </c>
      <c r="J226" s="152">
        <f>G226-H226-I226</f>
        <v/>
      </c>
      <c r="K226" s="152">
        <f>IF(N225&lt;=0.005,0,N225*(1+K$6))</f>
        <v/>
      </c>
      <c r="L226" s="152">
        <f>MIN(K226,K$7)</f>
        <v/>
      </c>
      <c r="M226" s="152">
        <f>MAX(0,MIN(K226-L226,AQ226-(E226+I226)))</f>
        <v/>
      </c>
      <c r="N226" s="152">
        <f>K226-L226-M226</f>
        <v/>
      </c>
      <c r="O226" s="152">
        <f>IF(R225&lt;=0.005,0,R225*(1+O$6))</f>
        <v/>
      </c>
      <c r="P226" s="152">
        <f>MIN(O226,O$7)</f>
        <v/>
      </c>
      <c r="Q226" s="152">
        <f>MAX(0,MIN(O226-P226,AQ226-(E226+I226+M226)))</f>
        <v/>
      </c>
      <c r="R226" s="152">
        <f>O226-P226-Q226</f>
        <v/>
      </c>
      <c r="S226" s="152">
        <f>IF(V225&lt;=0.005,0,V225*(1+S$6))</f>
        <v/>
      </c>
      <c r="T226" s="152">
        <f>MIN(S226,S$7)</f>
        <v/>
      </c>
      <c r="U226" s="152">
        <f>MAX(0,MIN(S226-T226,AQ226-(E226+I226+M226+Q226)))</f>
        <v/>
      </c>
      <c r="V226" s="152">
        <f>S226-T226-U226</f>
        <v/>
      </c>
      <c r="W226" s="152">
        <f>IF(Z225&lt;=0.005,0,Z225*(1+W$6))</f>
        <v/>
      </c>
      <c r="X226" s="152">
        <f>MIN(W226,W$7)</f>
        <v/>
      </c>
      <c r="Y226" s="152">
        <f>MAX(0,MIN(W226-X226,AQ226-(E226+I226+M226+Q226+U226)))</f>
        <v/>
      </c>
      <c r="Z226" s="152">
        <f>W226-X226-Y226</f>
        <v/>
      </c>
      <c r="AA226" s="152">
        <f>IF(AD225&lt;=0.005,0,AD225*(1+AA$6))</f>
        <v/>
      </c>
      <c r="AB226" s="152">
        <f>MIN(AA226,AA$7)</f>
        <v/>
      </c>
      <c r="AC226" s="152">
        <f>MAX(0,MIN(AA226-AB226,AQ226-(E226+I226+M226+Q226+U226+Y226)))</f>
        <v/>
      </c>
      <c r="AD226" s="152">
        <f>AA226-AB226-AC226</f>
        <v/>
      </c>
      <c r="AE226" s="152">
        <f>IF(AH225&lt;=0.005,0,AH225*(1+AE$6))</f>
        <v/>
      </c>
      <c r="AF226" s="152">
        <f>MIN(AE226,AE$7)</f>
        <v/>
      </c>
      <c r="AG226" s="152">
        <f>MAX(0,MIN(AE226-AF226,AQ226-(E226+I226+M226+Q226+U226+Y226+AC226)))</f>
        <v/>
      </c>
      <c r="AH226" s="152">
        <f>AE226-AF226-AG226</f>
        <v/>
      </c>
      <c r="AI226" s="152">
        <f>IF(AL225&lt;=0.005,0,AL225*(1+AI$6))</f>
        <v/>
      </c>
      <c r="AJ226" s="152">
        <f>MIN(AI226,AI$7)</f>
        <v/>
      </c>
      <c r="AK226" s="152">
        <f>MAX(0,MIN(AI226-AJ226,AQ226-(E226+I226+M226+Q226+U226+Y226+AC226+AG226)))</f>
        <v/>
      </c>
      <c r="AL226" s="152">
        <f>AI226-AJ226-AK226</f>
        <v/>
      </c>
      <c r="AM226" s="152">
        <f>IF(AP225&lt;=0.005,0,AP225*(1+AM$6))</f>
        <v/>
      </c>
      <c r="AN226" s="152">
        <f>MIN(AM226,AM$7)</f>
        <v/>
      </c>
      <c r="AO226" s="152">
        <f>MAX(0,MIN(AM226-AN226,AQ226-(E226+I226+M226+Q226+U226+Y226+AC226+AG226+AK226)))</f>
        <v/>
      </c>
      <c r="AP226" s="152">
        <f>AM226-AN226-AO226</f>
        <v/>
      </c>
      <c r="AQ226" s="152">
        <f>'Debt Payoff'!$C$8-SUM(D226,H226,L226,P226,T226,X226,AB226,AF226,AJ226,AN226)</f>
        <v/>
      </c>
      <c r="AR226" s="152">
        <f>SUM(D226,H226,L226,P226,T226,X226,AB226,AF226,AJ226,AN226)+SUM(E226,I226,M226,Q226,U226,Y226,AC226,AG226,AK226,AO226)</f>
        <v/>
      </c>
      <c r="AS226" s="152">
        <f>SUM(F226,J226,N226,R226,V226,Z226,AD226,AH226,AL226,AP226)</f>
        <v/>
      </c>
      <c r="AT226" s="152">
        <f>IF(B226&gt;AS$6,NA(),B226)</f>
        <v/>
      </c>
      <c r="AU226" s="152">
        <f>IF(B226&gt;AS$6,NA(),AS226)</f>
        <v/>
      </c>
      <c r="AV226" s="152" t="n"/>
      <c r="AW226" s="152" t="n">
        <v>215</v>
      </c>
      <c r="AX226" s="152">
        <f>IF(BA225&lt;=0.005,0,BA225*(1+AX$6))</f>
        <v/>
      </c>
      <c r="AY226" s="152">
        <f>MIN(AX226,AX$7)</f>
        <v/>
      </c>
      <c r="AZ226" s="152">
        <f>MAX(0,MIN(AX226-AY226,CL226))</f>
        <v/>
      </c>
      <c r="BA226" s="152">
        <f>AX226-AY226-AZ226</f>
        <v/>
      </c>
      <c r="BB226" s="152">
        <f>IF(BE225&lt;=0.005,0,BE225*(1+BB$6))</f>
        <v/>
      </c>
      <c r="BC226" s="152">
        <f>MIN(BB226,BB$7)</f>
        <v/>
      </c>
      <c r="BD226" s="152">
        <f>MAX(0,MIN(BB226-BC226,CL226-(AZ226)))</f>
        <v/>
      </c>
      <c r="BE226" s="152">
        <f>BB226-BC226-BD226</f>
        <v/>
      </c>
      <c r="BF226" s="152">
        <f>IF(BI225&lt;=0.005,0,BI225*(1+BF$6))</f>
        <v/>
      </c>
      <c r="BG226" s="152">
        <f>MIN(BF226,BF$7)</f>
        <v/>
      </c>
      <c r="BH226" s="152">
        <f>MAX(0,MIN(BF226-BG226,CL226-(AZ226+BD226)))</f>
        <v/>
      </c>
      <c r="BI226" s="152">
        <f>BF226-BG226-BH226</f>
        <v/>
      </c>
      <c r="BJ226" s="152">
        <f>IF(BM225&lt;=0.005,0,BM225*(1+BJ$6))</f>
        <v/>
      </c>
      <c r="BK226" s="152">
        <f>MIN(BJ226,BJ$7)</f>
        <v/>
      </c>
      <c r="BL226" s="152">
        <f>MAX(0,MIN(BJ226-BK226,CL226-(AZ226+BD226+BH226)))</f>
        <v/>
      </c>
      <c r="BM226" s="152">
        <f>BJ226-BK226-BL226</f>
        <v/>
      </c>
      <c r="BN226" s="152">
        <f>IF(BQ225&lt;=0.005,0,BQ225*(1+BN$6))</f>
        <v/>
      </c>
      <c r="BO226" s="152">
        <f>MIN(BN226,BN$7)</f>
        <v/>
      </c>
      <c r="BP226" s="152">
        <f>MAX(0,MIN(BN226-BO226,CL226-(AZ226+BD226+BH226+BL226)))</f>
        <v/>
      </c>
      <c r="BQ226" s="152">
        <f>BN226-BO226-BP226</f>
        <v/>
      </c>
      <c r="BR226" s="152">
        <f>IF(BU225&lt;=0.005,0,BU225*(1+BR$6))</f>
        <v/>
      </c>
      <c r="BS226" s="152">
        <f>MIN(BR226,BR$7)</f>
        <v/>
      </c>
      <c r="BT226" s="152">
        <f>MAX(0,MIN(BR226-BS226,CL226-(AZ226+BD226+BH226+BL226+BP226)))</f>
        <v/>
      </c>
      <c r="BU226" s="152">
        <f>BR226-BS226-BT226</f>
        <v/>
      </c>
      <c r="BV226" s="152">
        <f>IF(BY225&lt;=0.005,0,BY225*(1+BV$6))</f>
        <v/>
      </c>
      <c r="BW226" s="152">
        <f>MIN(BV226,BV$7)</f>
        <v/>
      </c>
      <c r="BX226" s="152">
        <f>MAX(0,MIN(BV226-BW226,CL226-(AZ226+BD226+BH226+BL226+BP226+BT226)))</f>
        <v/>
      </c>
      <c r="BY226" s="152">
        <f>BV226-BW226-BX226</f>
        <v/>
      </c>
      <c r="BZ226" s="152">
        <f>IF(CC225&lt;=0.005,0,CC225*(1+BZ$6))</f>
        <v/>
      </c>
      <c r="CA226" s="152">
        <f>MIN(BZ226,BZ$7)</f>
        <v/>
      </c>
      <c r="CB226" s="152">
        <f>MAX(0,MIN(BZ226-CA226,CL226-(AZ226+BD226+BH226+BL226+BP226+BT226+BX226)))</f>
        <v/>
      </c>
      <c r="CC226" s="152">
        <f>BZ226-CA226-CB226</f>
        <v/>
      </c>
      <c r="CD226" s="152">
        <f>IF(CG225&lt;=0.005,0,CG225*(1+CD$6))</f>
        <v/>
      </c>
      <c r="CE226" s="152">
        <f>MIN(CD226,CD$7)</f>
        <v/>
      </c>
      <c r="CF226" s="152">
        <f>MAX(0,MIN(CD226-CE226,CL226-(AZ226+BD226+BH226+BL226+BP226+BT226+BX226+CB226)))</f>
        <v/>
      </c>
      <c r="CG226" s="152">
        <f>CD226-CE226-CF226</f>
        <v/>
      </c>
      <c r="CH226" s="152">
        <f>IF(CK225&lt;=0.005,0,CK225*(1+CH$6))</f>
        <v/>
      </c>
      <c r="CI226" s="152">
        <f>MIN(CH226,CH$7)</f>
        <v/>
      </c>
      <c r="CJ226" s="152">
        <f>MAX(0,MIN(CH226-CI226,CL226-(AZ226+BD226+BH226+BL226+BP226+BT226+BX226+CB226+CF226)))</f>
        <v/>
      </c>
      <c r="CK226" s="152">
        <f>CH226-CI226-CJ226</f>
        <v/>
      </c>
      <c r="CL226" s="152">
        <f>'Debt Payoff'!$C$8-SUM(AY226,BC226,BG226,BK226,BO226,BS226,BW226,CA226,CE226,CI226)</f>
        <v/>
      </c>
      <c r="CM226" s="152">
        <f>SUM(AY226,BC226,BG226,BK226,BO226,BS226,BW226,CA226,CE226,CI226)+SUM(AZ226,BD226,BH226,BL226,BP226,BT226,BX226,CB226,CF226,CJ226)</f>
        <v/>
      </c>
      <c r="CN226" s="152">
        <f>SUM(BA226,BE226,BI226,BM226,BQ226,BU226,BY226,CC226,CG226,CK226)</f>
        <v/>
      </c>
      <c r="CO226" s="152">
        <f>IF(AW226&gt;CN$6,NA(),AW226)</f>
        <v/>
      </c>
      <c r="CP226" s="152">
        <f>IF(AW226&gt;CN$6,NA(),CN226)</f>
        <v/>
      </c>
    </row>
    <row r="227">
      <c r="B227" s="152" t="n">
        <v>216</v>
      </c>
      <c r="C227" s="152">
        <f>IF(F226&lt;=0.005,0,F226*(1+C$6))</f>
        <v/>
      </c>
      <c r="D227" s="152">
        <f>MIN(C227,C$7)</f>
        <v/>
      </c>
      <c r="E227" s="152">
        <f>MAX(0,MIN(C227-D227,AQ227))</f>
        <v/>
      </c>
      <c r="F227" s="152">
        <f>C227-D227-E227</f>
        <v/>
      </c>
      <c r="G227" s="152">
        <f>IF(J226&lt;=0.005,0,J226*(1+G$6))</f>
        <v/>
      </c>
      <c r="H227" s="152">
        <f>MIN(G227,G$7)</f>
        <v/>
      </c>
      <c r="I227" s="152">
        <f>MAX(0,MIN(G227-H227,AQ227-(E227)))</f>
        <v/>
      </c>
      <c r="J227" s="152">
        <f>G227-H227-I227</f>
        <v/>
      </c>
      <c r="K227" s="152">
        <f>IF(N226&lt;=0.005,0,N226*(1+K$6))</f>
        <v/>
      </c>
      <c r="L227" s="152">
        <f>MIN(K227,K$7)</f>
        <v/>
      </c>
      <c r="M227" s="152">
        <f>MAX(0,MIN(K227-L227,AQ227-(E227+I227)))</f>
        <v/>
      </c>
      <c r="N227" s="152">
        <f>K227-L227-M227</f>
        <v/>
      </c>
      <c r="O227" s="152">
        <f>IF(R226&lt;=0.005,0,R226*(1+O$6))</f>
        <v/>
      </c>
      <c r="P227" s="152">
        <f>MIN(O227,O$7)</f>
        <v/>
      </c>
      <c r="Q227" s="152">
        <f>MAX(0,MIN(O227-P227,AQ227-(E227+I227+M227)))</f>
        <v/>
      </c>
      <c r="R227" s="152">
        <f>O227-P227-Q227</f>
        <v/>
      </c>
      <c r="S227" s="152">
        <f>IF(V226&lt;=0.005,0,V226*(1+S$6))</f>
        <v/>
      </c>
      <c r="T227" s="152">
        <f>MIN(S227,S$7)</f>
        <v/>
      </c>
      <c r="U227" s="152">
        <f>MAX(0,MIN(S227-T227,AQ227-(E227+I227+M227+Q227)))</f>
        <v/>
      </c>
      <c r="V227" s="152">
        <f>S227-T227-U227</f>
        <v/>
      </c>
      <c r="W227" s="152">
        <f>IF(Z226&lt;=0.005,0,Z226*(1+W$6))</f>
        <v/>
      </c>
      <c r="X227" s="152">
        <f>MIN(W227,W$7)</f>
        <v/>
      </c>
      <c r="Y227" s="152">
        <f>MAX(0,MIN(W227-X227,AQ227-(E227+I227+M227+Q227+U227)))</f>
        <v/>
      </c>
      <c r="Z227" s="152">
        <f>W227-X227-Y227</f>
        <v/>
      </c>
      <c r="AA227" s="152">
        <f>IF(AD226&lt;=0.005,0,AD226*(1+AA$6))</f>
        <v/>
      </c>
      <c r="AB227" s="152">
        <f>MIN(AA227,AA$7)</f>
        <v/>
      </c>
      <c r="AC227" s="152">
        <f>MAX(0,MIN(AA227-AB227,AQ227-(E227+I227+M227+Q227+U227+Y227)))</f>
        <v/>
      </c>
      <c r="AD227" s="152">
        <f>AA227-AB227-AC227</f>
        <v/>
      </c>
      <c r="AE227" s="152">
        <f>IF(AH226&lt;=0.005,0,AH226*(1+AE$6))</f>
        <v/>
      </c>
      <c r="AF227" s="152">
        <f>MIN(AE227,AE$7)</f>
        <v/>
      </c>
      <c r="AG227" s="152">
        <f>MAX(0,MIN(AE227-AF227,AQ227-(E227+I227+M227+Q227+U227+Y227+AC227)))</f>
        <v/>
      </c>
      <c r="AH227" s="152">
        <f>AE227-AF227-AG227</f>
        <v/>
      </c>
      <c r="AI227" s="152">
        <f>IF(AL226&lt;=0.005,0,AL226*(1+AI$6))</f>
        <v/>
      </c>
      <c r="AJ227" s="152">
        <f>MIN(AI227,AI$7)</f>
        <v/>
      </c>
      <c r="AK227" s="152">
        <f>MAX(0,MIN(AI227-AJ227,AQ227-(E227+I227+M227+Q227+U227+Y227+AC227+AG227)))</f>
        <v/>
      </c>
      <c r="AL227" s="152">
        <f>AI227-AJ227-AK227</f>
        <v/>
      </c>
      <c r="AM227" s="152">
        <f>IF(AP226&lt;=0.005,0,AP226*(1+AM$6))</f>
        <v/>
      </c>
      <c r="AN227" s="152">
        <f>MIN(AM227,AM$7)</f>
        <v/>
      </c>
      <c r="AO227" s="152">
        <f>MAX(0,MIN(AM227-AN227,AQ227-(E227+I227+M227+Q227+U227+Y227+AC227+AG227+AK227)))</f>
        <v/>
      </c>
      <c r="AP227" s="152">
        <f>AM227-AN227-AO227</f>
        <v/>
      </c>
      <c r="AQ227" s="152">
        <f>'Debt Payoff'!$C$8-SUM(D227,H227,L227,P227,T227,X227,AB227,AF227,AJ227,AN227)</f>
        <v/>
      </c>
      <c r="AR227" s="152">
        <f>SUM(D227,H227,L227,P227,T227,X227,AB227,AF227,AJ227,AN227)+SUM(E227,I227,M227,Q227,U227,Y227,AC227,AG227,AK227,AO227)</f>
        <v/>
      </c>
      <c r="AS227" s="152">
        <f>SUM(F227,J227,N227,R227,V227,Z227,AD227,AH227,AL227,AP227)</f>
        <v/>
      </c>
      <c r="AT227" s="152">
        <f>IF(B227&gt;AS$6,NA(),B227)</f>
        <v/>
      </c>
      <c r="AU227" s="152">
        <f>IF(B227&gt;AS$6,NA(),AS227)</f>
        <v/>
      </c>
      <c r="AV227" s="152" t="n"/>
      <c r="AW227" s="152" t="n">
        <v>216</v>
      </c>
      <c r="AX227" s="152">
        <f>IF(BA226&lt;=0.005,0,BA226*(1+AX$6))</f>
        <v/>
      </c>
      <c r="AY227" s="152">
        <f>MIN(AX227,AX$7)</f>
        <v/>
      </c>
      <c r="AZ227" s="152">
        <f>MAX(0,MIN(AX227-AY227,CL227))</f>
        <v/>
      </c>
      <c r="BA227" s="152">
        <f>AX227-AY227-AZ227</f>
        <v/>
      </c>
      <c r="BB227" s="152">
        <f>IF(BE226&lt;=0.005,0,BE226*(1+BB$6))</f>
        <v/>
      </c>
      <c r="BC227" s="152">
        <f>MIN(BB227,BB$7)</f>
        <v/>
      </c>
      <c r="BD227" s="152">
        <f>MAX(0,MIN(BB227-BC227,CL227-(AZ227)))</f>
        <v/>
      </c>
      <c r="BE227" s="152">
        <f>BB227-BC227-BD227</f>
        <v/>
      </c>
      <c r="BF227" s="152">
        <f>IF(BI226&lt;=0.005,0,BI226*(1+BF$6))</f>
        <v/>
      </c>
      <c r="BG227" s="152">
        <f>MIN(BF227,BF$7)</f>
        <v/>
      </c>
      <c r="BH227" s="152">
        <f>MAX(0,MIN(BF227-BG227,CL227-(AZ227+BD227)))</f>
        <v/>
      </c>
      <c r="BI227" s="152">
        <f>BF227-BG227-BH227</f>
        <v/>
      </c>
      <c r="BJ227" s="152">
        <f>IF(BM226&lt;=0.005,0,BM226*(1+BJ$6))</f>
        <v/>
      </c>
      <c r="BK227" s="152">
        <f>MIN(BJ227,BJ$7)</f>
        <v/>
      </c>
      <c r="BL227" s="152">
        <f>MAX(0,MIN(BJ227-BK227,CL227-(AZ227+BD227+BH227)))</f>
        <v/>
      </c>
      <c r="BM227" s="152">
        <f>BJ227-BK227-BL227</f>
        <v/>
      </c>
      <c r="BN227" s="152">
        <f>IF(BQ226&lt;=0.005,0,BQ226*(1+BN$6))</f>
        <v/>
      </c>
      <c r="BO227" s="152">
        <f>MIN(BN227,BN$7)</f>
        <v/>
      </c>
      <c r="BP227" s="152">
        <f>MAX(0,MIN(BN227-BO227,CL227-(AZ227+BD227+BH227+BL227)))</f>
        <v/>
      </c>
      <c r="BQ227" s="152">
        <f>BN227-BO227-BP227</f>
        <v/>
      </c>
      <c r="BR227" s="152">
        <f>IF(BU226&lt;=0.005,0,BU226*(1+BR$6))</f>
        <v/>
      </c>
      <c r="BS227" s="152">
        <f>MIN(BR227,BR$7)</f>
        <v/>
      </c>
      <c r="BT227" s="152">
        <f>MAX(0,MIN(BR227-BS227,CL227-(AZ227+BD227+BH227+BL227+BP227)))</f>
        <v/>
      </c>
      <c r="BU227" s="152">
        <f>BR227-BS227-BT227</f>
        <v/>
      </c>
      <c r="BV227" s="152">
        <f>IF(BY226&lt;=0.005,0,BY226*(1+BV$6))</f>
        <v/>
      </c>
      <c r="BW227" s="152">
        <f>MIN(BV227,BV$7)</f>
        <v/>
      </c>
      <c r="BX227" s="152">
        <f>MAX(0,MIN(BV227-BW227,CL227-(AZ227+BD227+BH227+BL227+BP227+BT227)))</f>
        <v/>
      </c>
      <c r="BY227" s="152">
        <f>BV227-BW227-BX227</f>
        <v/>
      </c>
      <c r="BZ227" s="152">
        <f>IF(CC226&lt;=0.005,0,CC226*(1+BZ$6))</f>
        <v/>
      </c>
      <c r="CA227" s="152">
        <f>MIN(BZ227,BZ$7)</f>
        <v/>
      </c>
      <c r="CB227" s="152">
        <f>MAX(0,MIN(BZ227-CA227,CL227-(AZ227+BD227+BH227+BL227+BP227+BT227+BX227)))</f>
        <v/>
      </c>
      <c r="CC227" s="152">
        <f>BZ227-CA227-CB227</f>
        <v/>
      </c>
      <c r="CD227" s="152">
        <f>IF(CG226&lt;=0.005,0,CG226*(1+CD$6))</f>
        <v/>
      </c>
      <c r="CE227" s="152">
        <f>MIN(CD227,CD$7)</f>
        <v/>
      </c>
      <c r="CF227" s="152">
        <f>MAX(0,MIN(CD227-CE227,CL227-(AZ227+BD227+BH227+BL227+BP227+BT227+BX227+CB227)))</f>
        <v/>
      </c>
      <c r="CG227" s="152">
        <f>CD227-CE227-CF227</f>
        <v/>
      </c>
      <c r="CH227" s="152">
        <f>IF(CK226&lt;=0.005,0,CK226*(1+CH$6))</f>
        <v/>
      </c>
      <c r="CI227" s="152">
        <f>MIN(CH227,CH$7)</f>
        <v/>
      </c>
      <c r="CJ227" s="152">
        <f>MAX(0,MIN(CH227-CI227,CL227-(AZ227+BD227+BH227+BL227+BP227+BT227+BX227+CB227+CF227)))</f>
        <v/>
      </c>
      <c r="CK227" s="152">
        <f>CH227-CI227-CJ227</f>
        <v/>
      </c>
      <c r="CL227" s="152">
        <f>'Debt Payoff'!$C$8-SUM(AY227,BC227,BG227,BK227,BO227,BS227,BW227,CA227,CE227,CI227)</f>
        <v/>
      </c>
      <c r="CM227" s="152">
        <f>SUM(AY227,BC227,BG227,BK227,BO227,BS227,BW227,CA227,CE227,CI227)+SUM(AZ227,BD227,BH227,BL227,BP227,BT227,BX227,CB227,CF227,CJ227)</f>
        <v/>
      </c>
      <c r="CN227" s="152">
        <f>SUM(BA227,BE227,BI227,BM227,BQ227,BU227,BY227,CC227,CG227,CK227)</f>
        <v/>
      </c>
      <c r="CO227" s="152">
        <f>IF(AW227&gt;CN$6,NA(),AW227)</f>
        <v/>
      </c>
      <c r="CP227" s="152">
        <f>IF(AW227&gt;CN$6,NA(),CN227)</f>
        <v/>
      </c>
    </row>
    <row r="228">
      <c r="B228" s="152" t="n">
        <v>217</v>
      </c>
      <c r="C228" s="152">
        <f>IF(F227&lt;=0.005,0,F227*(1+C$6))</f>
        <v/>
      </c>
      <c r="D228" s="152">
        <f>MIN(C228,C$7)</f>
        <v/>
      </c>
      <c r="E228" s="152">
        <f>MAX(0,MIN(C228-D228,AQ228))</f>
        <v/>
      </c>
      <c r="F228" s="152">
        <f>C228-D228-E228</f>
        <v/>
      </c>
      <c r="G228" s="152">
        <f>IF(J227&lt;=0.005,0,J227*(1+G$6))</f>
        <v/>
      </c>
      <c r="H228" s="152">
        <f>MIN(G228,G$7)</f>
        <v/>
      </c>
      <c r="I228" s="152">
        <f>MAX(0,MIN(G228-H228,AQ228-(E228)))</f>
        <v/>
      </c>
      <c r="J228" s="152">
        <f>G228-H228-I228</f>
        <v/>
      </c>
      <c r="K228" s="152">
        <f>IF(N227&lt;=0.005,0,N227*(1+K$6))</f>
        <v/>
      </c>
      <c r="L228" s="152">
        <f>MIN(K228,K$7)</f>
        <v/>
      </c>
      <c r="M228" s="152">
        <f>MAX(0,MIN(K228-L228,AQ228-(E228+I228)))</f>
        <v/>
      </c>
      <c r="N228" s="152">
        <f>K228-L228-M228</f>
        <v/>
      </c>
      <c r="O228" s="152">
        <f>IF(R227&lt;=0.005,0,R227*(1+O$6))</f>
        <v/>
      </c>
      <c r="P228" s="152">
        <f>MIN(O228,O$7)</f>
        <v/>
      </c>
      <c r="Q228" s="152">
        <f>MAX(0,MIN(O228-P228,AQ228-(E228+I228+M228)))</f>
        <v/>
      </c>
      <c r="R228" s="152">
        <f>O228-P228-Q228</f>
        <v/>
      </c>
      <c r="S228" s="152">
        <f>IF(V227&lt;=0.005,0,V227*(1+S$6))</f>
        <v/>
      </c>
      <c r="T228" s="152">
        <f>MIN(S228,S$7)</f>
        <v/>
      </c>
      <c r="U228" s="152">
        <f>MAX(0,MIN(S228-T228,AQ228-(E228+I228+M228+Q228)))</f>
        <v/>
      </c>
      <c r="V228" s="152">
        <f>S228-T228-U228</f>
        <v/>
      </c>
      <c r="W228" s="152">
        <f>IF(Z227&lt;=0.005,0,Z227*(1+W$6))</f>
        <v/>
      </c>
      <c r="X228" s="152">
        <f>MIN(W228,W$7)</f>
        <v/>
      </c>
      <c r="Y228" s="152">
        <f>MAX(0,MIN(W228-X228,AQ228-(E228+I228+M228+Q228+U228)))</f>
        <v/>
      </c>
      <c r="Z228" s="152">
        <f>W228-X228-Y228</f>
        <v/>
      </c>
      <c r="AA228" s="152">
        <f>IF(AD227&lt;=0.005,0,AD227*(1+AA$6))</f>
        <v/>
      </c>
      <c r="AB228" s="152">
        <f>MIN(AA228,AA$7)</f>
        <v/>
      </c>
      <c r="AC228" s="152">
        <f>MAX(0,MIN(AA228-AB228,AQ228-(E228+I228+M228+Q228+U228+Y228)))</f>
        <v/>
      </c>
      <c r="AD228" s="152">
        <f>AA228-AB228-AC228</f>
        <v/>
      </c>
      <c r="AE228" s="152">
        <f>IF(AH227&lt;=0.005,0,AH227*(1+AE$6))</f>
        <v/>
      </c>
      <c r="AF228" s="152">
        <f>MIN(AE228,AE$7)</f>
        <v/>
      </c>
      <c r="AG228" s="152">
        <f>MAX(0,MIN(AE228-AF228,AQ228-(E228+I228+M228+Q228+U228+Y228+AC228)))</f>
        <v/>
      </c>
      <c r="AH228" s="152">
        <f>AE228-AF228-AG228</f>
        <v/>
      </c>
      <c r="AI228" s="152">
        <f>IF(AL227&lt;=0.005,0,AL227*(1+AI$6))</f>
        <v/>
      </c>
      <c r="AJ228" s="152">
        <f>MIN(AI228,AI$7)</f>
        <v/>
      </c>
      <c r="AK228" s="152">
        <f>MAX(0,MIN(AI228-AJ228,AQ228-(E228+I228+M228+Q228+U228+Y228+AC228+AG228)))</f>
        <v/>
      </c>
      <c r="AL228" s="152">
        <f>AI228-AJ228-AK228</f>
        <v/>
      </c>
      <c r="AM228" s="152">
        <f>IF(AP227&lt;=0.005,0,AP227*(1+AM$6))</f>
        <v/>
      </c>
      <c r="AN228" s="152">
        <f>MIN(AM228,AM$7)</f>
        <v/>
      </c>
      <c r="AO228" s="152">
        <f>MAX(0,MIN(AM228-AN228,AQ228-(E228+I228+M228+Q228+U228+Y228+AC228+AG228+AK228)))</f>
        <v/>
      </c>
      <c r="AP228" s="152">
        <f>AM228-AN228-AO228</f>
        <v/>
      </c>
      <c r="AQ228" s="152">
        <f>'Debt Payoff'!$C$8-SUM(D228,H228,L228,P228,T228,X228,AB228,AF228,AJ228,AN228)</f>
        <v/>
      </c>
      <c r="AR228" s="152">
        <f>SUM(D228,H228,L228,P228,T228,X228,AB228,AF228,AJ228,AN228)+SUM(E228,I228,M228,Q228,U228,Y228,AC228,AG228,AK228,AO228)</f>
        <v/>
      </c>
      <c r="AS228" s="152">
        <f>SUM(F228,J228,N228,R228,V228,Z228,AD228,AH228,AL228,AP228)</f>
        <v/>
      </c>
      <c r="AT228" s="152">
        <f>IF(B228&gt;AS$6,NA(),B228)</f>
        <v/>
      </c>
      <c r="AU228" s="152">
        <f>IF(B228&gt;AS$6,NA(),AS228)</f>
        <v/>
      </c>
      <c r="AV228" s="152" t="n"/>
      <c r="AW228" s="152" t="n">
        <v>217</v>
      </c>
      <c r="AX228" s="152">
        <f>IF(BA227&lt;=0.005,0,BA227*(1+AX$6))</f>
        <v/>
      </c>
      <c r="AY228" s="152">
        <f>MIN(AX228,AX$7)</f>
        <v/>
      </c>
      <c r="AZ228" s="152">
        <f>MAX(0,MIN(AX228-AY228,CL228))</f>
        <v/>
      </c>
      <c r="BA228" s="152">
        <f>AX228-AY228-AZ228</f>
        <v/>
      </c>
      <c r="BB228" s="152">
        <f>IF(BE227&lt;=0.005,0,BE227*(1+BB$6))</f>
        <v/>
      </c>
      <c r="BC228" s="152">
        <f>MIN(BB228,BB$7)</f>
        <v/>
      </c>
      <c r="BD228" s="152">
        <f>MAX(0,MIN(BB228-BC228,CL228-(AZ228)))</f>
        <v/>
      </c>
      <c r="BE228" s="152">
        <f>BB228-BC228-BD228</f>
        <v/>
      </c>
      <c r="BF228" s="152">
        <f>IF(BI227&lt;=0.005,0,BI227*(1+BF$6))</f>
        <v/>
      </c>
      <c r="BG228" s="152">
        <f>MIN(BF228,BF$7)</f>
        <v/>
      </c>
      <c r="BH228" s="152">
        <f>MAX(0,MIN(BF228-BG228,CL228-(AZ228+BD228)))</f>
        <v/>
      </c>
      <c r="BI228" s="152">
        <f>BF228-BG228-BH228</f>
        <v/>
      </c>
      <c r="BJ228" s="152">
        <f>IF(BM227&lt;=0.005,0,BM227*(1+BJ$6))</f>
        <v/>
      </c>
      <c r="BK228" s="152">
        <f>MIN(BJ228,BJ$7)</f>
        <v/>
      </c>
      <c r="BL228" s="152">
        <f>MAX(0,MIN(BJ228-BK228,CL228-(AZ228+BD228+BH228)))</f>
        <v/>
      </c>
      <c r="BM228" s="152">
        <f>BJ228-BK228-BL228</f>
        <v/>
      </c>
      <c r="BN228" s="152">
        <f>IF(BQ227&lt;=0.005,0,BQ227*(1+BN$6))</f>
        <v/>
      </c>
      <c r="BO228" s="152">
        <f>MIN(BN228,BN$7)</f>
        <v/>
      </c>
      <c r="BP228" s="152">
        <f>MAX(0,MIN(BN228-BO228,CL228-(AZ228+BD228+BH228+BL228)))</f>
        <v/>
      </c>
      <c r="BQ228" s="152">
        <f>BN228-BO228-BP228</f>
        <v/>
      </c>
      <c r="BR228" s="152">
        <f>IF(BU227&lt;=0.005,0,BU227*(1+BR$6))</f>
        <v/>
      </c>
      <c r="BS228" s="152">
        <f>MIN(BR228,BR$7)</f>
        <v/>
      </c>
      <c r="BT228" s="152">
        <f>MAX(0,MIN(BR228-BS228,CL228-(AZ228+BD228+BH228+BL228+BP228)))</f>
        <v/>
      </c>
      <c r="BU228" s="152">
        <f>BR228-BS228-BT228</f>
        <v/>
      </c>
      <c r="BV228" s="152">
        <f>IF(BY227&lt;=0.005,0,BY227*(1+BV$6))</f>
        <v/>
      </c>
      <c r="BW228" s="152">
        <f>MIN(BV228,BV$7)</f>
        <v/>
      </c>
      <c r="BX228" s="152">
        <f>MAX(0,MIN(BV228-BW228,CL228-(AZ228+BD228+BH228+BL228+BP228+BT228)))</f>
        <v/>
      </c>
      <c r="BY228" s="152">
        <f>BV228-BW228-BX228</f>
        <v/>
      </c>
      <c r="BZ228" s="152">
        <f>IF(CC227&lt;=0.005,0,CC227*(1+BZ$6))</f>
        <v/>
      </c>
      <c r="CA228" s="152">
        <f>MIN(BZ228,BZ$7)</f>
        <v/>
      </c>
      <c r="CB228" s="152">
        <f>MAX(0,MIN(BZ228-CA228,CL228-(AZ228+BD228+BH228+BL228+BP228+BT228+BX228)))</f>
        <v/>
      </c>
      <c r="CC228" s="152">
        <f>BZ228-CA228-CB228</f>
        <v/>
      </c>
      <c r="CD228" s="152">
        <f>IF(CG227&lt;=0.005,0,CG227*(1+CD$6))</f>
        <v/>
      </c>
      <c r="CE228" s="152">
        <f>MIN(CD228,CD$7)</f>
        <v/>
      </c>
      <c r="CF228" s="152">
        <f>MAX(0,MIN(CD228-CE228,CL228-(AZ228+BD228+BH228+BL228+BP228+BT228+BX228+CB228)))</f>
        <v/>
      </c>
      <c r="CG228" s="152">
        <f>CD228-CE228-CF228</f>
        <v/>
      </c>
      <c r="CH228" s="152">
        <f>IF(CK227&lt;=0.005,0,CK227*(1+CH$6))</f>
        <v/>
      </c>
      <c r="CI228" s="152">
        <f>MIN(CH228,CH$7)</f>
        <v/>
      </c>
      <c r="CJ228" s="152">
        <f>MAX(0,MIN(CH228-CI228,CL228-(AZ228+BD228+BH228+BL228+BP228+BT228+BX228+CB228+CF228)))</f>
        <v/>
      </c>
      <c r="CK228" s="152">
        <f>CH228-CI228-CJ228</f>
        <v/>
      </c>
      <c r="CL228" s="152">
        <f>'Debt Payoff'!$C$8-SUM(AY228,BC228,BG228,BK228,BO228,BS228,BW228,CA228,CE228,CI228)</f>
        <v/>
      </c>
      <c r="CM228" s="152">
        <f>SUM(AY228,BC228,BG228,BK228,BO228,BS228,BW228,CA228,CE228,CI228)+SUM(AZ228,BD228,BH228,BL228,BP228,BT228,BX228,CB228,CF228,CJ228)</f>
        <v/>
      </c>
      <c r="CN228" s="152">
        <f>SUM(BA228,BE228,BI228,BM228,BQ228,BU228,BY228,CC228,CG228,CK228)</f>
        <v/>
      </c>
      <c r="CO228" s="152">
        <f>IF(AW228&gt;CN$6,NA(),AW228)</f>
        <v/>
      </c>
      <c r="CP228" s="152">
        <f>IF(AW228&gt;CN$6,NA(),CN228)</f>
        <v/>
      </c>
    </row>
    <row r="229">
      <c r="B229" s="152" t="n">
        <v>218</v>
      </c>
      <c r="C229" s="152">
        <f>IF(F228&lt;=0.005,0,F228*(1+C$6))</f>
        <v/>
      </c>
      <c r="D229" s="152">
        <f>MIN(C229,C$7)</f>
        <v/>
      </c>
      <c r="E229" s="152">
        <f>MAX(0,MIN(C229-D229,AQ229))</f>
        <v/>
      </c>
      <c r="F229" s="152">
        <f>C229-D229-E229</f>
        <v/>
      </c>
      <c r="G229" s="152">
        <f>IF(J228&lt;=0.005,0,J228*(1+G$6))</f>
        <v/>
      </c>
      <c r="H229" s="152">
        <f>MIN(G229,G$7)</f>
        <v/>
      </c>
      <c r="I229" s="152">
        <f>MAX(0,MIN(G229-H229,AQ229-(E229)))</f>
        <v/>
      </c>
      <c r="J229" s="152">
        <f>G229-H229-I229</f>
        <v/>
      </c>
      <c r="K229" s="152">
        <f>IF(N228&lt;=0.005,0,N228*(1+K$6))</f>
        <v/>
      </c>
      <c r="L229" s="152">
        <f>MIN(K229,K$7)</f>
        <v/>
      </c>
      <c r="M229" s="152">
        <f>MAX(0,MIN(K229-L229,AQ229-(E229+I229)))</f>
        <v/>
      </c>
      <c r="N229" s="152">
        <f>K229-L229-M229</f>
        <v/>
      </c>
      <c r="O229" s="152">
        <f>IF(R228&lt;=0.005,0,R228*(1+O$6))</f>
        <v/>
      </c>
      <c r="P229" s="152">
        <f>MIN(O229,O$7)</f>
        <v/>
      </c>
      <c r="Q229" s="152">
        <f>MAX(0,MIN(O229-P229,AQ229-(E229+I229+M229)))</f>
        <v/>
      </c>
      <c r="R229" s="152">
        <f>O229-P229-Q229</f>
        <v/>
      </c>
      <c r="S229" s="152">
        <f>IF(V228&lt;=0.005,0,V228*(1+S$6))</f>
        <v/>
      </c>
      <c r="T229" s="152">
        <f>MIN(S229,S$7)</f>
        <v/>
      </c>
      <c r="U229" s="152">
        <f>MAX(0,MIN(S229-T229,AQ229-(E229+I229+M229+Q229)))</f>
        <v/>
      </c>
      <c r="V229" s="152">
        <f>S229-T229-U229</f>
        <v/>
      </c>
      <c r="W229" s="152">
        <f>IF(Z228&lt;=0.005,0,Z228*(1+W$6))</f>
        <v/>
      </c>
      <c r="X229" s="152">
        <f>MIN(W229,W$7)</f>
        <v/>
      </c>
      <c r="Y229" s="152">
        <f>MAX(0,MIN(W229-X229,AQ229-(E229+I229+M229+Q229+U229)))</f>
        <v/>
      </c>
      <c r="Z229" s="152">
        <f>W229-X229-Y229</f>
        <v/>
      </c>
      <c r="AA229" s="152">
        <f>IF(AD228&lt;=0.005,0,AD228*(1+AA$6))</f>
        <v/>
      </c>
      <c r="AB229" s="152">
        <f>MIN(AA229,AA$7)</f>
        <v/>
      </c>
      <c r="AC229" s="152">
        <f>MAX(0,MIN(AA229-AB229,AQ229-(E229+I229+M229+Q229+U229+Y229)))</f>
        <v/>
      </c>
      <c r="AD229" s="152">
        <f>AA229-AB229-AC229</f>
        <v/>
      </c>
      <c r="AE229" s="152">
        <f>IF(AH228&lt;=0.005,0,AH228*(1+AE$6))</f>
        <v/>
      </c>
      <c r="AF229" s="152">
        <f>MIN(AE229,AE$7)</f>
        <v/>
      </c>
      <c r="AG229" s="152">
        <f>MAX(0,MIN(AE229-AF229,AQ229-(E229+I229+M229+Q229+U229+Y229+AC229)))</f>
        <v/>
      </c>
      <c r="AH229" s="152">
        <f>AE229-AF229-AG229</f>
        <v/>
      </c>
      <c r="AI229" s="152">
        <f>IF(AL228&lt;=0.005,0,AL228*(1+AI$6))</f>
        <v/>
      </c>
      <c r="AJ229" s="152">
        <f>MIN(AI229,AI$7)</f>
        <v/>
      </c>
      <c r="AK229" s="152">
        <f>MAX(0,MIN(AI229-AJ229,AQ229-(E229+I229+M229+Q229+U229+Y229+AC229+AG229)))</f>
        <v/>
      </c>
      <c r="AL229" s="152">
        <f>AI229-AJ229-AK229</f>
        <v/>
      </c>
      <c r="AM229" s="152">
        <f>IF(AP228&lt;=0.005,0,AP228*(1+AM$6))</f>
        <v/>
      </c>
      <c r="AN229" s="152">
        <f>MIN(AM229,AM$7)</f>
        <v/>
      </c>
      <c r="AO229" s="152">
        <f>MAX(0,MIN(AM229-AN229,AQ229-(E229+I229+M229+Q229+U229+Y229+AC229+AG229+AK229)))</f>
        <v/>
      </c>
      <c r="AP229" s="152">
        <f>AM229-AN229-AO229</f>
        <v/>
      </c>
      <c r="AQ229" s="152">
        <f>'Debt Payoff'!$C$8-SUM(D229,H229,L229,P229,T229,X229,AB229,AF229,AJ229,AN229)</f>
        <v/>
      </c>
      <c r="AR229" s="152">
        <f>SUM(D229,H229,L229,P229,T229,X229,AB229,AF229,AJ229,AN229)+SUM(E229,I229,M229,Q229,U229,Y229,AC229,AG229,AK229,AO229)</f>
        <v/>
      </c>
      <c r="AS229" s="152">
        <f>SUM(F229,J229,N229,R229,V229,Z229,AD229,AH229,AL229,AP229)</f>
        <v/>
      </c>
      <c r="AT229" s="152">
        <f>IF(B229&gt;AS$6,NA(),B229)</f>
        <v/>
      </c>
      <c r="AU229" s="152">
        <f>IF(B229&gt;AS$6,NA(),AS229)</f>
        <v/>
      </c>
      <c r="AV229" s="152" t="n"/>
      <c r="AW229" s="152" t="n">
        <v>218</v>
      </c>
      <c r="AX229" s="152">
        <f>IF(BA228&lt;=0.005,0,BA228*(1+AX$6))</f>
        <v/>
      </c>
      <c r="AY229" s="152">
        <f>MIN(AX229,AX$7)</f>
        <v/>
      </c>
      <c r="AZ229" s="152">
        <f>MAX(0,MIN(AX229-AY229,CL229))</f>
        <v/>
      </c>
      <c r="BA229" s="152">
        <f>AX229-AY229-AZ229</f>
        <v/>
      </c>
      <c r="BB229" s="152">
        <f>IF(BE228&lt;=0.005,0,BE228*(1+BB$6))</f>
        <v/>
      </c>
      <c r="BC229" s="152">
        <f>MIN(BB229,BB$7)</f>
        <v/>
      </c>
      <c r="BD229" s="152">
        <f>MAX(0,MIN(BB229-BC229,CL229-(AZ229)))</f>
        <v/>
      </c>
      <c r="BE229" s="152">
        <f>BB229-BC229-BD229</f>
        <v/>
      </c>
      <c r="BF229" s="152">
        <f>IF(BI228&lt;=0.005,0,BI228*(1+BF$6))</f>
        <v/>
      </c>
      <c r="BG229" s="152">
        <f>MIN(BF229,BF$7)</f>
        <v/>
      </c>
      <c r="BH229" s="152">
        <f>MAX(0,MIN(BF229-BG229,CL229-(AZ229+BD229)))</f>
        <v/>
      </c>
      <c r="BI229" s="152">
        <f>BF229-BG229-BH229</f>
        <v/>
      </c>
      <c r="BJ229" s="152">
        <f>IF(BM228&lt;=0.005,0,BM228*(1+BJ$6))</f>
        <v/>
      </c>
      <c r="BK229" s="152">
        <f>MIN(BJ229,BJ$7)</f>
        <v/>
      </c>
      <c r="BL229" s="152">
        <f>MAX(0,MIN(BJ229-BK229,CL229-(AZ229+BD229+BH229)))</f>
        <v/>
      </c>
      <c r="BM229" s="152">
        <f>BJ229-BK229-BL229</f>
        <v/>
      </c>
      <c r="BN229" s="152">
        <f>IF(BQ228&lt;=0.005,0,BQ228*(1+BN$6))</f>
        <v/>
      </c>
      <c r="BO229" s="152">
        <f>MIN(BN229,BN$7)</f>
        <v/>
      </c>
      <c r="BP229" s="152">
        <f>MAX(0,MIN(BN229-BO229,CL229-(AZ229+BD229+BH229+BL229)))</f>
        <v/>
      </c>
      <c r="BQ229" s="152">
        <f>BN229-BO229-BP229</f>
        <v/>
      </c>
      <c r="BR229" s="152">
        <f>IF(BU228&lt;=0.005,0,BU228*(1+BR$6))</f>
        <v/>
      </c>
      <c r="BS229" s="152">
        <f>MIN(BR229,BR$7)</f>
        <v/>
      </c>
      <c r="BT229" s="152">
        <f>MAX(0,MIN(BR229-BS229,CL229-(AZ229+BD229+BH229+BL229+BP229)))</f>
        <v/>
      </c>
      <c r="BU229" s="152">
        <f>BR229-BS229-BT229</f>
        <v/>
      </c>
      <c r="BV229" s="152">
        <f>IF(BY228&lt;=0.005,0,BY228*(1+BV$6))</f>
        <v/>
      </c>
      <c r="BW229" s="152">
        <f>MIN(BV229,BV$7)</f>
        <v/>
      </c>
      <c r="BX229" s="152">
        <f>MAX(0,MIN(BV229-BW229,CL229-(AZ229+BD229+BH229+BL229+BP229+BT229)))</f>
        <v/>
      </c>
      <c r="BY229" s="152">
        <f>BV229-BW229-BX229</f>
        <v/>
      </c>
      <c r="BZ229" s="152">
        <f>IF(CC228&lt;=0.005,0,CC228*(1+BZ$6))</f>
        <v/>
      </c>
      <c r="CA229" s="152">
        <f>MIN(BZ229,BZ$7)</f>
        <v/>
      </c>
      <c r="CB229" s="152">
        <f>MAX(0,MIN(BZ229-CA229,CL229-(AZ229+BD229+BH229+BL229+BP229+BT229+BX229)))</f>
        <v/>
      </c>
      <c r="CC229" s="152">
        <f>BZ229-CA229-CB229</f>
        <v/>
      </c>
      <c r="CD229" s="152">
        <f>IF(CG228&lt;=0.005,0,CG228*(1+CD$6))</f>
        <v/>
      </c>
      <c r="CE229" s="152">
        <f>MIN(CD229,CD$7)</f>
        <v/>
      </c>
      <c r="CF229" s="152">
        <f>MAX(0,MIN(CD229-CE229,CL229-(AZ229+BD229+BH229+BL229+BP229+BT229+BX229+CB229)))</f>
        <v/>
      </c>
      <c r="CG229" s="152">
        <f>CD229-CE229-CF229</f>
        <v/>
      </c>
      <c r="CH229" s="152">
        <f>IF(CK228&lt;=0.005,0,CK228*(1+CH$6))</f>
        <v/>
      </c>
      <c r="CI229" s="152">
        <f>MIN(CH229,CH$7)</f>
        <v/>
      </c>
      <c r="CJ229" s="152">
        <f>MAX(0,MIN(CH229-CI229,CL229-(AZ229+BD229+BH229+BL229+BP229+BT229+BX229+CB229+CF229)))</f>
        <v/>
      </c>
      <c r="CK229" s="152">
        <f>CH229-CI229-CJ229</f>
        <v/>
      </c>
      <c r="CL229" s="152">
        <f>'Debt Payoff'!$C$8-SUM(AY229,BC229,BG229,BK229,BO229,BS229,BW229,CA229,CE229,CI229)</f>
        <v/>
      </c>
      <c r="CM229" s="152">
        <f>SUM(AY229,BC229,BG229,BK229,BO229,BS229,BW229,CA229,CE229,CI229)+SUM(AZ229,BD229,BH229,BL229,BP229,BT229,BX229,CB229,CF229,CJ229)</f>
        <v/>
      </c>
      <c r="CN229" s="152">
        <f>SUM(BA229,BE229,BI229,BM229,BQ229,BU229,BY229,CC229,CG229,CK229)</f>
        <v/>
      </c>
      <c r="CO229" s="152">
        <f>IF(AW229&gt;CN$6,NA(),AW229)</f>
        <v/>
      </c>
      <c r="CP229" s="152">
        <f>IF(AW229&gt;CN$6,NA(),CN229)</f>
        <v/>
      </c>
    </row>
    <row r="230">
      <c r="B230" s="152" t="n">
        <v>219</v>
      </c>
      <c r="C230" s="152">
        <f>IF(F229&lt;=0.005,0,F229*(1+C$6))</f>
        <v/>
      </c>
      <c r="D230" s="152">
        <f>MIN(C230,C$7)</f>
        <v/>
      </c>
      <c r="E230" s="152">
        <f>MAX(0,MIN(C230-D230,AQ230))</f>
        <v/>
      </c>
      <c r="F230" s="152">
        <f>C230-D230-E230</f>
        <v/>
      </c>
      <c r="G230" s="152">
        <f>IF(J229&lt;=0.005,0,J229*(1+G$6))</f>
        <v/>
      </c>
      <c r="H230" s="152">
        <f>MIN(G230,G$7)</f>
        <v/>
      </c>
      <c r="I230" s="152">
        <f>MAX(0,MIN(G230-H230,AQ230-(E230)))</f>
        <v/>
      </c>
      <c r="J230" s="152">
        <f>G230-H230-I230</f>
        <v/>
      </c>
      <c r="K230" s="152">
        <f>IF(N229&lt;=0.005,0,N229*(1+K$6))</f>
        <v/>
      </c>
      <c r="L230" s="152">
        <f>MIN(K230,K$7)</f>
        <v/>
      </c>
      <c r="M230" s="152">
        <f>MAX(0,MIN(K230-L230,AQ230-(E230+I230)))</f>
        <v/>
      </c>
      <c r="N230" s="152">
        <f>K230-L230-M230</f>
        <v/>
      </c>
      <c r="O230" s="152">
        <f>IF(R229&lt;=0.005,0,R229*(1+O$6))</f>
        <v/>
      </c>
      <c r="P230" s="152">
        <f>MIN(O230,O$7)</f>
        <v/>
      </c>
      <c r="Q230" s="152">
        <f>MAX(0,MIN(O230-P230,AQ230-(E230+I230+M230)))</f>
        <v/>
      </c>
      <c r="R230" s="152">
        <f>O230-P230-Q230</f>
        <v/>
      </c>
      <c r="S230" s="152">
        <f>IF(V229&lt;=0.005,0,V229*(1+S$6))</f>
        <v/>
      </c>
      <c r="T230" s="152">
        <f>MIN(S230,S$7)</f>
        <v/>
      </c>
      <c r="U230" s="152">
        <f>MAX(0,MIN(S230-T230,AQ230-(E230+I230+M230+Q230)))</f>
        <v/>
      </c>
      <c r="V230" s="152">
        <f>S230-T230-U230</f>
        <v/>
      </c>
      <c r="W230" s="152">
        <f>IF(Z229&lt;=0.005,0,Z229*(1+W$6))</f>
        <v/>
      </c>
      <c r="X230" s="152">
        <f>MIN(W230,W$7)</f>
        <v/>
      </c>
      <c r="Y230" s="152">
        <f>MAX(0,MIN(W230-X230,AQ230-(E230+I230+M230+Q230+U230)))</f>
        <v/>
      </c>
      <c r="Z230" s="152">
        <f>W230-X230-Y230</f>
        <v/>
      </c>
      <c r="AA230" s="152">
        <f>IF(AD229&lt;=0.005,0,AD229*(1+AA$6))</f>
        <v/>
      </c>
      <c r="AB230" s="152">
        <f>MIN(AA230,AA$7)</f>
        <v/>
      </c>
      <c r="AC230" s="152">
        <f>MAX(0,MIN(AA230-AB230,AQ230-(E230+I230+M230+Q230+U230+Y230)))</f>
        <v/>
      </c>
      <c r="AD230" s="152">
        <f>AA230-AB230-AC230</f>
        <v/>
      </c>
      <c r="AE230" s="152">
        <f>IF(AH229&lt;=0.005,0,AH229*(1+AE$6))</f>
        <v/>
      </c>
      <c r="AF230" s="152">
        <f>MIN(AE230,AE$7)</f>
        <v/>
      </c>
      <c r="AG230" s="152">
        <f>MAX(0,MIN(AE230-AF230,AQ230-(E230+I230+M230+Q230+U230+Y230+AC230)))</f>
        <v/>
      </c>
      <c r="AH230" s="152">
        <f>AE230-AF230-AG230</f>
        <v/>
      </c>
      <c r="AI230" s="152">
        <f>IF(AL229&lt;=0.005,0,AL229*(1+AI$6))</f>
        <v/>
      </c>
      <c r="AJ230" s="152">
        <f>MIN(AI230,AI$7)</f>
        <v/>
      </c>
      <c r="AK230" s="152">
        <f>MAX(0,MIN(AI230-AJ230,AQ230-(E230+I230+M230+Q230+U230+Y230+AC230+AG230)))</f>
        <v/>
      </c>
      <c r="AL230" s="152">
        <f>AI230-AJ230-AK230</f>
        <v/>
      </c>
      <c r="AM230" s="152">
        <f>IF(AP229&lt;=0.005,0,AP229*(1+AM$6))</f>
        <v/>
      </c>
      <c r="AN230" s="152">
        <f>MIN(AM230,AM$7)</f>
        <v/>
      </c>
      <c r="AO230" s="152">
        <f>MAX(0,MIN(AM230-AN230,AQ230-(E230+I230+M230+Q230+U230+Y230+AC230+AG230+AK230)))</f>
        <v/>
      </c>
      <c r="AP230" s="152">
        <f>AM230-AN230-AO230</f>
        <v/>
      </c>
      <c r="AQ230" s="152">
        <f>'Debt Payoff'!$C$8-SUM(D230,H230,L230,P230,T230,X230,AB230,AF230,AJ230,AN230)</f>
        <v/>
      </c>
      <c r="AR230" s="152">
        <f>SUM(D230,H230,L230,P230,T230,X230,AB230,AF230,AJ230,AN230)+SUM(E230,I230,M230,Q230,U230,Y230,AC230,AG230,AK230,AO230)</f>
        <v/>
      </c>
      <c r="AS230" s="152">
        <f>SUM(F230,J230,N230,R230,V230,Z230,AD230,AH230,AL230,AP230)</f>
        <v/>
      </c>
      <c r="AT230" s="152">
        <f>IF(B230&gt;AS$6,NA(),B230)</f>
        <v/>
      </c>
      <c r="AU230" s="152">
        <f>IF(B230&gt;AS$6,NA(),AS230)</f>
        <v/>
      </c>
      <c r="AV230" s="152" t="n"/>
      <c r="AW230" s="152" t="n">
        <v>219</v>
      </c>
      <c r="AX230" s="152">
        <f>IF(BA229&lt;=0.005,0,BA229*(1+AX$6))</f>
        <v/>
      </c>
      <c r="AY230" s="152">
        <f>MIN(AX230,AX$7)</f>
        <v/>
      </c>
      <c r="AZ230" s="152">
        <f>MAX(0,MIN(AX230-AY230,CL230))</f>
        <v/>
      </c>
      <c r="BA230" s="152">
        <f>AX230-AY230-AZ230</f>
        <v/>
      </c>
      <c r="BB230" s="152">
        <f>IF(BE229&lt;=0.005,0,BE229*(1+BB$6))</f>
        <v/>
      </c>
      <c r="BC230" s="152">
        <f>MIN(BB230,BB$7)</f>
        <v/>
      </c>
      <c r="BD230" s="152">
        <f>MAX(0,MIN(BB230-BC230,CL230-(AZ230)))</f>
        <v/>
      </c>
      <c r="BE230" s="152">
        <f>BB230-BC230-BD230</f>
        <v/>
      </c>
      <c r="BF230" s="152">
        <f>IF(BI229&lt;=0.005,0,BI229*(1+BF$6))</f>
        <v/>
      </c>
      <c r="BG230" s="152">
        <f>MIN(BF230,BF$7)</f>
        <v/>
      </c>
      <c r="BH230" s="152">
        <f>MAX(0,MIN(BF230-BG230,CL230-(AZ230+BD230)))</f>
        <v/>
      </c>
      <c r="BI230" s="152">
        <f>BF230-BG230-BH230</f>
        <v/>
      </c>
      <c r="BJ230" s="152">
        <f>IF(BM229&lt;=0.005,0,BM229*(1+BJ$6))</f>
        <v/>
      </c>
      <c r="BK230" s="152">
        <f>MIN(BJ230,BJ$7)</f>
        <v/>
      </c>
      <c r="BL230" s="152">
        <f>MAX(0,MIN(BJ230-BK230,CL230-(AZ230+BD230+BH230)))</f>
        <v/>
      </c>
      <c r="BM230" s="152">
        <f>BJ230-BK230-BL230</f>
        <v/>
      </c>
      <c r="BN230" s="152">
        <f>IF(BQ229&lt;=0.005,0,BQ229*(1+BN$6))</f>
        <v/>
      </c>
      <c r="BO230" s="152">
        <f>MIN(BN230,BN$7)</f>
        <v/>
      </c>
      <c r="BP230" s="152">
        <f>MAX(0,MIN(BN230-BO230,CL230-(AZ230+BD230+BH230+BL230)))</f>
        <v/>
      </c>
      <c r="BQ230" s="152">
        <f>BN230-BO230-BP230</f>
        <v/>
      </c>
      <c r="BR230" s="152">
        <f>IF(BU229&lt;=0.005,0,BU229*(1+BR$6))</f>
        <v/>
      </c>
      <c r="BS230" s="152">
        <f>MIN(BR230,BR$7)</f>
        <v/>
      </c>
      <c r="BT230" s="152">
        <f>MAX(0,MIN(BR230-BS230,CL230-(AZ230+BD230+BH230+BL230+BP230)))</f>
        <v/>
      </c>
      <c r="BU230" s="152">
        <f>BR230-BS230-BT230</f>
        <v/>
      </c>
      <c r="BV230" s="152">
        <f>IF(BY229&lt;=0.005,0,BY229*(1+BV$6))</f>
        <v/>
      </c>
      <c r="BW230" s="152">
        <f>MIN(BV230,BV$7)</f>
        <v/>
      </c>
      <c r="BX230" s="152">
        <f>MAX(0,MIN(BV230-BW230,CL230-(AZ230+BD230+BH230+BL230+BP230+BT230)))</f>
        <v/>
      </c>
      <c r="BY230" s="152">
        <f>BV230-BW230-BX230</f>
        <v/>
      </c>
      <c r="BZ230" s="152">
        <f>IF(CC229&lt;=0.005,0,CC229*(1+BZ$6))</f>
        <v/>
      </c>
      <c r="CA230" s="152">
        <f>MIN(BZ230,BZ$7)</f>
        <v/>
      </c>
      <c r="CB230" s="152">
        <f>MAX(0,MIN(BZ230-CA230,CL230-(AZ230+BD230+BH230+BL230+BP230+BT230+BX230)))</f>
        <v/>
      </c>
      <c r="CC230" s="152">
        <f>BZ230-CA230-CB230</f>
        <v/>
      </c>
      <c r="CD230" s="152">
        <f>IF(CG229&lt;=0.005,0,CG229*(1+CD$6))</f>
        <v/>
      </c>
      <c r="CE230" s="152">
        <f>MIN(CD230,CD$7)</f>
        <v/>
      </c>
      <c r="CF230" s="152">
        <f>MAX(0,MIN(CD230-CE230,CL230-(AZ230+BD230+BH230+BL230+BP230+BT230+BX230+CB230)))</f>
        <v/>
      </c>
      <c r="CG230" s="152">
        <f>CD230-CE230-CF230</f>
        <v/>
      </c>
      <c r="CH230" s="152">
        <f>IF(CK229&lt;=0.005,0,CK229*(1+CH$6))</f>
        <v/>
      </c>
      <c r="CI230" s="152">
        <f>MIN(CH230,CH$7)</f>
        <v/>
      </c>
      <c r="CJ230" s="152">
        <f>MAX(0,MIN(CH230-CI230,CL230-(AZ230+BD230+BH230+BL230+BP230+BT230+BX230+CB230+CF230)))</f>
        <v/>
      </c>
      <c r="CK230" s="152">
        <f>CH230-CI230-CJ230</f>
        <v/>
      </c>
      <c r="CL230" s="152">
        <f>'Debt Payoff'!$C$8-SUM(AY230,BC230,BG230,BK230,BO230,BS230,BW230,CA230,CE230,CI230)</f>
        <v/>
      </c>
      <c r="CM230" s="152">
        <f>SUM(AY230,BC230,BG230,BK230,BO230,BS230,BW230,CA230,CE230,CI230)+SUM(AZ230,BD230,BH230,BL230,BP230,BT230,BX230,CB230,CF230,CJ230)</f>
        <v/>
      </c>
      <c r="CN230" s="152">
        <f>SUM(BA230,BE230,BI230,BM230,BQ230,BU230,BY230,CC230,CG230,CK230)</f>
        <v/>
      </c>
      <c r="CO230" s="152">
        <f>IF(AW230&gt;CN$6,NA(),AW230)</f>
        <v/>
      </c>
      <c r="CP230" s="152">
        <f>IF(AW230&gt;CN$6,NA(),CN230)</f>
        <v/>
      </c>
    </row>
    <row r="231">
      <c r="B231" s="152" t="n">
        <v>220</v>
      </c>
      <c r="C231" s="152">
        <f>IF(F230&lt;=0.005,0,F230*(1+C$6))</f>
        <v/>
      </c>
      <c r="D231" s="152">
        <f>MIN(C231,C$7)</f>
        <v/>
      </c>
      <c r="E231" s="152">
        <f>MAX(0,MIN(C231-D231,AQ231))</f>
        <v/>
      </c>
      <c r="F231" s="152">
        <f>C231-D231-E231</f>
        <v/>
      </c>
      <c r="G231" s="152">
        <f>IF(J230&lt;=0.005,0,J230*(1+G$6))</f>
        <v/>
      </c>
      <c r="H231" s="152">
        <f>MIN(G231,G$7)</f>
        <v/>
      </c>
      <c r="I231" s="152">
        <f>MAX(0,MIN(G231-H231,AQ231-(E231)))</f>
        <v/>
      </c>
      <c r="J231" s="152">
        <f>G231-H231-I231</f>
        <v/>
      </c>
      <c r="K231" s="152">
        <f>IF(N230&lt;=0.005,0,N230*(1+K$6))</f>
        <v/>
      </c>
      <c r="L231" s="152">
        <f>MIN(K231,K$7)</f>
        <v/>
      </c>
      <c r="M231" s="152">
        <f>MAX(0,MIN(K231-L231,AQ231-(E231+I231)))</f>
        <v/>
      </c>
      <c r="N231" s="152">
        <f>K231-L231-M231</f>
        <v/>
      </c>
      <c r="O231" s="152">
        <f>IF(R230&lt;=0.005,0,R230*(1+O$6))</f>
        <v/>
      </c>
      <c r="P231" s="152">
        <f>MIN(O231,O$7)</f>
        <v/>
      </c>
      <c r="Q231" s="152">
        <f>MAX(0,MIN(O231-P231,AQ231-(E231+I231+M231)))</f>
        <v/>
      </c>
      <c r="R231" s="152">
        <f>O231-P231-Q231</f>
        <v/>
      </c>
      <c r="S231" s="152">
        <f>IF(V230&lt;=0.005,0,V230*(1+S$6))</f>
        <v/>
      </c>
      <c r="T231" s="152">
        <f>MIN(S231,S$7)</f>
        <v/>
      </c>
      <c r="U231" s="152">
        <f>MAX(0,MIN(S231-T231,AQ231-(E231+I231+M231+Q231)))</f>
        <v/>
      </c>
      <c r="V231" s="152">
        <f>S231-T231-U231</f>
        <v/>
      </c>
      <c r="W231" s="152">
        <f>IF(Z230&lt;=0.005,0,Z230*(1+W$6))</f>
        <v/>
      </c>
      <c r="X231" s="152">
        <f>MIN(W231,W$7)</f>
        <v/>
      </c>
      <c r="Y231" s="152">
        <f>MAX(0,MIN(W231-X231,AQ231-(E231+I231+M231+Q231+U231)))</f>
        <v/>
      </c>
      <c r="Z231" s="152">
        <f>W231-X231-Y231</f>
        <v/>
      </c>
      <c r="AA231" s="152">
        <f>IF(AD230&lt;=0.005,0,AD230*(1+AA$6))</f>
        <v/>
      </c>
      <c r="AB231" s="152">
        <f>MIN(AA231,AA$7)</f>
        <v/>
      </c>
      <c r="AC231" s="152">
        <f>MAX(0,MIN(AA231-AB231,AQ231-(E231+I231+M231+Q231+U231+Y231)))</f>
        <v/>
      </c>
      <c r="AD231" s="152">
        <f>AA231-AB231-AC231</f>
        <v/>
      </c>
      <c r="AE231" s="152">
        <f>IF(AH230&lt;=0.005,0,AH230*(1+AE$6))</f>
        <v/>
      </c>
      <c r="AF231" s="152">
        <f>MIN(AE231,AE$7)</f>
        <v/>
      </c>
      <c r="AG231" s="152">
        <f>MAX(0,MIN(AE231-AF231,AQ231-(E231+I231+M231+Q231+U231+Y231+AC231)))</f>
        <v/>
      </c>
      <c r="AH231" s="152">
        <f>AE231-AF231-AG231</f>
        <v/>
      </c>
      <c r="AI231" s="152">
        <f>IF(AL230&lt;=0.005,0,AL230*(1+AI$6))</f>
        <v/>
      </c>
      <c r="AJ231" s="152">
        <f>MIN(AI231,AI$7)</f>
        <v/>
      </c>
      <c r="AK231" s="152">
        <f>MAX(0,MIN(AI231-AJ231,AQ231-(E231+I231+M231+Q231+U231+Y231+AC231+AG231)))</f>
        <v/>
      </c>
      <c r="AL231" s="152">
        <f>AI231-AJ231-AK231</f>
        <v/>
      </c>
      <c r="AM231" s="152">
        <f>IF(AP230&lt;=0.005,0,AP230*(1+AM$6))</f>
        <v/>
      </c>
      <c r="AN231" s="152">
        <f>MIN(AM231,AM$7)</f>
        <v/>
      </c>
      <c r="AO231" s="152">
        <f>MAX(0,MIN(AM231-AN231,AQ231-(E231+I231+M231+Q231+U231+Y231+AC231+AG231+AK231)))</f>
        <v/>
      </c>
      <c r="AP231" s="152">
        <f>AM231-AN231-AO231</f>
        <v/>
      </c>
      <c r="AQ231" s="152">
        <f>'Debt Payoff'!$C$8-SUM(D231,H231,L231,P231,T231,X231,AB231,AF231,AJ231,AN231)</f>
        <v/>
      </c>
      <c r="AR231" s="152">
        <f>SUM(D231,H231,L231,P231,T231,X231,AB231,AF231,AJ231,AN231)+SUM(E231,I231,M231,Q231,U231,Y231,AC231,AG231,AK231,AO231)</f>
        <v/>
      </c>
      <c r="AS231" s="152">
        <f>SUM(F231,J231,N231,R231,V231,Z231,AD231,AH231,AL231,AP231)</f>
        <v/>
      </c>
      <c r="AT231" s="152">
        <f>IF(B231&gt;AS$6,NA(),B231)</f>
        <v/>
      </c>
      <c r="AU231" s="152">
        <f>IF(B231&gt;AS$6,NA(),AS231)</f>
        <v/>
      </c>
      <c r="AV231" s="152" t="n"/>
      <c r="AW231" s="152" t="n">
        <v>220</v>
      </c>
      <c r="AX231" s="152">
        <f>IF(BA230&lt;=0.005,0,BA230*(1+AX$6))</f>
        <v/>
      </c>
      <c r="AY231" s="152">
        <f>MIN(AX231,AX$7)</f>
        <v/>
      </c>
      <c r="AZ231" s="152">
        <f>MAX(0,MIN(AX231-AY231,CL231))</f>
        <v/>
      </c>
      <c r="BA231" s="152">
        <f>AX231-AY231-AZ231</f>
        <v/>
      </c>
      <c r="BB231" s="152">
        <f>IF(BE230&lt;=0.005,0,BE230*(1+BB$6))</f>
        <v/>
      </c>
      <c r="BC231" s="152">
        <f>MIN(BB231,BB$7)</f>
        <v/>
      </c>
      <c r="BD231" s="152">
        <f>MAX(0,MIN(BB231-BC231,CL231-(AZ231)))</f>
        <v/>
      </c>
      <c r="BE231" s="152">
        <f>BB231-BC231-BD231</f>
        <v/>
      </c>
      <c r="BF231" s="152">
        <f>IF(BI230&lt;=0.005,0,BI230*(1+BF$6))</f>
        <v/>
      </c>
      <c r="BG231" s="152">
        <f>MIN(BF231,BF$7)</f>
        <v/>
      </c>
      <c r="BH231" s="152">
        <f>MAX(0,MIN(BF231-BG231,CL231-(AZ231+BD231)))</f>
        <v/>
      </c>
      <c r="BI231" s="152">
        <f>BF231-BG231-BH231</f>
        <v/>
      </c>
      <c r="BJ231" s="152">
        <f>IF(BM230&lt;=0.005,0,BM230*(1+BJ$6))</f>
        <v/>
      </c>
      <c r="BK231" s="152">
        <f>MIN(BJ231,BJ$7)</f>
        <v/>
      </c>
      <c r="BL231" s="152">
        <f>MAX(0,MIN(BJ231-BK231,CL231-(AZ231+BD231+BH231)))</f>
        <v/>
      </c>
      <c r="BM231" s="152">
        <f>BJ231-BK231-BL231</f>
        <v/>
      </c>
      <c r="BN231" s="152">
        <f>IF(BQ230&lt;=0.005,0,BQ230*(1+BN$6))</f>
        <v/>
      </c>
      <c r="BO231" s="152">
        <f>MIN(BN231,BN$7)</f>
        <v/>
      </c>
      <c r="BP231" s="152">
        <f>MAX(0,MIN(BN231-BO231,CL231-(AZ231+BD231+BH231+BL231)))</f>
        <v/>
      </c>
      <c r="BQ231" s="152">
        <f>BN231-BO231-BP231</f>
        <v/>
      </c>
      <c r="BR231" s="152">
        <f>IF(BU230&lt;=0.005,0,BU230*(1+BR$6))</f>
        <v/>
      </c>
      <c r="BS231" s="152">
        <f>MIN(BR231,BR$7)</f>
        <v/>
      </c>
      <c r="BT231" s="152">
        <f>MAX(0,MIN(BR231-BS231,CL231-(AZ231+BD231+BH231+BL231+BP231)))</f>
        <v/>
      </c>
      <c r="BU231" s="152">
        <f>BR231-BS231-BT231</f>
        <v/>
      </c>
      <c r="BV231" s="152">
        <f>IF(BY230&lt;=0.005,0,BY230*(1+BV$6))</f>
        <v/>
      </c>
      <c r="BW231" s="152">
        <f>MIN(BV231,BV$7)</f>
        <v/>
      </c>
      <c r="BX231" s="152">
        <f>MAX(0,MIN(BV231-BW231,CL231-(AZ231+BD231+BH231+BL231+BP231+BT231)))</f>
        <v/>
      </c>
      <c r="BY231" s="152">
        <f>BV231-BW231-BX231</f>
        <v/>
      </c>
      <c r="BZ231" s="152">
        <f>IF(CC230&lt;=0.005,0,CC230*(1+BZ$6))</f>
        <v/>
      </c>
      <c r="CA231" s="152">
        <f>MIN(BZ231,BZ$7)</f>
        <v/>
      </c>
      <c r="CB231" s="152">
        <f>MAX(0,MIN(BZ231-CA231,CL231-(AZ231+BD231+BH231+BL231+BP231+BT231+BX231)))</f>
        <v/>
      </c>
      <c r="CC231" s="152">
        <f>BZ231-CA231-CB231</f>
        <v/>
      </c>
      <c r="CD231" s="152">
        <f>IF(CG230&lt;=0.005,0,CG230*(1+CD$6))</f>
        <v/>
      </c>
      <c r="CE231" s="152">
        <f>MIN(CD231,CD$7)</f>
        <v/>
      </c>
      <c r="CF231" s="152">
        <f>MAX(0,MIN(CD231-CE231,CL231-(AZ231+BD231+BH231+BL231+BP231+BT231+BX231+CB231)))</f>
        <v/>
      </c>
      <c r="CG231" s="152">
        <f>CD231-CE231-CF231</f>
        <v/>
      </c>
      <c r="CH231" s="152">
        <f>IF(CK230&lt;=0.005,0,CK230*(1+CH$6))</f>
        <v/>
      </c>
      <c r="CI231" s="152">
        <f>MIN(CH231,CH$7)</f>
        <v/>
      </c>
      <c r="CJ231" s="152">
        <f>MAX(0,MIN(CH231-CI231,CL231-(AZ231+BD231+BH231+BL231+BP231+BT231+BX231+CB231+CF231)))</f>
        <v/>
      </c>
      <c r="CK231" s="152">
        <f>CH231-CI231-CJ231</f>
        <v/>
      </c>
      <c r="CL231" s="152">
        <f>'Debt Payoff'!$C$8-SUM(AY231,BC231,BG231,BK231,BO231,BS231,BW231,CA231,CE231,CI231)</f>
        <v/>
      </c>
      <c r="CM231" s="152">
        <f>SUM(AY231,BC231,BG231,BK231,BO231,BS231,BW231,CA231,CE231,CI231)+SUM(AZ231,BD231,BH231,BL231,BP231,BT231,BX231,CB231,CF231,CJ231)</f>
        <v/>
      </c>
      <c r="CN231" s="152">
        <f>SUM(BA231,BE231,BI231,BM231,BQ231,BU231,BY231,CC231,CG231,CK231)</f>
        <v/>
      </c>
      <c r="CO231" s="152">
        <f>IF(AW231&gt;CN$6,NA(),AW231)</f>
        <v/>
      </c>
      <c r="CP231" s="152">
        <f>IF(AW231&gt;CN$6,NA(),CN231)</f>
        <v/>
      </c>
    </row>
    <row r="232">
      <c r="B232" s="152" t="n">
        <v>221</v>
      </c>
      <c r="C232" s="152">
        <f>IF(F231&lt;=0.005,0,F231*(1+C$6))</f>
        <v/>
      </c>
      <c r="D232" s="152">
        <f>MIN(C232,C$7)</f>
        <v/>
      </c>
      <c r="E232" s="152">
        <f>MAX(0,MIN(C232-D232,AQ232))</f>
        <v/>
      </c>
      <c r="F232" s="152">
        <f>C232-D232-E232</f>
        <v/>
      </c>
      <c r="G232" s="152">
        <f>IF(J231&lt;=0.005,0,J231*(1+G$6))</f>
        <v/>
      </c>
      <c r="H232" s="152">
        <f>MIN(G232,G$7)</f>
        <v/>
      </c>
      <c r="I232" s="152">
        <f>MAX(0,MIN(G232-H232,AQ232-(E232)))</f>
        <v/>
      </c>
      <c r="J232" s="152">
        <f>G232-H232-I232</f>
        <v/>
      </c>
      <c r="K232" s="152">
        <f>IF(N231&lt;=0.005,0,N231*(1+K$6))</f>
        <v/>
      </c>
      <c r="L232" s="152">
        <f>MIN(K232,K$7)</f>
        <v/>
      </c>
      <c r="M232" s="152">
        <f>MAX(0,MIN(K232-L232,AQ232-(E232+I232)))</f>
        <v/>
      </c>
      <c r="N232" s="152">
        <f>K232-L232-M232</f>
        <v/>
      </c>
      <c r="O232" s="152">
        <f>IF(R231&lt;=0.005,0,R231*(1+O$6))</f>
        <v/>
      </c>
      <c r="P232" s="152">
        <f>MIN(O232,O$7)</f>
        <v/>
      </c>
      <c r="Q232" s="152">
        <f>MAX(0,MIN(O232-P232,AQ232-(E232+I232+M232)))</f>
        <v/>
      </c>
      <c r="R232" s="152">
        <f>O232-P232-Q232</f>
        <v/>
      </c>
      <c r="S232" s="152">
        <f>IF(V231&lt;=0.005,0,V231*(1+S$6))</f>
        <v/>
      </c>
      <c r="T232" s="152">
        <f>MIN(S232,S$7)</f>
        <v/>
      </c>
      <c r="U232" s="152">
        <f>MAX(0,MIN(S232-T232,AQ232-(E232+I232+M232+Q232)))</f>
        <v/>
      </c>
      <c r="V232" s="152">
        <f>S232-T232-U232</f>
        <v/>
      </c>
      <c r="W232" s="152">
        <f>IF(Z231&lt;=0.005,0,Z231*(1+W$6))</f>
        <v/>
      </c>
      <c r="X232" s="152">
        <f>MIN(W232,W$7)</f>
        <v/>
      </c>
      <c r="Y232" s="152">
        <f>MAX(0,MIN(W232-X232,AQ232-(E232+I232+M232+Q232+U232)))</f>
        <v/>
      </c>
      <c r="Z232" s="152">
        <f>W232-X232-Y232</f>
        <v/>
      </c>
      <c r="AA232" s="152">
        <f>IF(AD231&lt;=0.005,0,AD231*(1+AA$6))</f>
        <v/>
      </c>
      <c r="AB232" s="152">
        <f>MIN(AA232,AA$7)</f>
        <v/>
      </c>
      <c r="AC232" s="152">
        <f>MAX(0,MIN(AA232-AB232,AQ232-(E232+I232+M232+Q232+U232+Y232)))</f>
        <v/>
      </c>
      <c r="AD232" s="152">
        <f>AA232-AB232-AC232</f>
        <v/>
      </c>
      <c r="AE232" s="152">
        <f>IF(AH231&lt;=0.005,0,AH231*(1+AE$6))</f>
        <v/>
      </c>
      <c r="AF232" s="152">
        <f>MIN(AE232,AE$7)</f>
        <v/>
      </c>
      <c r="AG232" s="152">
        <f>MAX(0,MIN(AE232-AF232,AQ232-(E232+I232+M232+Q232+U232+Y232+AC232)))</f>
        <v/>
      </c>
      <c r="AH232" s="152">
        <f>AE232-AF232-AG232</f>
        <v/>
      </c>
      <c r="AI232" s="152">
        <f>IF(AL231&lt;=0.005,0,AL231*(1+AI$6))</f>
        <v/>
      </c>
      <c r="AJ232" s="152">
        <f>MIN(AI232,AI$7)</f>
        <v/>
      </c>
      <c r="AK232" s="152">
        <f>MAX(0,MIN(AI232-AJ232,AQ232-(E232+I232+M232+Q232+U232+Y232+AC232+AG232)))</f>
        <v/>
      </c>
      <c r="AL232" s="152">
        <f>AI232-AJ232-AK232</f>
        <v/>
      </c>
      <c r="AM232" s="152">
        <f>IF(AP231&lt;=0.005,0,AP231*(1+AM$6))</f>
        <v/>
      </c>
      <c r="AN232" s="152">
        <f>MIN(AM232,AM$7)</f>
        <v/>
      </c>
      <c r="AO232" s="152">
        <f>MAX(0,MIN(AM232-AN232,AQ232-(E232+I232+M232+Q232+U232+Y232+AC232+AG232+AK232)))</f>
        <v/>
      </c>
      <c r="AP232" s="152">
        <f>AM232-AN232-AO232</f>
        <v/>
      </c>
      <c r="AQ232" s="152">
        <f>'Debt Payoff'!$C$8-SUM(D232,H232,L232,P232,T232,X232,AB232,AF232,AJ232,AN232)</f>
        <v/>
      </c>
      <c r="AR232" s="152">
        <f>SUM(D232,H232,L232,P232,T232,X232,AB232,AF232,AJ232,AN232)+SUM(E232,I232,M232,Q232,U232,Y232,AC232,AG232,AK232,AO232)</f>
        <v/>
      </c>
      <c r="AS232" s="152">
        <f>SUM(F232,J232,N232,R232,V232,Z232,AD232,AH232,AL232,AP232)</f>
        <v/>
      </c>
      <c r="AT232" s="152">
        <f>IF(B232&gt;AS$6,NA(),B232)</f>
        <v/>
      </c>
      <c r="AU232" s="152">
        <f>IF(B232&gt;AS$6,NA(),AS232)</f>
        <v/>
      </c>
      <c r="AV232" s="152" t="n"/>
      <c r="AW232" s="152" t="n">
        <v>221</v>
      </c>
      <c r="AX232" s="152">
        <f>IF(BA231&lt;=0.005,0,BA231*(1+AX$6))</f>
        <v/>
      </c>
      <c r="AY232" s="152">
        <f>MIN(AX232,AX$7)</f>
        <v/>
      </c>
      <c r="AZ232" s="152">
        <f>MAX(0,MIN(AX232-AY232,CL232))</f>
        <v/>
      </c>
      <c r="BA232" s="152">
        <f>AX232-AY232-AZ232</f>
        <v/>
      </c>
      <c r="BB232" s="152">
        <f>IF(BE231&lt;=0.005,0,BE231*(1+BB$6))</f>
        <v/>
      </c>
      <c r="BC232" s="152">
        <f>MIN(BB232,BB$7)</f>
        <v/>
      </c>
      <c r="BD232" s="152">
        <f>MAX(0,MIN(BB232-BC232,CL232-(AZ232)))</f>
        <v/>
      </c>
      <c r="BE232" s="152">
        <f>BB232-BC232-BD232</f>
        <v/>
      </c>
      <c r="BF232" s="152">
        <f>IF(BI231&lt;=0.005,0,BI231*(1+BF$6))</f>
        <v/>
      </c>
      <c r="BG232" s="152">
        <f>MIN(BF232,BF$7)</f>
        <v/>
      </c>
      <c r="BH232" s="152">
        <f>MAX(0,MIN(BF232-BG232,CL232-(AZ232+BD232)))</f>
        <v/>
      </c>
      <c r="BI232" s="152">
        <f>BF232-BG232-BH232</f>
        <v/>
      </c>
      <c r="BJ232" s="152">
        <f>IF(BM231&lt;=0.005,0,BM231*(1+BJ$6))</f>
        <v/>
      </c>
      <c r="BK232" s="152">
        <f>MIN(BJ232,BJ$7)</f>
        <v/>
      </c>
      <c r="BL232" s="152">
        <f>MAX(0,MIN(BJ232-BK232,CL232-(AZ232+BD232+BH232)))</f>
        <v/>
      </c>
      <c r="BM232" s="152">
        <f>BJ232-BK232-BL232</f>
        <v/>
      </c>
      <c r="BN232" s="152">
        <f>IF(BQ231&lt;=0.005,0,BQ231*(1+BN$6))</f>
        <v/>
      </c>
      <c r="BO232" s="152">
        <f>MIN(BN232,BN$7)</f>
        <v/>
      </c>
      <c r="BP232" s="152">
        <f>MAX(0,MIN(BN232-BO232,CL232-(AZ232+BD232+BH232+BL232)))</f>
        <v/>
      </c>
      <c r="BQ232" s="152">
        <f>BN232-BO232-BP232</f>
        <v/>
      </c>
      <c r="BR232" s="152">
        <f>IF(BU231&lt;=0.005,0,BU231*(1+BR$6))</f>
        <v/>
      </c>
      <c r="BS232" s="152">
        <f>MIN(BR232,BR$7)</f>
        <v/>
      </c>
      <c r="BT232" s="152">
        <f>MAX(0,MIN(BR232-BS232,CL232-(AZ232+BD232+BH232+BL232+BP232)))</f>
        <v/>
      </c>
      <c r="BU232" s="152">
        <f>BR232-BS232-BT232</f>
        <v/>
      </c>
      <c r="BV232" s="152">
        <f>IF(BY231&lt;=0.005,0,BY231*(1+BV$6))</f>
        <v/>
      </c>
      <c r="BW232" s="152">
        <f>MIN(BV232,BV$7)</f>
        <v/>
      </c>
      <c r="BX232" s="152">
        <f>MAX(0,MIN(BV232-BW232,CL232-(AZ232+BD232+BH232+BL232+BP232+BT232)))</f>
        <v/>
      </c>
      <c r="BY232" s="152">
        <f>BV232-BW232-BX232</f>
        <v/>
      </c>
      <c r="BZ232" s="152">
        <f>IF(CC231&lt;=0.005,0,CC231*(1+BZ$6))</f>
        <v/>
      </c>
      <c r="CA232" s="152">
        <f>MIN(BZ232,BZ$7)</f>
        <v/>
      </c>
      <c r="CB232" s="152">
        <f>MAX(0,MIN(BZ232-CA232,CL232-(AZ232+BD232+BH232+BL232+BP232+BT232+BX232)))</f>
        <v/>
      </c>
      <c r="CC232" s="152">
        <f>BZ232-CA232-CB232</f>
        <v/>
      </c>
      <c r="CD232" s="152">
        <f>IF(CG231&lt;=0.005,0,CG231*(1+CD$6))</f>
        <v/>
      </c>
      <c r="CE232" s="152">
        <f>MIN(CD232,CD$7)</f>
        <v/>
      </c>
      <c r="CF232" s="152">
        <f>MAX(0,MIN(CD232-CE232,CL232-(AZ232+BD232+BH232+BL232+BP232+BT232+BX232+CB232)))</f>
        <v/>
      </c>
      <c r="CG232" s="152">
        <f>CD232-CE232-CF232</f>
        <v/>
      </c>
      <c r="CH232" s="152">
        <f>IF(CK231&lt;=0.005,0,CK231*(1+CH$6))</f>
        <v/>
      </c>
      <c r="CI232" s="152">
        <f>MIN(CH232,CH$7)</f>
        <v/>
      </c>
      <c r="CJ232" s="152">
        <f>MAX(0,MIN(CH232-CI232,CL232-(AZ232+BD232+BH232+BL232+BP232+BT232+BX232+CB232+CF232)))</f>
        <v/>
      </c>
      <c r="CK232" s="152">
        <f>CH232-CI232-CJ232</f>
        <v/>
      </c>
      <c r="CL232" s="152">
        <f>'Debt Payoff'!$C$8-SUM(AY232,BC232,BG232,BK232,BO232,BS232,BW232,CA232,CE232,CI232)</f>
        <v/>
      </c>
      <c r="CM232" s="152">
        <f>SUM(AY232,BC232,BG232,BK232,BO232,BS232,BW232,CA232,CE232,CI232)+SUM(AZ232,BD232,BH232,BL232,BP232,BT232,BX232,CB232,CF232,CJ232)</f>
        <v/>
      </c>
      <c r="CN232" s="152">
        <f>SUM(BA232,BE232,BI232,BM232,BQ232,BU232,BY232,CC232,CG232,CK232)</f>
        <v/>
      </c>
      <c r="CO232" s="152">
        <f>IF(AW232&gt;CN$6,NA(),AW232)</f>
        <v/>
      </c>
      <c r="CP232" s="152">
        <f>IF(AW232&gt;CN$6,NA(),CN232)</f>
        <v/>
      </c>
    </row>
    <row r="233">
      <c r="B233" s="152" t="n">
        <v>222</v>
      </c>
      <c r="C233" s="152">
        <f>IF(F232&lt;=0.005,0,F232*(1+C$6))</f>
        <v/>
      </c>
      <c r="D233" s="152">
        <f>MIN(C233,C$7)</f>
        <v/>
      </c>
      <c r="E233" s="152">
        <f>MAX(0,MIN(C233-D233,AQ233))</f>
        <v/>
      </c>
      <c r="F233" s="152">
        <f>C233-D233-E233</f>
        <v/>
      </c>
      <c r="G233" s="152">
        <f>IF(J232&lt;=0.005,0,J232*(1+G$6))</f>
        <v/>
      </c>
      <c r="H233" s="152">
        <f>MIN(G233,G$7)</f>
        <v/>
      </c>
      <c r="I233" s="152">
        <f>MAX(0,MIN(G233-H233,AQ233-(E233)))</f>
        <v/>
      </c>
      <c r="J233" s="152">
        <f>G233-H233-I233</f>
        <v/>
      </c>
      <c r="K233" s="152">
        <f>IF(N232&lt;=0.005,0,N232*(1+K$6))</f>
        <v/>
      </c>
      <c r="L233" s="152">
        <f>MIN(K233,K$7)</f>
        <v/>
      </c>
      <c r="M233" s="152">
        <f>MAX(0,MIN(K233-L233,AQ233-(E233+I233)))</f>
        <v/>
      </c>
      <c r="N233" s="152">
        <f>K233-L233-M233</f>
        <v/>
      </c>
      <c r="O233" s="152">
        <f>IF(R232&lt;=0.005,0,R232*(1+O$6))</f>
        <v/>
      </c>
      <c r="P233" s="152">
        <f>MIN(O233,O$7)</f>
        <v/>
      </c>
      <c r="Q233" s="152">
        <f>MAX(0,MIN(O233-P233,AQ233-(E233+I233+M233)))</f>
        <v/>
      </c>
      <c r="R233" s="152">
        <f>O233-P233-Q233</f>
        <v/>
      </c>
      <c r="S233" s="152">
        <f>IF(V232&lt;=0.005,0,V232*(1+S$6))</f>
        <v/>
      </c>
      <c r="T233" s="152">
        <f>MIN(S233,S$7)</f>
        <v/>
      </c>
      <c r="U233" s="152">
        <f>MAX(0,MIN(S233-T233,AQ233-(E233+I233+M233+Q233)))</f>
        <v/>
      </c>
      <c r="V233" s="152">
        <f>S233-T233-U233</f>
        <v/>
      </c>
      <c r="W233" s="152">
        <f>IF(Z232&lt;=0.005,0,Z232*(1+W$6))</f>
        <v/>
      </c>
      <c r="X233" s="152">
        <f>MIN(W233,W$7)</f>
        <v/>
      </c>
      <c r="Y233" s="152">
        <f>MAX(0,MIN(W233-X233,AQ233-(E233+I233+M233+Q233+U233)))</f>
        <v/>
      </c>
      <c r="Z233" s="152">
        <f>W233-X233-Y233</f>
        <v/>
      </c>
      <c r="AA233" s="152">
        <f>IF(AD232&lt;=0.005,0,AD232*(1+AA$6))</f>
        <v/>
      </c>
      <c r="AB233" s="152">
        <f>MIN(AA233,AA$7)</f>
        <v/>
      </c>
      <c r="AC233" s="152">
        <f>MAX(0,MIN(AA233-AB233,AQ233-(E233+I233+M233+Q233+U233+Y233)))</f>
        <v/>
      </c>
      <c r="AD233" s="152">
        <f>AA233-AB233-AC233</f>
        <v/>
      </c>
      <c r="AE233" s="152">
        <f>IF(AH232&lt;=0.005,0,AH232*(1+AE$6))</f>
        <v/>
      </c>
      <c r="AF233" s="152">
        <f>MIN(AE233,AE$7)</f>
        <v/>
      </c>
      <c r="AG233" s="152">
        <f>MAX(0,MIN(AE233-AF233,AQ233-(E233+I233+M233+Q233+U233+Y233+AC233)))</f>
        <v/>
      </c>
      <c r="AH233" s="152">
        <f>AE233-AF233-AG233</f>
        <v/>
      </c>
      <c r="AI233" s="152">
        <f>IF(AL232&lt;=0.005,0,AL232*(1+AI$6))</f>
        <v/>
      </c>
      <c r="AJ233" s="152">
        <f>MIN(AI233,AI$7)</f>
        <v/>
      </c>
      <c r="AK233" s="152">
        <f>MAX(0,MIN(AI233-AJ233,AQ233-(E233+I233+M233+Q233+U233+Y233+AC233+AG233)))</f>
        <v/>
      </c>
      <c r="AL233" s="152">
        <f>AI233-AJ233-AK233</f>
        <v/>
      </c>
      <c r="AM233" s="152">
        <f>IF(AP232&lt;=0.005,0,AP232*(1+AM$6))</f>
        <v/>
      </c>
      <c r="AN233" s="152">
        <f>MIN(AM233,AM$7)</f>
        <v/>
      </c>
      <c r="AO233" s="152">
        <f>MAX(0,MIN(AM233-AN233,AQ233-(E233+I233+M233+Q233+U233+Y233+AC233+AG233+AK233)))</f>
        <v/>
      </c>
      <c r="AP233" s="152">
        <f>AM233-AN233-AO233</f>
        <v/>
      </c>
      <c r="AQ233" s="152">
        <f>'Debt Payoff'!$C$8-SUM(D233,H233,L233,P233,T233,X233,AB233,AF233,AJ233,AN233)</f>
        <v/>
      </c>
      <c r="AR233" s="152">
        <f>SUM(D233,H233,L233,P233,T233,X233,AB233,AF233,AJ233,AN233)+SUM(E233,I233,M233,Q233,U233,Y233,AC233,AG233,AK233,AO233)</f>
        <v/>
      </c>
      <c r="AS233" s="152">
        <f>SUM(F233,J233,N233,R233,V233,Z233,AD233,AH233,AL233,AP233)</f>
        <v/>
      </c>
      <c r="AT233" s="152">
        <f>IF(B233&gt;AS$6,NA(),B233)</f>
        <v/>
      </c>
      <c r="AU233" s="152">
        <f>IF(B233&gt;AS$6,NA(),AS233)</f>
        <v/>
      </c>
      <c r="AV233" s="152" t="n"/>
      <c r="AW233" s="152" t="n">
        <v>222</v>
      </c>
      <c r="AX233" s="152">
        <f>IF(BA232&lt;=0.005,0,BA232*(1+AX$6))</f>
        <v/>
      </c>
      <c r="AY233" s="152">
        <f>MIN(AX233,AX$7)</f>
        <v/>
      </c>
      <c r="AZ233" s="152">
        <f>MAX(0,MIN(AX233-AY233,CL233))</f>
        <v/>
      </c>
      <c r="BA233" s="152">
        <f>AX233-AY233-AZ233</f>
        <v/>
      </c>
      <c r="BB233" s="152">
        <f>IF(BE232&lt;=0.005,0,BE232*(1+BB$6))</f>
        <v/>
      </c>
      <c r="BC233" s="152">
        <f>MIN(BB233,BB$7)</f>
        <v/>
      </c>
      <c r="BD233" s="152">
        <f>MAX(0,MIN(BB233-BC233,CL233-(AZ233)))</f>
        <v/>
      </c>
      <c r="BE233" s="152">
        <f>BB233-BC233-BD233</f>
        <v/>
      </c>
      <c r="BF233" s="152">
        <f>IF(BI232&lt;=0.005,0,BI232*(1+BF$6))</f>
        <v/>
      </c>
      <c r="BG233" s="152">
        <f>MIN(BF233,BF$7)</f>
        <v/>
      </c>
      <c r="BH233" s="152">
        <f>MAX(0,MIN(BF233-BG233,CL233-(AZ233+BD233)))</f>
        <v/>
      </c>
      <c r="BI233" s="152">
        <f>BF233-BG233-BH233</f>
        <v/>
      </c>
      <c r="BJ233" s="152">
        <f>IF(BM232&lt;=0.005,0,BM232*(1+BJ$6))</f>
        <v/>
      </c>
      <c r="BK233" s="152">
        <f>MIN(BJ233,BJ$7)</f>
        <v/>
      </c>
      <c r="BL233" s="152">
        <f>MAX(0,MIN(BJ233-BK233,CL233-(AZ233+BD233+BH233)))</f>
        <v/>
      </c>
      <c r="BM233" s="152">
        <f>BJ233-BK233-BL233</f>
        <v/>
      </c>
      <c r="BN233" s="152">
        <f>IF(BQ232&lt;=0.005,0,BQ232*(1+BN$6))</f>
        <v/>
      </c>
      <c r="BO233" s="152">
        <f>MIN(BN233,BN$7)</f>
        <v/>
      </c>
      <c r="BP233" s="152">
        <f>MAX(0,MIN(BN233-BO233,CL233-(AZ233+BD233+BH233+BL233)))</f>
        <v/>
      </c>
      <c r="BQ233" s="152">
        <f>BN233-BO233-BP233</f>
        <v/>
      </c>
      <c r="BR233" s="152">
        <f>IF(BU232&lt;=0.005,0,BU232*(1+BR$6))</f>
        <v/>
      </c>
      <c r="BS233" s="152">
        <f>MIN(BR233,BR$7)</f>
        <v/>
      </c>
      <c r="BT233" s="152">
        <f>MAX(0,MIN(BR233-BS233,CL233-(AZ233+BD233+BH233+BL233+BP233)))</f>
        <v/>
      </c>
      <c r="BU233" s="152">
        <f>BR233-BS233-BT233</f>
        <v/>
      </c>
      <c r="BV233" s="152">
        <f>IF(BY232&lt;=0.005,0,BY232*(1+BV$6))</f>
        <v/>
      </c>
      <c r="BW233" s="152">
        <f>MIN(BV233,BV$7)</f>
        <v/>
      </c>
      <c r="BX233" s="152">
        <f>MAX(0,MIN(BV233-BW233,CL233-(AZ233+BD233+BH233+BL233+BP233+BT233)))</f>
        <v/>
      </c>
      <c r="BY233" s="152">
        <f>BV233-BW233-BX233</f>
        <v/>
      </c>
      <c r="BZ233" s="152">
        <f>IF(CC232&lt;=0.005,0,CC232*(1+BZ$6))</f>
        <v/>
      </c>
      <c r="CA233" s="152">
        <f>MIN(BZ233,BZ$7)</f>
        <v/>
      </c>
      <c r="CB233" s="152">
        <f>MAX(0,MIN(BZ233-CA233,CL233-(AZ233+BD233+BH233+BL233+BP233+BT233+BX233)))</f>
        <v/>
      </c>
      <c r="CC233" s="152">
        <f>BZ233-CA233-CB233</f>
        <v/>
      </c>
      <c r="CD233" s="152">
        <f>IF(CG232&lt;=0.005,0,CG232*(1+CD$6))</f>
        <v/>
      </c>
      <c r="CE233" s="152">
        <f>MIN(CD233,CD$7)</f>
        <v/>
      </c>
      <c r="CF233" s="152">
        <f>MAX(0,MIN(CD233-CE233,CL233-(AZ233+BD233+BH233+BL233+BP233+BT233+BX233+CB233)))</f>
        <v/>
      </c>
      <c r="CG233" s="152">
        <f>CD233-CE233-CF233</f>
        <v/>
      </c>
      <c r="CH233" s="152">
        <f>IF(CK232&lt;=0.005,0,CK232*(1+CH$6))</f>
        <v/>
      </c>
      <c r="CI233" s="152">
        <f>MIN(CH233,CH$7)</f>
        <v/>
      </c>
      <c r="CJ233" s="152">
        <f>MAX(0,MIN(CH233-CI233,CL233-(AZ233+BD233+BH233+BL233+BP233+BT233+BX233+CB233+CF233)))</f>
        <v/>
      </c>
      <c r="CK233" s="152">
        <f>CH233-CI233-CJ233</f>
        <v/>
      </c>
      <c r="CL233" s="152">
        <f>'Debt Payoff'!$C$8-SUM(AY233,BC233,BG233,BK233,BO233,BS233,BW233,CA233,CE233,CI233)</f>
        <v/>
      </c>
      <c r="CM233" s="152">
        <f>SUM(AY233,BC233,BG233,BK233,BO233,BS233,BW233,CA233,CE233,CI233)+SUM(AZ233,BD233,BH233,BL233,BP233,BT233,BX233,CB233,CF233,CJ233)</f>
        <v/>
      </c>
      <c r="CN233" s="152">
        <f>SUM(BA233,BE233,BI233,BM233,BQ233,BU233,BY233,CC233,CG233,CK233)</f>
        <v/>
      </c>
      <c r="CO233" s="152">
        <f>IF(AW233&gt;CN$6,NA(),AW233)</f>
        <v/>
      </c>
      <c r="CP233" s="152">
        <f>IF(AW233&gt;CN$6,NA(),CN233)</f>
        <v/>
      </c>
    </row>
    <row r="234">
      <c r="B234" s="152" t="n">
        <v>223</v>
      </c>
      <c r="C234" s="152">
        <f>IF(F233&lt;=0.005,0,F233*(1+C$6))</f>
        <v/>
      </c>
      <c r="D234" s="152">
        <f>MIN(C234,C$7)</f>
        <v/>
      </c>
      <c r="E234" s="152">
        <f>MAX(0,MIN(C234-D234,AQ234))</f>
        <v/>
      </c>
      <c r="F234" s="152">
        <f>C234-D234-E234</f>
        <v/>
      </c>
      <c r="G234" s="152">
        <f>IF(J233&lt;=0.005,0,J233*(1+G$6))</f>
        <v/>
      </c>
      <c r="H234" s="152">
        <f>MIN(G234,G$7)</f>
        <v/>
      </c>
      <c r="I234" s="152">
        <f>MAX(0,MIN(G234-H234,AQ234-(E234)))</f>
        <v/>
      </c>
      <c r="J234" s="152">
        <f>G234-H234-I234</f>
        <v/>
      </c>
      <c r="K234" s="152">
        <f>IF(N233&lt;=0.005,0,N233*(1+K$6))</f>
        <v/>
      </c>
      <c r="L234" s="152">
        <f>MIN(K234,K$7)</f>
        <v/>
      </c>
      <c r="M234" s="152">
        <f>MAX(0,MIN(K234-L234,AQ234-(E234+I234)))</f>
        <v/>
      </c>
      <c r="N234" s="152">
        <f>K234-L234-M234</f>
        <v/>
      </c>
      <c r="O234" s="152">
        <f>IF(R233&lt;=0.005,0,R233*(1+O$6))</f>
        <v/>
      </c>
      <c r="P234" s="152">
        <f>MIN(O234,O$7)</f>
        <v/>
      </c>
      <c r="Q234" s="152">
        <f>MAX(0,MIN(O234-P234,AQ234-(E234+I234+M234)))</f>
        <v/>
      </c>
      <c r="R234" s="152">
        <f>O234-P234-Q234</f>
        <v/>
      </c>
      <c r="S234" s="152">
        <f>IF(V233&lt;=0.005,0,V233*(1+S$6))</f>
        <v/>
      </c>
      <c r="T234" s="152">
        <f>MIN(S234,S$7)</f>
        <v/>
      </c>
      <c r="U234" s="152">
        <f>MAX(0,MIN(S234-T234,AQ234-(E234+I234+M234+Q234)))</f>
        <v/>
      </c>
      <c r="V234" s="152">
        <f>S234-T234-U234</f>
        <v/>
      </c>
      <c r="W234" s="152">
        <f>IF(Z233&lt;=0.005,0,Z233*(1+W$6))</f>
        <v/>
      </c>
      <c r="X234" s="152">
        <f>MIN(W234,W$7)</f>
        <v/>
      </c>
      <c r="Y234" s="152">
        <f>MAX(0,MIN(W234-X234,AQ234-(E234+I234+M234+Q234+U234)))</f>
        <v/>
      </c>
      <c r="Z234" s="152">
        <f>W234-X234-Y234</f>
        <v/>
      </c>
      <c r="AA234" s="152">
        <f>IF(AD233&lt;=0.005,0,AD233*(1+AA$6))</f>
        <v/>
      </c>
      <c r="AB234" s="152">
        <f>MIN(AA234,AA$7)</f>
        <v/>
      </c>
      <c r="AC234" s="152">
        <f>MAX(0,MIN(AA234-AB234,AQ234-(E234+I234+M234+Q234+U234+Y234)))</f>
        <v/>
      </c>
      <c r="AD234" s="152">
        <f>AA234-AB234-AC234</f>
        <v/>
      </c>
      <c r="AE234" s="152">
        <f>IF(AH233&lt;=0.005,0,AH233*(1+AE$6))</f>
        <v/>
      </c>
      <c r="AF234" s="152">
        <f>MIN(AE234,AE$7)</f>
        <v/>
      </c>
      <c r="AG234" s="152">
        <f>MAX(0,MIN(AE234-AF234,AQ234-(E234+I234+M234+Q234+U234+Y234+AC234)))</f>
        <v/>
      </c>
      <c r="AH234" s="152">
        <f>AE234-AF234-AG234</f>
        <v/>
      </c>
      <c r="AI234" s="152">
        <f>IF(AL233&lt;=0.005,0,AL233*(1+AI$6))</f>
        <v/>
      </c>
      <c r="AJ234" s="152">
        <f>MIN(AI234,AI$7)</f>
        <v/>
      </c>
      <c r="AK234" s="152">
        <f>MAX(0,MIN(AI234-AJ234,AQ234-(E234+I234+M234+Q234+U234+Y234+AC234+AG234)))</f>
        <v/>
      </c>
      <c r="AL234" s="152">
        <f>AI234-AJ234-AK234</f>
        <v/>
      </c>
      <c r="AM234" s="152">
        <f>IF(AP233&lt;=0.005,0,AP233*(1+AM$6))</f>
        <v/>
      </c>
      <c r="AN234" s="152">
        <f>MIN(AM234,AM$7)</f>
        <v/>
      </c>
      <c r="AO234" s="152">
        <f>MAX(0,MIN(AM234-AN234,AQ234-(E234+I234+M234+Q234+U234+Y234+AC234+AG234+AK234)))</f>
        <v/>
      </c>
      <c r="AP234" s="152">
        <f>AM234-AN234-AO234</f>
        <v/>
      </c>
      <c r="AQ234" s="152">
        <f>'Debt Payoff'!$C$8-SUM(D234,H234,L234,P234,T234,X234,AB234,AF234,AJ234,AN234)</f>
        <v/>
      </c>
      <c r="AR234" s="152">
        <f>SUM(D234,H234,L234,P234,T234,X234,AB234,AF234,AJ234,AN234)+SUM(E234,I234,M234,Q234,U234,Y234,AC234,AG234,AK234,AO234)</f>
        <v/>
      </c>
      <c r="AS234" s="152">
        <f>SUM(F234,J234,N234,R234,V234,Z234,AD234,AH234,AL234,AP234)</f>
        <v/>
      </c>
      <c r="AT234" s="152">
        <f>IF(B234&gt;AS$6,NA(),B234)</f>
        <v/>
      </c>
      <c r="AU234" s="152">
        <f>IF(B234&gt;AS$6,NA(),AS234)</f>
        <v/>
      </c>
      <c r="AV234" s="152" t="n"/>
      <c r="AW234" s="152" t="n">
        <v>223</v>
      </c>
      <c r="AX234" s="152">
        <f>IF(BA233&lt;=0.005,0,BA233*(1+AX$6))</f>
        <v/>
      </c>
      <c r="AY234" s="152">
        <f>MIN(AX234,AX$7)</f>
        <v/>
      </c>
      <c r="AZ234" s="152">
        <f>MAX(0,MIN(AX234-AY234,CL234))</f>
        <v/>
      </c>
      <c r="BA234" s="152">
        <f>AX234-AY234-AZ234</f>
        <v/>
      </c>
      <c r="BB234" s="152">
        <f>IF(BE233&lt;=0.005,0,BE233*(1+BB$6))</f>
        <v/>
      </c>
      <c r="BC234" s="152">
        <f>MIN(BB234,BB$7)</f>
        <v/>
      </c>
      <c r="BD234" s="152">
        <f>MAX(0,MIN(BB234-BC234,CL234-(AZ234)))</f>
        <v/>
      </c>
      <c r="BE234" s="152">
        <f>BB234-BC234-BD234</f>
        <v/>
      </c>
      <c r="BF234" s="152">
        <f>IF(BI233&lt;=0.005,0,BI233*(1+BF$6))</f>
        <v/>
      </c>
      <c r="BG234" s="152">
        <f>MIN(BF234,BF$7)</f>
        <v/>
      </c>
      <c r="BH234" s="152">
        <f>MAX(0,MIN(BF234-BG234,CL234-(AZ234+BD234)))</f>
        <v/>
      </c>
      <c r="BI234" s="152">
        <f>BF234-BG234-BH234</f>
        <v/>
      </c>
      <c r="BJ234" s="152">
        <f>IF(BM233&lt;=0.005,0,BM233*(1+BJ$6))</f>
        <v/>
      </c>
      <c r="BK234" s="152">
        <f>MIN(BJ234,BJ$7)</f>
        <v/>
      </c>
      <c r="BL234" s="152">
        <f>MAX(0,MIN(BJ234-BK234,CL234-(AZ234+BD234+BH234)))</f>
        <v/>
      </c>
      <c r="BM234" s="152">
        <f>BJ234-BK234-BL234</f>
        <v/>
      </c>
      <c r="BN234" s="152">
        <f>IF(BQ233&lt;=0.005,0,BQ233*(1+BN$6))</f>
        <v/>
      </c>
      <c r="BO234" s="152">
        <f>MIN(BN234,BN$7)</f>
        <v/>
      </c>
      <c r="BP234" s="152">
        <f>MAX(0,MIN(BN234-BO234,CL234-(AZ234+BD234+BH234+BL234)))</f>
        <v/>
      </c>
      <c r="BQ234" s="152">
        <f>BN234-BO234-BP234</f>
        <v/>
      </c>
      <c r="BR234" s="152">
        <f>IF(BU233&lt;=0.005,0,BU233*(1+BR$6))</f>
        <v/>
      </c>
      <c r="BS234" s="152">
        <f>MIN(BR234,BR$7)</f>
        <v/>
      </c>
      <c r="BT234" s="152">
        <f>MAX(0,MIN(BR234-BS234,CL234-(AZ234+BD234+BH234+BL234+BP234)))</f>
        <v/>
      </c>
      <c r="BU234" s="152">
        <f>BR234-BS234-BT234</f>
        <v/>
      </c>
      <c r="BV234" s="152">
        <f>IF(BY233&lt;=0.005,0,BY233*(1+BV$6))</f>
        <v/>
      </c>
      <c r="BW234" s="152">
        <f>MIN(BV234,BV$7)</f>
        <v/>
      </c>
      <c r="BX234" s="152">
        <f>MAX(0,MIN(BV234-BW234,CL234-(AZ234+BD234+BH234+BL234+BP234+BT234)))</f>
        <v/>
      </c>
      <c r="BY234" s="152">
        <f>BV234-BW234-BX234</f>
        <v/>
      </c>
      <c r="BZ234" s="152">
        <f>IF(CC233&lt;=0.005,0,CC233*(1+BZ$6))</f>
        <v/>
      </c>
      <c r="CA234" s="152">
        <f>MIN(BZ234,BZ$7)</f>
        <v/>
      </c>
      <c r="CB234" s="152">
        <f>MAX(0,MIN(BZ234-CA234,CL234-(AZ234+BD234+BH234+BL234+BP234+BT234+BX234)))</f>
        <v/>
      </c>
      <c r="CC234" s="152">
        <f>BZ234-CA234-CB234</f>
        <v/>
      </c>
      <c r="CD234" s="152">
        <f>IF(CG233&lt;=0.005,0,CG233*(1+CD$6))</f>
        <v/>
      </c>
      <c r="CE234" s="152">
        <f>MIN(CD234,CD$7)</f>
        <v/>
      </c>
      <c r="CF234" s="152">
        <f>MAX(0,MIN(CD234-CE234,CL234-(AZ234+BD234+BH234+BL234+BP234+BT234+BX234+CB234)))</f>
        <v/>
      </c>
      <c r="CG234" s="152">
        <f>CD234-CE234-CF234</f>
        <v/>
      </c>
      <c r="CH234" s="152">
        <f>IF(CK233&lt;=0.005,0,CK233*(1+CH$6))</f>
        <v/>
      </c>
      <c r="CI234" s="152">
        <f>MIN(CH234,CH$7)</f>
        <v/>
      </c>
      <c r="CJ234" s="152">
        <f>MAX(0,MIN(CH234-CI234,CL234-(AZ234+BD234+BH234+BL234+BP234+BT234+BX234+CB234+CF234)))</f>
        <v/>
      </c>
      <c r="CK234" s="152">
        <f>CH234-CI234-CJ234</f>
        <v/>
      </c>
      <c r="CL234" s="152">
        <f>'Debt Payoff'!$C$8-SUM(AY234,BC234,BG234,BK234,BO234,BS234,BW234,CA234,CE234,CI234)</f>
        <v/>
      </c>
      <c r="CM234" s="152">
        <f>SUM(AY234,BC234,BG234,BK234,BO234,BS234,BW234,CA234,CE234,CI234)+SUM(AZ234,BD234,BH234,BL234,BP234,BT234,BX234,CB234,CF234,CJ234)</f>
        <v/>
      </c>
      <c r="CN234" s="152">
        <f>SUM(BA234,BE234,BI234,BM234,BQ234,BU234,BY234,CC234,CG234,CK234)</f>
        <v/>
      </c>
      <c r="CO234" s="152">
        <f>IF(AW234&gt;CN$6,NA(),AW234)</f>
        <v/>
      </c>
      <c r="CP234" s="152">
        <f>IF(AW234&gt;CN$6,NA(),CN234)</f>
        <v/>
      </c>
    </row>
    <row r="235">
      <c r="B235" s="152" t="n">
        <v>224</v>
      </c>
      <c r="C235" s="152">
        <f>IF(F234&lt;=0.005,0,F234*(1+C$6))</f>
        <v/>
      </c>
      <c r="D235" s="152">
        <f>MIN(C235,C$7)</f>
        <v/>
      </c>
      <c r="E235" s="152">
        <f>MAX(0,MIN(C235-D235,AQ235))</f>
        <v/>
      </c>
      <c r="F235" s="152">
        <f>C235-D235-E235</f>
        <v/>
      </c>
      <c r="G235" s="152">
        <f>IF(J234&lt;=0.005,0,J234*(1+G$6))</f>
        <v/>
      </c>
      <c r="H235" s="152">
        <f>MIN(G235,G$7)</f>
        <v/>
      </c>
      <c r="I235" s="152">
        <f>MAX(0,MIN(G235-H235,AQ235-(E235)))</f>
        <v/>
      </c>
      <c r="J235" s="152">
        <f>G235-H235-I235</f>
        <v/>
      </c>
      <c r="K235" s="152">
        <f>IF(N234&lt;=0.005,0,N234*(1+K$6))</f>
        <v/>
      </c>
      <c r="L235" s="152">
        <f>MIN(K235,K$7)</f>
        <v/>
      </c>
      <c r="M235" s="152">
        <f>MAX(0,MIN(K235-L235,AQ235-(E235+I235)))</f>
        <v/>
      </c>
      <c r="N235" s="152">
        <f>K235-L235-M235</f>
        <v/>
      </c>
      <c r="O235" s="152">
        <f>IF(R234&lt;=0.005,0,R234*(1+O$6))</f>
        <v/>
      </c>
      <c r="P235" s="152">
        <f>MIN(O235,O$7)</f>
        <v/>
      </c>
      <c r="Q235" s="152">
        <f>MAX(0,MIN(O235-P235,AQ235-(E235+I235+M235)))</f>
        <v/>
      </c>
      <c r="R235" s="152">
        <f>O235-P235-Q235</f>
        <v/>
      </c>
      <c r="S235" s="152">
        <f>IF(V234&lt;=0.005,0,V234*(1+S$6))</f>
        <v/>
      </c>
      <c r="T235" s="152">
        <f>MIN(S235,S$7)</f>
        <v/>
      </c>
      <c r="U235" s="152">
        <f>MAX(0,MIN(S235-T235,AQ235-(E235+I235+M235+Q235)))</f>
        <v/>
      </c>
      <c r="V235" s="152">
        <f>S235-T235-U235</f>
        <v/>
      </c>
      <c r="W235" s="152">
        <f>IF(Z234&lt;=0.005,0,Z234*(1+W$6))</f>
        <v/>
      </c>
      <c r="X235" s="152">
        <f>MIN(W235,W$7)</f>
        <v/>
      </c>
      <c r="Y235" s="152">
        <f>MAX(0,MIN(W235-X235,AQ235-(E235+I235+M235+Q235+U235)))</f>
        <v/>
      </c>
      <c r="Z235" s="152">
        <f>W235-X235-Y235</f>
        <v/>
      </c>
      <c r="AA235" s="152">
        <f>IF(AD234&lt;=0.005,0,AD234*(1+AA$6))</f>
        <v/>
      </c>
      <c r="AB235" s="152">
        <f>MIN(AA235,AA$7)</f>
        <v/>
      </c>
      <c r="AC235" s="152">
        <f>MAX(0,MIN(AA235-AB235,AQ235-(E235+I235+M235+Q235+U235+Y235)))</f>
        <v/>
      </c>
      <c r="AD235" s="152">
        <f>AA235-AB235-AC235</f>
        <v/>
      </c>
      <c r="AE235" s="152">
        <f>IF(AH234&lt;=0.005,0,AH234*(1+AE$6))</f>
        <v/>
      </c>
      <c r="AF235" s="152">
        <f>MIN(AE235,AE$7)</f>
        <v/>
      </c>
      <c r="AG235" s="152">
        <f>MAX(0,MIN(AE235-AF235,AQ235-(E235+I235+M235+Q235+U235+Y235+AC235)))</f>
        <v/>
      </c>
      <c r="AH235" s="152">
        <f>AE235-AF235-AG235</f>
        <v/>
      </c>
      <c r="AI235" s="152">
        <f>IF(AL234&lt;=0.005,0,AL234*(1+AI$6))</f>
        <v/>
      </c>
      <c r="AJ235" s="152">
        <f>MIN(AI235,AI$7)</f>
        <v/>
      </c>
      <c r="AK235" s="152">
        <f>MAX(0,MIN(AI235-AJ235,AQ235-(E235+I235+M235+Q235+U235+Y235+AC235+AG235)))</f>
        <v/>
      </c>
      <c r="AL235" s="152">
        <f>AI235-AJ235-AK235</f>
        <v/>
      </c>
      <c r="AM235" s="152">
        <f>IF(AP234&lt;=0.005,0,AP234*(1+AM$6))</f>
        <v/>
      </c>
      <c r="AN235" s="152">
        <f>MIN(AM235,AM$7)</f>
        <v/>
      </c>
      <c r="AO235" s="152">
        <f>MAX(0,MIN(AM235-AN235,AQ235-(E235+I235+M235+Q235+U235+Y235+AC235+AG235+AK235)))</f>
        <v/>
      </c>
      <c r="AP235" s="152">
        <f>AM235-AN235-AO235</f>
        <v/>
      </c>
      <c r="AQ235" s="152">
        <f>'Debt Payoff'!$C$8-SUM(D235,H235,L235,P235,T235,X235,AB235,AF235,AJ235,AN235)</f>
        <v/>
      </c>
      <c r="AR235" s="152">
        <f>SUM(D235,H235,L235,P235,T235,X235,AB235,AF235,AJ235,AN235)+SUM(E235,I235,M235,Q235,U235,Y235,AC235,AG235,AK235,AO235)</f>
        <v/>
      </c>
      <c r="AS235" s="152">
        <f>SUM(F235,J235,N235,R235,V235,Z235,AD235,AH235,AL235,AP235)</f>
        <v/>
      </c>
      <c r="AT235" s="152">
        <f>IF(B235&gt;AS$6,NA(),B235)</f>
        <v/>
      </c>
      <c r="AU235" s="152">
        <f>IF(B235&gt;AS$6,NA(),AS235)</f>
        <v/>
      </c>
      <c r="AV235" s="152" t="n"/>
      <c r="AW235" s="152" t="n">
        <v>224</v>
      </c>
      <c r="AX235" s="152">
        <f>IF(BA234&lt;=0.005,0,BA234*(1+AX$6))</f>
        <v/>
      </c>
      <c r="AY235" s="152">
        <f>MIN(AX235,AX$7)</f>
        <v/>
      </c>
      <c r="AZ235" s="152">
        <f>MAX(0,MIN(AX235-AY235,CL235))</f>
        <v/>
      </c>
      <c r="BA235" s="152">
        <f>AX235-AY235-AZ235</f>
        <v/>
      </c>
      <c r="BB235" s="152">
        <f>IF(BE234&lt;=0.005,0,BE234*(1+BB$6))</f>
        <v/>
      </c>
      <c r="BC235" s="152">
        <f>MIN(BB235,BB$7)</f>
        <v/>
      </c>
      <c r="BD235" s="152">
        <f>MAX(0,MIN(BB235-BC235,CL235-(AZ235)))</f>
        <v/>
      </c>
      <c r="BE235" s="152">
        <f>BB235-BC235-BD235</f>
        <v/>
      </c>
      <c r="BF235" s="152">
        <f>IF(BI234&lt;=0.005,0,BI234*(1+BF$6))</f>
        <v/>
      </c>
      <c r="BG235" s="152">
        <f>MIN(BF235,BF$7)</f>
        <v/>
      </c>
      <c r="BH235" s="152">
        <f>MAX(0,MIN(BF235-BG235,CL235-(AZ235+BD235)))</f>
        <v/>
      </c>
      <c r="BI235" s="152">
        <f>BF235-BG235-BH235</f>
        <v/>
      </c>
      <c r="BJ235" s="152">
        <f>IF(BM234&lt;=0.005,0,BM234*(1+BJ$6))</f>
        <v/>
      </c>
      <c r="BK235" s="152">
        <f>MIN(BJ235,BJ$7)</f>
        <v/>
      </c>
      <c r="BL235" s="152">
        <f>MAX(0,MIN(BJ235-BK235,CL235-(AZ235+BD235+BH235)))</f>
        <v/>
      </c>
      <c r="BM235" s="152">
        <f>BJ235-BK235-BL235</f>
        <v/>
      </c>
      <c r="BN235" s="152">
        <f>IF(BQ234&lt;=0.005,0,BQ234*(1+BN$6))</f>
        <v/>
      </c>
      <c r="BO235" s="152">
        <f>MIN(BN235,BN$7)</f>
        <v/>
      </c>
      <c r="BP235" s="152">
        <f>MAX(0,MIN(BN235-BO235,CL235-(AZ235+BD235+BH235+BL235)))</f>
        <v/>
      </c>
      <c r="BQ235" s="152">
        <f>BN235-BO235-BP235</f>
        <v/>
      </c>
      <c r="BR235" s="152">
        <f>IF(BU234&lt;=0.005,0,BU234*(1+BR$6))</f>
        <v/>
      </c>
      <c r="BS235" s="152">
        <f>MIN(BR235,BR$7)</f>
        <v/>
      </c>
      <c r="BT235" s="152">
        <f>MAX(0,MIN(BR235-BS235,CL235-(AZ235+BD235+BH235+BL235+BP235)))</f>
        <v/>
      </c>
      <c r="BU235" s="152">
        <f>BR235-BS235-BT235</f>
        <v/>
      </c>
      <c r="BV235" s="152">
        <f>IF(BY234&lt;=0.005,0,BY234*(1+BV$6))</f>
        <v/>
      </c>
      <c r="BW235" s="152">
        <f>MIN(BV235,BV$7)</f>
        <v/>
      </c>
      <c r="BX235" s="152">
        <f>MAX(0,MIN(BV235-BW235,CL235-(AZ235+BD235+BH235+BL235+BP235+BT235)))</f>
        <v/>
      </c>
      <c r="BY235" s="152">
        <f>BV235-BW235-BX235</f>
        <v/>
      </c>
      <c r="BZ235" s="152">
        <f>IF(CC234&lt;=0.005,0,CC234*(1+BZ$6))</f>
        <v/>
      </c>
      <c r="CA235" s="152">
        <f>MIN(BZ235,BZ$7)</f>
        <v/>
      </c>
      <c r="CB235" s="152">
        <f>MAX(0,MIN(BZ235-CA235,CL235-(AZ235+BD235+BH235+BL235+BP235+BT235+BX235)))</f>
        <v/>
      </c>
      <c r="CC235" s="152">
        <f>BZ235-CA235-CB235</f>
        <v/>
      </c>
      <c r="CD235" s="152">
        <f>IF(CG234&lt;=0.005,0,CG234*(1+CD$6))</f>
        <v/>
      </c>
      <c r="CE235" s="152">
        <f>MIN(CD235,CD$7)</f>
        <v/>
      </c>
      <c r="CF235" s="152">
        <f>MAX(0,MIN(CD235-CE235,CL235-(AZ235+BD235+BH235+BL235+BP235+BT235+BX235+CB235)))</f>
        <v/>
      </c>
      <c r="CG235" s="152">
        <f>CD235-CE235-CF235</f>
        <v/>
      </c>
      <c r="CH235" s="152">
        <f>IF(CK234&lt;=0.005,0,CK234*(1+CH$6))</f>
        <v/>
      </c>
      <c r="CI235" s="152">
        <f>MIN(CH235,CH$7)</f>
        <v/>
      </c>
      <c r="CJ235" s="152">
        <f>MAX(0,MIN(CH235-CI235,CL235-(AZ235+BD235+BH235+BL235+BP235+BT235+BX235+CB235+CF235)))</f>
        <v/>
      </c>
      <c r="CK235" s="152">
        <f>CH235-CI235-CJ235</f>
        <v/>
      </c>
      <c r="CL235" s="152">
        <f>'Debt Payoff'!$C$8-SUM(AY235,BC235,BG235,BK235,BO235,BS235,BW235,CA235,CE235,CI235)</f>
        <v/>
      </c>
      <c r="CM235" s="152">
        <f>SUM(AY235,BC235,BG235,BK235,BO235,BS235,BW235,CA235,CE235,CI235)+SUM(AZ235,BD235,BH235,BL235,BP235,BT235,BX235,CB235,CF235,CJ235)</f>
        <v/>
      </c>
      <c r="CN235" s="152">
        <f>SUM(BA235,BE235,BI235,BM235,BQ235,BU235,BY235,CC235,CG235,CK235)</f>
        <v/>
      </c>
      <c r="CO235" s="152">
        <f>IF(AW235&gt;CN$6,NA(),AW235)</f>
        <v/>
      </c>
      <c r="CP235" s="152">
        <f>IF(AW235&gt;CN$6,NA(),CN235)</f>
        <v/>
      </c>
    </row>
    <row r="236">
      <c r="B236" s="152" t="n">
        <v>225</v>
      </c>
      <c r="C236" s="152">
        <f>IF(F235&lt;=0.005,0,F235*(1+C$6))</f>
        <v/>
      </c>
      <c r="D236" s="152">
        <f>MIN(C236,C$7)</f>
        <v/>
      </c>
      <c r="E236" s="152">
        <f>MAX(0,MIN(C236-D236,AQ236))</f>
        <v/>
      </c>
      <c r="F236" s="152">
        <f>C236-D236-E236</f>
        <v/>
      </c>
      <c r="G236" s="152">
        <f>IF(J235&lt;=0.005,0,J235*(1+G$6))</f>
        <v/>
      </c>
      <c r="H236" s="152">
        <f>MIN(G236,G$7)</f>
        <v/>
      </c>
      <c r="I236" s="152">
        <f>MAX(0,MIN(G236-H236,AQ236-(E236)))</f>
        <v/>
      </c>
      <c r="J236" s="152">
        <f>G236-H236-I236</f>
        <v/>
      </c>
      <c r="K236" s="152">
        <f>IF(N235&lt;=0.005,0,N235*(1+K$6))</f>
        <v/>
      </c>
      <c r="L236" s="152">
        <f>MIN(K236,K$7)</f>
        <v/>
      </c>
      <c r="M236" s="152">
        <f>MAX(0,MIN(K236-L236,AQ236-(E236+I236)))</f>
        <v/>
      </c>
      <c r="N236" s="152">
        <f>K236-L236-M236</f>
        <v/>
      </c>
      <c r="O236" s="152">
        <f>IF(R235&lt;=0.005,0,R235*(1+O$6))</f>
        <v/>
      </c>
      <c r="P236" s="152">
        <f>MIN(O236,O$7)</f>
        <v/>
      </c>
      <c r="Q236" s="152">
        <f>MAX(0,MIN(O236-P236,AQ236-(E236+I236+M236)))</f>
        <v/>
      </c>
      <c r="R236" s="152">
        <f>O236-P236-Q236</f>
        <v/>
      </c>
      <c r="S236" s="152">
        <f>IF(V235&lt;=0.005,0,V235*(1+S$6))</f>
        <v/>
      </c>
      <c r="T236" s="152">
        <f>MIN(S236,S$7)</f>
        <v/>
      </c>
      <c r="U236" s="152">
        <f>MAX(0,MIN(S236-T236,AQ236-(E236+I236+M236+Q236)))</f>
        <v/>
      </c>
      <c r="V236" s="152">
        <f>S236-T236-U236</f>
        <v/>
      </c>
      <c r="W236" s="152">
        <f>IF(Z235&lt;=0.005,0,Z235*(1+W$6))</f>
        <v/>
      </c>
      <c r="X236" s="152">
        <f>MIN(W236,W$7)</f>
        <v/>
      </c>
      <c r="Y236" s="152">
        <f>MAX(0,MIN(W236-X236,AQ236-(E236+I236+M236+Q236+U236)))</f>
        <v/>
      </c>
      <c r="Z236" s="152">
        <f>W236-X236-Y236</f>
        <v/>
      </c>
      <c r="AA236" s="152">
        <f>IF(AD235&lt;=0.005,0,AD235*(1+AA$6))</f>
        <v/>
      </c>
      <c r="AB236" s="152">
        <f>MIN(AA236,AA$7)</f>
        <v/>
      </c>
      <c r="AC236" s="152">
        <f>MAX(0,MIN(AA236-AB236,AQ236-(E236+I236+M236+Q236+U236+Y236)))</f>
        <v/>
      </c>
      <c r="AD236" s="152">
        <f>AA236-AB236-AC236</f>
        <v/>
      </c>
      <c r="AE236" s="152">
        <f>IF(AH235&lt;=0.005,0,AH235*(1+AE$6))</f>
        <v/>
      </c>
      <c r="AF236" s="152">
        <f>MIN(AE236,AE$7)</f>
        <v/>
      </c>
      <c r="AG236" s="152">
        <f>MAX(0,MIN(AE236-AF236,AQ236-(E236+I236+M236+Q236+U236+Y236+AC236)))</f>
        <v/>
      </c>
      <c r="AH236" s="152">
        <f>AE236-AF236-AG236</f>
        <v/>
      </c>
      <c r="AI236" s="152">
        <f>IF(AL235&lt;=0.005,0,AL235*(1+AI$6))</f>
        <v/>
      </c>
      <c r="AJ236" s="152">
        <f>MIN(AI236,AI$7)</f>
        <v/>
      </c>
      <c r="AK236" s="152">
        <f>MAX(0,MIN(AI236-AJ236,AQ236-(E236+I236+M236+Q236+U236+Y236+AC236+AG236)))</f>
        <v/>
      </c>
      <c r="AL236" s="152">
        <f>AI236-AJ236-AK236</f>
        <v/>
      </c>
      <c r="AM236" s="152">
        <f>IF(AP235&lt;=0.005,0,AP235*(1+AM$6))</f>
        <v/>
      </c>
      <c r="AN236" s="152">
        <f>MIN(AM236,AM$7)</f>
        <v/>
      </c>
      <c r="AO236" s="152">
        <f>MAX(0,MIN(AM236-AN236,AQ236-(E236+I236+M236+Q236+U236+Y236+AC236+AG236+AK236)))</f>
        <v/>
      </c>
      <c r="AP236" s="152">
        <f>AM236-AN236-AO236</f>
        <v/>
      </c>
      <c r="AQ236" s="152">
        <f>'Debt Payoff'!$C$8-SUM(D236,H236,L236,P236,T236,X236,AB236,AF236,AJ236,AN236)</f>
        <v/>
      </c>
      <c r="AR236" s="152">
        <f>SUM(D236,H236,L236,P236,T236,X236,AB236,AF236,AJ236,AN236)+SUM(E236,I236,M236,Q236,U236,Y236,AC236,AG236,AK236,AO236)</f>
        <v/>
      </c>
      <c r="AS236" s="152">
        <f>SUM(F236,J236,N236,R236,V236,Z236,AD236,AH236,AL236,AP236)</f>
        <v/>
      </c>
      <c r="AT236" s="152">
        <f>IF(B236&gt;AS$6,NA(),B236)</f>
        <v/>
      </c>
      <c r="AU236" s="152">
        <f>IF(B236&gt;AS$6,NA(),AS236)</f>
        <v/>
      </c>
      <c r="AV236" s="152" t="n"/>
      <c r="AW236" s="152" t="n">
        <v>225</v>
      </c>
      <c r="AX236" s="152">
        <f>IF(BA235&lt;=0.005,0,BA235*(1+AX$6))</f>
        <v/>
      </c>
      <c r="AY236" s="152">
        <f>MIN(AX236,AX$7)</f>
        <v/>
      </c>
      <c r="AZ236" s="152">
        <f>MAX(0,MIN(AX236-AY236,CL236))</f>
        <v/>
      </c>
      <c r="BA236" s="152">
        <f>AX236-AY236-AZ236</f>
        <v/>
      </c>
      <c r="BB236" s="152">
        <f>IF(BE235&lt;=0.005,0,BE235*(1+BB$6))</f>
        <v/>
      </c>
      <c r="BC236" s="152">
        <f>MIN(BB236,BB$7)</f>
        <v/>
      </c>
      <c r="BD236" s="152">
        <f>MAX(0,MIN(BB236-BC236,CL236-(AZ236)))</f>
        <v/>
      </c>
      <c r="BE236" s="152">
        <f>BB236-BC236-BD236</f>
        <v/>
      </c>
      <c r="BF236" s="152">
        <f>IF(BI235&lt;=0.005,0,BI235*(1+BF$6))</f>
        <v/>
      </c>
      <c r="BG236" s="152">
        <f>MIN(BF236,BF$7)</f>
        <v/>
      </c>
      <c r="BH236" s="152">
        <f>MAX(0,MIN(BF236-BG236,CL236-(AZ236+BD236)))</f>
        <v/>
      </c>
      <c r="BI236" s="152">
        <f>BF236-BG236-BH236</f>
        <v/>
      </c>
      <c r="BJ236" s="152">
        <f>IF(BM235&lt;=0.005,0,BM235*(1+BJ$6))</f>
        <v/>
      </c>
      <c r="BK236" s="152">
        <f>MIN(BJ236,BJ$7)</f>
        <v/>
      </c>
      <c r="BL236" s="152">
        <f>MAX(0,MIN(BJ236-BK236,CL236-(AZ236+BD236+BH236)))</f>
        <v/>
      </c>
      <c r="BM236" s="152">
        <f>BJ236-BK236-BL236</f>
        <v/>
      </c>
      <c r="BN236" s="152">
        <f>IF(BQ235&lt;=0.005,0,BQ235*(1+BN$6))</f>
        <v/>
      </c>
      <c r="BO236" s="152">
        <f>MIN(BN236,BN$7)</f>
        <v/>
      </c>
      <c r="BP236" s="152">
        <f>MAX(0,MIN(BN236-BO236,CL236-(AZ236+BD236+BH236+BL236)))</f>
        <v/>
      </c>
      <c r="BQ236" s="152">
        <f>BN236-BO236-BP236</f>
        <v/>
      </c>
      <c r="BR236" s="152">
        <f>IF(BU235&lt;=0.005,0,BU235*(1+BR$6))</f>
        <v/>
      </c>
      <c r="BS236" s="152">
        <f>MIN(BR236,BR$7)</f>
        <v/>
      </c>
      <c r="BT236" s="152">
        <f>MAX(0,MIN(BR236-BS236,CL236-(AZ236+BD236+BH236+BL236+BP236)))</f>
        <v/>
      </c>
      <c r="BU236" s="152">
        <f>BR236-BS236-BT236</f>
        <v/>
      </c>
      <c r="BV236" s="152">
        <f>IF(BY235&lt;=0.005,0,BY235*(1+BV$6))</f>
        <v/>
      </c>
      <c r="BW236" s="152">
        <f>MIN(BV236,BV$7)</f>
        <v/>
      </c>
      <c r="BX236" s="152">
        <f>MAX(0,MIN(BV236-BW236,CL236-(AZ236+BD236+BH236+BL236+BP236+BT236)))</f>
        <v/>
      </c>
      <c r="BY236" s="152">
        <f>BV236-BW236-BX236</f>
        <v/>
      </c>
      <c r="BZ236" s="152">
        <f>IF(CC235&lt;=0.005,0,CC235*(1+BZ$6))</f>
        <v/>
      </c>
      <c r="CA236" s="152">
        <f>MIN(BZ236,BZ$7)</f>
        <v/>
      </c>
      <c r="CB236" s="152">
        <f>MAX(0,MIN(BZ236-CA236,CL236-(AZ236+BD236+BH236+BL236+BP236+BT236+BX236)))</f>
        <v/>
      </c>
      <c r="CC236" s="152">
        <f>BZ236-CA236-CB236</f>
        <v/>
      </c>
      <c r="CD236" s="152">
        <f>IF(CG235&lt;=0.005,0,CG235*(1+CD$6))</f>
        <v/>
      </c>
      <c r="CE236" s="152">
        <f>MIN(CD236,CD$7)</f>
        <v/>
      </c>
      <c r="CF236" s="152">
        <f>MAX(0,MIN(CD236-CE236,CL236-(AZ236+BD236+BH236+BL236+BP236+BT236+BX236+CB236)))</f>
        <v/>
      </c>
      <c r="CG236" s="152">
        <f>CD236-CE236-CF236</f>
        <v/>
      </c>
      <c r="CH236" s="152">
        <f>IF(CK235&lt;=0.005,0,CK235*(1+CH$6))</f>
        <v/>
      </c>
      <c r="CI236" s="152">
        <f>MIN(CH236,CH$7)</f>
        <v/>
      </c>
      <c r="CJ236" s="152">
        <f>MAX(0,MIN(CH236-CI236,CL236-(AZ236+BD236+BH236+BL236+BP236+BT236+BX236+CB236+CF236)))</f>
        <v/>
      </c>
      <c r="CK236" s="152">
        <f>CH236-CI236-CJ236</f>
        <v/>
      </c>
      <c r="CL236" s="152">
        <f>'Debt Payoff'!$C$8-SUM(AY236,BC236,BG236,BK236,BO236,BS236,BW236,CA236,CE236,CI236)</f>
        <v/>
      </c>
      <c r="CM236" s="152">
        <f>SUM(AY236,BC236,BG236,BK236,BO236,BS236,BW236,CA236,CE236,CI236)+SUM(AZ236,BD236,BH236,BL236,BP236,BT236,BX236,CB236,CF236,CJ236)</f>
        <v/>
      </c>
      <c r="CN236" s="152">
        <f>SUM(BA236,BE236,BI236,BM236,BQ236,BU236,BY236,CC236,CG236,CK236)</f>
        <v/>
      </c>
      <c r="CO236" s="152">
        <f>IF(AW236&gt;CN$6,NA(),AW236)</f>
        <v/>
      </c>
      <c r="CP236" s="152">
        <f>IF(AW236&gt;CN$6,NA(),CN236)</f>
        <v/>
      </c>
    </row>
    <row r="237">
      <c r="B237" s="152" t="n">
        <v>226</v>
      </c>
      <c r="C237" s="152">
        <f>IF(F236&lt;=0.005,0,F236*(1+C$6))</f>
        <v/>
      </c>
      <c r="D237" s="152">
        <f>MIN(C237,C$7)</f>
        <v/>
      </c>
      <c r="E237" s="152">
        <f>MAX(0,MIN(C237-D237,AQ237))</f>
        <v/>
      </c>
      <c r="F237" s="152">
        <f>C237-D237-E237</f>
        <v/>
      </c>
      <c r="G237" s="152">
        <f>IF(J236&lt;=0.005,0,J236*(1+G$6))</f>
        <v/>
      </c>
      <c r="H237" s="152">
        <f>MIN(G237,G$7)</f>
        <v/>
      </c>
      <c r="I237" s="152">
        <f>MAX(0,MIN(G237-H237,AQ237-(E237)))</f>
        <v/>
      </c>
      <c r="J237" s="152">
        <f>G237-H237-I237</f>
        <v/>
      </c>
      <c r="K237" s="152">
        <f>IF(N236&lt;=0.005,0,N236*(1+K$6))</f>
        <v/>
      </c>
      <c r="L237" s="152">
        <f>MIN(K237,K$7)</f>
        <v/>
      </c>
      <c r="M237" s="152">
        <f>MAX(0,MIN(K237-L237,AQ237-(E237+I237)))</f>
        <v/>
      </c>
      <c r="N237" s="152">
        <f>K237-L237-M237</f>
        <v/>
      </c>
      <c r="O237" s="152">
        <f>IF(R236&lt;=0.005,0,R236*(1+O$6))</f>
        <v/>
      </c>
      <c r="P237" s="152">
        <f>MIN(O237,O$7)</f>
        <v/>
      </c>
      <c r="Q237" s="152">
        <f>MAX(0,MIN(O237-P237,AQ237-(E237+I237+M237)))</f>
        <v/>
      </c>
      <c r="R237" s="152">
        <f>O237-P237-Q237</f>
        <v/>
      </c>
      <c r="S237" s="152">
        <f>IF(V236&lt;=0.005,0,V236*(1+S$6))</f>
        <v/>
      </c>
      <c r="T237" s="152">
        <f>MIN(S237,S$7)</f>
        <v/>
      </c>
      <c r="U237" s="152">
        <f>MAX(0,MIN(S237-T237,AQ237-(E237+I237+M237+Q237)))</f>
        <v/>
      </c>
      <c r="V237" s="152">
        <f>S237-T237-U237</f>
        <v/>
      </c>
      <c r="W237" s="152">
        <f>IF(Z236&lt;=0.005,0,Z236*(1+W$6))</f>
        <v/>
      </c>
      <c r="X237" s="152">
        <f>MIN(W237,W$7)</f>
        <v/>
      </c>
      <c r="Y237" s="152">
        <f>MAX(0,MIN(W237-X237,AQ237-(E237+I237+M237+Q237+U237)))</f>
        <v/>
      </c>
      <c r="Z237" s="152">
        <f>W237-X237-Y237</f>
        <v/>
      </c>
      <c r="AA237" s="152">
        <f>IF(AD236&lt;=0.005,0,AD236*(1+AA$6))</f>
        <v/>
      </c>
      <c r="AB237" s="152">
        <f>MIN(AA237,AA$7)</f>
        <v/>
      </c>
      <c r="AC237" s="152">
        <f>MAX(0,MIN(AA237-AB237,AQ237-(E237+I237+M237+Q237+U237+Y237)))</f>
        <v/>
      </c>
      <c r="AD237" s="152">
        <f>AA237-AB237-AC237</f>
        <v/>
      </c>
      <c r="AE237" s="152">
        <f>IF(AH236&lt;=0.005,0,AH236*(1+AE$6))</f>
        <v/>
      </c>
      <c r="AF237" s="152">
        <f>MIN(AE237,AE$7)</f>
        <v/>
      </c>
      <c r="AG237" s="152">
        <f>MAX(0,MIN(AE237-AF237,AQ237-(E237+I237+M237+Q237+U237+Y237+AC237)))</f>
        <v/>
      </c>
      <c r="AH237" s="152">
        <f>AE237-AF237-AG237</f>
        <v/>
      </c>
      <c r="AI237" s="152">
        <f>IF(AL236&lt;=0.005,0,AL236*(1+AI$6))</f>
        <v/>
      </c>
      <c r="AJ237" s="152">
        <f>MIN(AI237,AI$7)</f>
        <v/>
      </c>
      <c r="AK237" s="152">
        <f>MAX(0,MIN(AI237-AJ237,AQ237-(E237+I237+M237+Q237+U237+Y237+AC237+AG237)))</f>
        <v/>
      </c>
      <c r="AL237" s="152">
        <f>AI237-AJ237-AK237</f>
        <v/>
      </c>
      <c r="AM237" s="152">
        <f>IF(AP236&lt;=0.005,0,AP236*(1+AM$6))</f>
        <v/>
      </c>
      <c r="AN237" s="152">
        <f>MIN(AM237,AM$7)</f>
        <v/>
      </c>
      <c r="AO237" s="152">
        <f>MAX(0,MIN(AM237-AN237,AQ237-(E237+I237+M237+Q237+U237+Y237+AC237+AG237+AK237)))</f>
        <v/>
      </c>
      <c r="AP237" s="152">
        <f>AM237-AN237-AO237</f>
        <v/>
      </c>
      <c r="AQ237" s="152">
        <f>'Debt Payoff'!$C$8-SUM(D237,H237,L237,P237,T237,X237,AB237,AF237,AJ237,AN237)</f>
        <v/>
      </c>
      <c r="AR237" s="152">
        <f>SUM(D237,H237,L237,P237,T237,X237,AB237,AF237,AJ237,AN237)+SUM(E237,I237,M237,Q237,U237,Y237,AC237,AG237,AK237,AO237)</f>
        <v/>
      </c>
      <c r="AS237" s="152">
        <f>SUM(F237,J237,N237,R237,V237,Z237,AD237,AH237,AL237,AP237)</f>
        <v/>
      </c>
      <c r="AT237" s="152">
        <f>IF(B237&gt;AS$6,NA(),B237)</f>
        <v/>
      </c>
      <c r="AU237" s="152">
        <f>IF(B237&gt;AS$6,NA(),AS237)</f>
        <v/>
      </c>
      <c r="AV237" s="152" t="n"/>
      <c r="AW237" s="152" t="n">
        <v>226</v>
      </c>
      <c r="AX237" s="152">
        <f>IF(BA236&lt;=0.005,0,BA236*(1+AX$6))</f>
        <v/>
      </c>
      <c r="AY237" s="152">
        <f>MIN(AX237,AX$7)</f>
        <v/>
      </c>
      <c r="AZ237" s="152">
        <f>MAX(0,MIN(AX237-AY237,CL237))</f>
        <v/>
      </c>
      <c r="BA237" s="152">
        <f>AX237-AY237-AZ237</f>
        <v/>
      </c>
      <c r="BB237" s="152">
        <f>IF(BE236&lt;=0.005,0,BE236*(1+BB$6))</f>
        <v/>
      </c>
      <c r="BC237" s="152">
        <f>MIN(BB237,BB$7)</f>
        <v/>
      </c>
      <c r="BD237" s="152">
        <f>MAX(0,MIN(BB237-BC237,CL237-(AZ237)))</f>
        <v/>
      </c>
      <c r="BE237" s="152">
        <f>BB237-BC237-BD237</f>
        <v/>
      </c>
      <c r="BF237" s="152">
        <f>IF(BI236&lt;=0.005,0,BI236*(1+BF$6))</f>
        <v/>
      </c>
      <c r="BG237" s="152">
        <f>MIN(BF237,BF$7)</f>
        <v/>
      </c>
      <c r="BH237" s="152">
        <f>MAX(0,MIN(BF237-BG237,CL237-(AZ237+BD237)))</f>
        <v/>
      </c>
      <c r="BI237" s="152">
        <f>BF237-BG237-BH237</f>
        <v/>
      </c>
      <c r="BJ237" s="152">
        <f>IF(BM236&lt;=0.005,0,BM236*(1+BJ$6))</f>
        <v/>
      </c>
      <c r="BK237" s="152">
        <f>MIN(BJ237,BJ$7)</f>
        <v/>
      </c>
      <c r="BL237" s="152">
        <f>MAX(0,MIN(BJ237-BK237,CL237-(AZ237+BD237+BH237)))</f>
        <v/>
      </c>
      <c r="BM237" s="152">
        <f>BJ237-BK237-BL237</f>
        <v/>
      </c>
      <c r="BN237" s="152">
        <f>IF(BQ236&lt;=0.005,0,BQ236*(1+BN$6))</f>
        <v/>
      </c>
      <c r="BO237" s="152">
        <f>MIN(BN237,BN$7)</f>
        <v/>
      </c>
      <c r="BP237" s="152">
        <f>MAX(0,MIN(BN237-BO237,CL237-(AZ237+BD237+BH237+BL237)))</f>
        <v/>
      </c>
      <c r="BQ237" s="152">
        <f>BN237-BO237-BP237</f>
        <v/>
      </c>
      <c r="BR237" s="152">
        <f>IF(BU236&lt;=0.005,0,BU236*(1+BR$6))</f>
        <v/>
      </c>
      <c r="BS237" s="152">
        <f>MIN(BR237,BR$7)</f>
        <v/>
      </c>
      <c r="BT237" s="152">
        <f>MAX(0,MIN(BR237-BS237,CL237-(AZ237+BD237+BH237+BL237+BP237)))</f>
        <v/>
      </c>
      <c r="BU237" s="152">
        <f>BR237-BS237-BT237</f>
        <v/>
      </c>
      <c r="BV237" s="152">
        <f>IF(BY236&lt;=0.005,0,BY236*(1+BV$6))</f>
        <v/>
      </c>
      <c r="BW237" s="152">
        <f>MIN(BV237,BV$7)</f>
        <v/>
      </c>
      <c r="BX237" s="152">
        <f>MAX(0,MIN(BV237-BW237,CL237-(AZ237+BD237+BH237+BL237+BP237+BT237)))</f>
        <v/>
      </c>
      <c r="BY237" s="152">
        <f>BV237-BW237-BX237</f>
        <v/>
      </c>
      <c r="BZ237" s="152">
        <f>IF(CC236&lt;=0.005,0,CC236*(1+BZ$6))</f>
        <v/>
      </c>
      <c r="CA237" s="152">
        <f>MIN(BZ237,BZ$7)</f>
        <v/>
      </c>
      <c r="CB237" s="152">
        <f>MAX(0,MIN(BZ237-CA237,CL237-(AZ237+BD237+BH237+BL237+BP237+BT237+BX237)))</f>
        <v/>
      </c>
      <c r="CC237" s="152">
        <f>BZ237-CA237-CB237</f>
        <v/>
      </c>
      <c r="CD237" s="152">
        <f>IF(CG236&lt;=0.005,0,CG236*(1+CD$6))</f>
        <v/>
      </c>
      <c r="CE237" s="152">
        <f>MIN(CD237,CD$7)</f>
        <v/>
      </c>
      <c r="CF237" s="152">
        <f>MAX(0,MIN(CD237-CE237,CL237-(AZ237+BD237+BH237+BL237+BP237+BT237+BX237+CB237)))</f>
        <v/>
      </c>
      <c r="CG237" s="152">
        <f>CD237-CE237-CF237</f>
        <v/>
      </c>
      <c r="CH237" s="152">
        <f>IF(CK236&lt;=0.005,0,CK236*(1+CH$6))</f>
        <v/>
      </c>
      <c r="CI237" s="152">
        <f>MIN(CH237,CH$7)</f>
        <v/>
      </c>
      <c r="CJ237" s="152">
        <f>MAX(0,MIN(CH237-CI237,CL237-(AZ237+BD237+BH237+BL237+BP237+BT237+BX237+CB237+CF237)))</f>
        <v/>
      </c>
      <c r="CK237" s="152">
        <f>CH237-CI237-CJ237</f>
        <v/>
      </c>
      <c r="CL237" s="152">
        <f>'Debt Payoff'!$C$8-SUM(AY237,BC237,BG237,BK237,BO237,BS237,BW237,CA237,CE237,CI237)</f>
        <v/>
      </c>
      <c r="CM237" s="152">
        <f>SUM(AY237,BC237,BG237,BK237,BO237,BS237,BW237,CA237,CE237,CI237)+SUM(AZ237,BD237,BH237,BL237,BP237,BT237,BX237,CB237,CF237,CJ237)</f>
        <v/>
      </c>
      <c r="CN237" s="152">
        <f>SUM(BA237,BE237,BI237,BM237,BQ237,BU237,BY237,CC237,CG237,CK237)</f>
        <v/>
      </c>
      <c r="CO237" s="152">
        <f>IF(AW237&gt;CN$6,NA(),AW237)</f>
        <v/>
      </c>
      <c r="CP237" s="152">
        <f>IF(AW237&gt;CN$6,NA(),CN237)</f>
        <v/>
      </c>
    </row>
    <row r="238">
      <c r="B238" s="152" t="n">
        <v>227</v>
      </c>
      <c r="C238" s="152">
        <f>IF(F237&lt;=0.005,0,F237*(1+C$6))</f>
        <v/>
      </c>
      <c r="D238" s="152">
        <f>MIN(C238,C$7)</f>
        <v/>
      </c>
      <c r="E238" s="152">
        <f>MAX(0,MIN(C238-D238,AQ238))</f>
        <v/>
      </c>
      <c r="F238" s="152">
        <f>C238-D238-E238</f>
        <v/>
      </c>
      <c r="G238" s="152">
        <f>IF(J237&lt;=0.005,0,J237*(1+G$6))</f>
        <v/>
      </c>
      <c r="H238" s="152">
        <f>MIN(G238,G$7)</f>
        <v/>
      </c>
      <c r="I238" s="152">
        <f>MAX(0,MIN(G238-H238,AQ238-(E238)))</f>
        <v/>
      </c>
      <c r="J238" s="152">
        <f>G238-H238-I238</f>
        <v/>
      </c>
      <c r="K238" s="152">
        <f>IF(N237&lt;=0.005,0,N237*(1+K$6))</f>
        <v/>
      </c>
      <c r="L238" s="152">
        <f>MIN(K238,K$7)</f>
        <v/>
      </c>
      <c r="M238" s="152">
        <f>MAX(0,MIN(K238-L238,AQ238-(E238+I238)))</f>
        <v/>
      </c>
      <c r="N238" s="152">
        <f>K238-L238-M238</f>
        <v/>
      </c>
      <c r="O238" s="152">
        <f>IF(R237&lt;=0.005,0,R237*(1+O$6))</f>
        <v/>
      </c>
      <c r="P238" s="152">
        <f>MIN(O238,O$7)</f>
        <v/>
      </c>
      <c r="Q238" s="152">
        <f>MAX(0,MIN(O238-P238,AQ238-(E238+I238+M238)))</f>
        <v/>
      </c>
      <c r="R238" s="152">
        <f>O238-P238-Q238</f>
        <v/>
      </c>
      <c r="S238" s="152">
        <f>IF(V237&lt;=0.005,0,V237*(1+S$6))</f>
        <v/>
      </c>
      <c r="T238" s="152">
        <f>MIN(S238,S$7)</f>
        <v/>
      </c>
      <c r="U238" s="152">
        <f>MAX(0,MIN(S238-T238,AQ238-(E238+I238+M238+Q238)))</f>
        <v/>
      </c>
      <c r="V238" s="152">
        <f>S238-T238-U238</f>
        <v/>
      </c>
      <c r="W238" s="152">
        <f>IF(Z237&lt;=0.005,0,Z237*(1+W$6))</f>
        <v/>
      </c>
      <c r="X238" s="152">
        <f>MIN(W238,W$7)</f>
        <v/>
      </c>
      <c r="Y238" s="152">
        <f>MAX(0,MIN(W238-X238,AQ238-(E238+I238+M238+Q238+U238)))</f>
        <v/>
      </c>
      <c r="Z238" s="152">
        <f>W238-X238-Y238</f>
        <v/>
      </c>
      <c r="AA238" s="152">
        <f>IF(AD237&lt;=0.005,0,AD237*(1+AA$6))</f>
        <v/>
      </c>
      <c r="AB238" s="152">
        <f>MIN(AA238,AA$7)</f>
        <v/>
      </c>
      <c r="AC238" s="152">
        <f>MAX(0,MIN(AA238-AB238,AQ238-(E238+I238+M238+Q238+U238+Y238)))</f>
        <v/>
      </c>
      <c r="AD238" s="152">
        <f>AA238-AB238-AC238</f>
        <v/>
      </c>
      <c r="AE238" s="152">
        <f>IF(AH237&lt;=0.005,0,AH237*(1+AE$6))</f>
        <v/>
      </c>
      <c r="AF238" s="152">
        <f>MIN(AE238,AE$7)</f>
        <v/>
      </c>
      <c r="AG238" s="152">
        <f>MAX(0,MIN(AE238-AF238,AQ238-(E238+I238+M238+Q238+U238+Y238+AC238)))</f>
        <v/>
      </c>
      <c r="AH238" s="152">
        <f>AE238-AF238-AG238</f>
        <v/>
      </c>
      <c r="AI238" s="152">
        <f>IF(AL237&lt;=0.005,0,AL237*(1+AI$6))</f>
        <v/>
      </c>
      <c r="AJ238" s="152">
        <f>MIN(AI238,AI$7)</f>
        <v/>
      </c>
      <c r="AK238" s="152">
        <f>MAX(0,MIN(AI238-AJ238,AQ238-(E238+I238+M238+Q238+U238+Y238+AC238+AG238)))</f>
        <v/>
      </c>
      <c r="AL238" s="152">
        <f>AI238-AJ238-AK238</f>
        <v/>
      </c>
      <c r="AM238" s="152">
        <f>IF(AP237&lt;=0.005,0,AP237*(1+AM$6))</f>
        <v/>
      </c>
      <c r="AN238" s="152">
        <f>MIN(AM238,AM$7)</f>
        <v/>
      </c>
      <c r="AO238" s="152">
        <f>MAX(0,MIN(AM238-AN238,AQ238-(E238+I238+M238+Q238+U238+Y238+AC238+AG238+AK238)))</f>
        <v/>
      </c>
      <c r="AP238" s="152">
        <f>AM238-AN238-AO238</f>
        <v/>
      </c>
      <c r="AQ238" s="152">
        <f>'Debt Payoff'!$C$8-SUM(D238,H238,L238,P238,T238,X238,AB238,AF238,AJ238,AN238)</f>
        <v/>
      </c>
      <c r="AR238" s="152">
        <f>SUM(D238,H238,L238,P238,T238,X238,AB238,AF238,AJ238,AN238)+SUM(E238,I238,M238,Q238,U238,Y238,AC238,AG238,AK238,AO238)</f>
        <v/>
      </c>
      <c r="AS238" s="152">
        <f>SUM(F238,J238,N238,R238,V238,Z238,AD238,AH238,AL238,AP238)</f>
        <v/>
      </c>
      <c r="AT238" s="152">
        <f>IF(B238&gt;AS$6,NA(),B238)</f>
        <v/>
      </c>
      <c r="AU238" s="152">
        <f>IF(B238&gt;AS$6,NA(),AS238)</f>
        <v/>
      </c>
      <c r="AV238" s="152" t="n"/>
      <c r="AW238" s="152" t="n">
        <v>227</v>
      </c>
      <c r="AX238" s="152">
        <f>IF(BA237&lt;=0.005,0,BA237*(1+AX$6))</f>
        <v/>
      </c>
      <c r="AY238" s="152">
        <f>MIN(AX238,AX$7)</f>
        <v/>
      </c>
      <c r="AZ238" s="152">
        <f>MAX(0,MIN(AX238-AY238,CL238))</f>
        <v/>
      </c>
      <c r="BA238" s="152">
        <f>AX238-AY238-AZ238</f>
        <v/>
      </c>
      <c r="BB238" s="152">
        <f>IF(BE237&lt;=0.005,0,BE237*(1+BB$6))</f>
        <v/>
      </c>
      <c r="BC238" s="152">
        <f>MIN(BB238,BB$7)</f>
        <v/>
      </c>
      <c r="BD238" s="152">
        <f>MAX(0,MIN(BB238-BC238,CL238-(AZ238)))</f>
        <v/>
      </c>
      <c r="BE238" s="152">
        <f>BB238-BC238-BD238</f>
        <v/>
      </c>
      <c r="BF238" s="152">
        <f>IF(BI237&lt;=0.005,0,BI237*(1+BF$6))</f>
        <v/>
      </c>
      <c r="BG238" s="152">
        <f>MIN(BF238,BF$7)</f>
        <v/>
      </c>
      <c r="BH238" s="152">
        <f>MAX(0,MIN(BF238-BG238,CL238-(AZ238+BD238)))</f>
        <v/>
      </c>
      <c r="BI238" s="152">
        <f>BF238-BG238-BH238</f>
        <v/>
      </c>
      <c r="BJ238" s="152">
        <f>IF(BM237&lt;=0.005,0,BM237*(1+BJ$6))</f>
        <v/>
      </c>
      <c r="BK238" s="152">
        <f>MIN(BJ238,BJ$7)</f>
        <v/>
      </c>
      <c r="BL238" s="152">
        <f>MAX(0,MIN(BJ238-BK238,CL238-(AZ238+BD238+BH238)))</f>
        <v/>
      </c>
      <c r="BM238" s="152">
        <f>BJ238-BK238-BL238</f>
        <v/>
      </c>
      <c r="BN238" s="152">
        <f>IF(BQ237&lt;=0.005,0,BQ237*(1+BN$6))</f>
        <v/>
      </c>
      <c r="BO238" s="152">
        <f>MIN(BN238,BN$7)</f>
        <v/>
      </c>
      <c r="BP238" s="152">
        <f>MAX(0,MIN(BN238-BO238,CL238-(AZ238+BD238+BH238+BL238)))</f>
        <v/>
      </c>
      <c r="BQ238" s="152">
        <f>BN238-BO238-BP238</f>
        <v/>
      </c>
      <c r="BR238" s="152">
        <f>IF(BU237&lt;=0.005,0,BU237*(1+BR$6))</f>
        <v/>
      </c>
      <c r="BS238" s="152">
        <f>MIN(BR238,BR$7)</f>
        <v/>
      </c>
      <c r="BT238" s="152">
        <f>MAX(0,MIN(BR238-BS238,CL238-(AZ238+BD238+BH238+BL238+BP238)))</f>
        <v/>
      </c>
      <c r="BU238" s="152">
        <f>BR238-BS238-BT238</f>
        <v/>
      </c>
      <c r="BV238" s="152">
        <f>IF(BY237&lt;=0.005,0,BY237*(1+BV$6))</f>
        <v/>
      </c>
      <c r="BW238" s="152">
        <f>MIN(BV238,BV$7)</f>
        <v/>
      </c>
      <c r="BX238" s="152">
        <f>MAX(0,MIN(BV238-BW238,CL238-(AZ238+BD238+BH238+BL238+BP238+BT238)))</f>
        <v/>
      </c>
      <c r="BY238" s="152">
        <f>BV238-BW238-BX238</f>
        <v/>
      </c>
      <c r="BZ238" s="152">
        <f>IF(CC237&lt;=0.005,0,CC237*(1+BZ$6))</f>
        <v/>
      </c>
      <c r="CA238" s="152">
        <f>MIN(BZ238,BZ$7)</f>
        <v/>
      </c>
      <c r="CB238" s="152">
        <f>MAX(0,MIN(BZ238-CA238,CL238-(AZ238+BD238+BH238+BL238+BP238+BT238+BX238)))</f>
        <v/>
      </c>
      <c r="CC238" s="152">
        <f>BZ238-CA238-CB238</f>
        <v/>
      </c>
      <c r="CD238" s="152">
        <f>IF(CG237&lt;=0.005,0,CG237*(1+CD$6))</f>
        <v/>
      </c>
      <c r="CE238" s="152">
        <f>MIN(CD238,CD$7)</f>
        <v/>
      </c>
      <c r="CF238" s="152">
        <f>MAX(0,MIN(CD238-CE238,CL238-(AZ238+BD238+BH238+BL238+BP238+BT238+BX238+CB238)))</f>
        <v/>
      </c>
      <c r="CG238" s="152">
        <f>CD238-CE238-CF238</f>
        <v/>
      </c>
      <c r="CH238" s="152">
        <f>IF(CK237&lt;=0.005,0,CK237*(1+CH$6))</f>
        <v/>
      </c>
      <c r="CI238" s="152">
        <f>MIN(CH238,CH$7)</f>
        <v/>
      </c>
      <c r="CJ238" s="152">
        <f>MAX(0,MIN(CH238-CI238,CL238-(AZ238+BD238+BH238+BL238+BP238+BT238+BX238+CB238+CF238)))</f>
        <v/>
      </c>
      <c r="CK238" s="152">
        <f>CH238-CI238-CJ238</f>
        <v/>
      </c>
      <c r="CL238" s="152">
        <f>'Debt Payoff'!$C$8-SUM(AY238,BC238,BG238,BK238,BO238,BS238,BW238,CA238,CE238,CI238)</f>
        <v/>
      </c>
      <c r="CM238" s="152">
        <f>SUM(AY238,BC238,BG238,BK238,BO238,BS238,BW238,CA238,CE238,CI238)+SUM(AZ238,BD238,BH238,BL238,BP238,BT238,BX238,CB238,CF238,CJ238)</f>
        <v/>
      </c>
      <c r="CN238" s="152">
        <f>SUM(BA238,BE238,BI238,BM238,BQ238,BU238,BY238,CC238,CG238,CK238)</f>
        <v/>
      </c>
      <c r="CO238" s="152">
        <f>IF(AW238&gt;CN$6,NA(),AW238)</f>
        <v/>
      </c>
      <c r="CP238" s="152">
        <f>IF(AW238&gt;CN$6,NA(),CN238)</f>
        <v/>
      </c>
    </row>
    <row r="239">
      <c r="B239" s="152" t="n">
        <v>228</v>
      </c>
      <c r="C239" s="152">
        <f>IF(F238&lt;=0.005,0,F238*(1+C$6))</f>
        <v/>
      </c>
      <c r="D239" s="152">
        <f>MIN(C239,C$7)</f>
        <v/>
      </c>
      <c r="E239" s="152">
        <f>MAX(0,MIN(C239-D239,AQ239))</f>
        <v/>
      </c>
      <c r="F239" s="152">
        <f>C239-D239-E239</f>
        <v/>
      </c>
      <c r="G239" s="152">
        <f>IF(J238&lt;=0.005,0,J238*(1+G$6))</f>
        <v/>
      </c>
      <c r="H239" s="152">
        <f>MIN(G239,G$7)</f>
        <v/>
      </c>
      <c r="I239" s="152">
        <f>MAX(0,MIN(G239-H239,AQ239-(E239)))</f>
        <v/>
      </c>
      <c r="J239" s="152">
        <f>G239-H239-I239</f>
        <v/>
      </c>
      <c r="K239" s="152">
        <f>IF(N238&lt;=0.005,0,N238*(1+K$6))</f>
        <v/>
      </c>
      <c r="L239" s="152">
        <f>MIN(K239,K$7)</f>
        <v/>
      </c>
      <c r="M239" s="152">
        <f>MAX(0,MIN(K239-L239,AQ239-(E239+I239)))</f>
        <v/>
      </c>
      <c r="N239" s="152">
        <f>K239-L239-M239</f>
        <v/>
      </c>
      <c r="O239" s="152">
        <f>IF(R238&lt;=0.005,0,R238*(1+O$6))</f>
        <v/>
      </c>
      <c r="P239" s="152">
        <f>MIN(O239,O$7)</f>
        <v/>
      </c>
      <c r="Q239" s="152">
        <f>MAX(0,MIN(O239-P239,AQ239-(E239+I239+M239)))</f>
        <v/>
      </c>
      <c r="R239" s="152">
        <f>O239-P239-Q239</f>
        <v/>
      </c>
      <c r="S239" s="152">
        <f>IF(V238&lt;=0.005,0,V238*(1+S$6))</f>
        <v/>
      </c>
      <c r="T239" s="152">
        <f>MIN(S239,S$7)</f>
        <v/>
      </c>
      <c r="U239" s="152">
        <f>MAX(0,MIN(S239-T239,AQ239-(E239+I239+M239+Q239)))</f>
        <v/>
      </c>
      <c r="V239" s="152">
        <f>S239-T239-U239</f>
        <v/>
      </c>
      <c r="W239" s="152">
        <f>IF(Z238&lt;=0.005,0,Z238*(1+W$6))</f>
        <v/>
      </c>
      <c r="X239" s="152">
        <f>MIN(W239,W$7)</f>
        <v/>
      </c>
      <c r="Y239" s="152">
        <f>MAX(0,MIN(W239-X239,AQ239-(E239+I239+M239+Q239+U239)))</f>
        <v/>
      </c>
      <c r="Z239" s="152">
        <f>W239-X239-Y239</f>
        <v/>
      </c>
      <c r="AA239" s="152">
        <f>IF(AD238&lt;=0.005,0,AD238*(1+AA$6))</f>
        <v/>
      </c>
      <c r="AB239" s="152">
        <f>MIN(AA239,AA$7)</f>
        <v/>
      </c>
      <c r="AC239" s="152">
        <f>MAX(0,MIN(AA239-AB239,AQ239-(E239+I239+M239+Q239+U239+Y239)))</f>
        <v/>
      </c>
      <c r="AD239" s="152">
        <f>AA239-AB239-AC239</f>
        <v/>
      </c>
      <c r="AE239" s="152">
        <f>IF(AH238&lt;=0.005,0,AH238*(1+AE$6))</f>
        <v/>
      </c>
      <c r="AF239" s="152">
        <f>MIN(AE239,AE$7)</f>
        <v/>
      </c>
      <c r="AG239" s="152">
        <f>MAX(0,MIN(AE239-AF239,AQ239-(E239+I239+M239+Q239+U239+Y239+AC239)))</f>
        <v/>
      </c>
      <c r="AH239" s="152">
        <f>AE239-AF239-AG239</f>
        <v/>
      </c>
      <c r="AI239" s="152">
        <f>IF(AL238&lt;=0.005,0,AL238*(1+AI$6))</f>
        <v/>
      </c>
      <c r="AJ239" s="152">
        <f>MIN(AI239,AI$7)</f>
        <v/>
      </c>
      <c r="AK239" s="152">
        <f>MAX(0,MIN(AI239-AJ239,AQ239-(E239+I239+M239+Q239+U239+Y239+AC239+AG239)))</f>
        <v/>
      </c>
      <c r="AL239" s="152">
        <f>AI239-AJ239-AK239</f>
        <v/>
      </c>
      <c r="AM239" s="152">
        <f>IF(AP238&lt;=0.005,0,AP238*(1+AM$6))</f>
        <v/>
      </c>
      <c r="AN239" s="152">
        <f>MIN(AM239,AM$7)</f>
        <v/>
      </c>
      <c r="AO239" s="152">
        <f>MAX(0,MIN(AM239-AN239,AQ239-(E239+I239+M239+Q239+U239+Y239+AC239+AG239+AK239)))</f>
        <v/>
      </c>
      <c r="AP239" s="152">
        <f>AM239-AN239-AO239</f>
        <v/>
      </c>
      <c r="AQ239" s="152">
        <f>'Debt Payoff'!$C$8-SUM(D239,H239,L239,P239,T239,X239,AB239,AF239,AJ239,AN239)</f>
        <v/>
      </c>
      <c r="AR239" s="152">
        <f>SUM(D239,H239,L239,P239,T239,X239,AB239,AF239,AJ239,AN239)+SUM(E239,I239,M239,Q239,U239,Y239,AC239,AG239,AK239,AO239)</f>
        <v/>
      </c>
      <c r="AS239" s="152">
        <f>SUM(F239,J239,N239,R239,V239,Z239,AD239,AH239,AL239,AP239)</f>
        <v/>
      </c>
      <c r="AT239" s="152">
        <f>IF(B239&gt;AS$6,NA(),B239)</f>
        <v/>
      </c>
      <c r="AU239" s="152">
        <f>IF(B239&gt;AS$6,NA(),AS239)</f>
        <v/>
      </c>
      <c r="AV239" s="152" t="n"/>
      <c r="AW239" s="152" t="n">
        <v>228</v>
      </c>
      <c r="AX239" s="152">
        <f>IF(BA238&lt;=0.005,0,BA238*(1+AX$6))</f>
        <v/>
      </c>
      <c r="AY239" s="152">
        <f>MIN(AX239,AX$7)</f>
        <v/>
      </c>
      <c r="AZ239" s="152">
        <f>MAX(0,MIN(AX239-AY239,CL239))</f>
        <v/>
      </c>
      <c r="BA239" s="152">
        <f>AX239-AY239-AZ239</f>
        <v/>
      </c>
      <c r="BB239" s="152">
        <f>IF(BE238&lt;=0.005,0,BE238*(1+BB$6))</f>
        <v/>
      </c>
      <c r="BC239" s="152">
        <f>MIN(BB239,BB$7)</f>
        <v/>
      </c>
      <c r="BD239" s="152">
        <f>MAX(0,MIN(BB239-BC239,CL239-(AZ239)))</f>
        <v/>
      </c>
      <c r="BE239" s="152">
        <f>BB239-BC239-BD239</f>
        <v/>
      </c>
      <c r="BF239" s="152">
        <f>IF(BI238&lt;=0.005,0,BI238*(1+BF$6))</f>
        <v/>
      </c>
      <c r="BG239" s="152">
        <f>MIN(BF239,BF$7)</f>
        <v/>
      </c>
      <c r="BH239" s="152">
        <f>MAX(0,MIN(BF239-BG239,CL239-(AZ239+BD239)))</f>
        <v/>
      </c>
      <c r="BI239" s="152">
        <f>BF239-BG239-BH239</f>
        <v/>
      </c>
      <c r="BJ239" s="152">
        <f>IF(BM238&lt;=0.005,0,BM238*(1+BJ$6))</f>
        <v/>
      </c>
      <c r="BK239" s="152">
        <f>MIN(BJ239,BJ$7)</f>
        <v/>
      </c>
      <c r="BL239" s="152">
        <f>MAX(0,MIN(BJ239-BK239,CL239-(AZ239+BD239+BH239)))</f>
        <v/>
      </c>
      <c r="BM239" s="152">
        <f>BJ239-BK239-BL239</f>
        <v/>
      </c>
      <c r="BN239" s="152">
        <f>IF(BQ238&lt;=0.005,0,BQ238*(1+BN$6))</f>
        <v/>
      </c>
      <c r="BO239" s="152">
        <f>MIN(BN239,BN$7)</f>
        <v/>
      </c>
      <c r="BP239" s="152">
        <f>MAX(0,MIN(BN239-BO239,CL239-(AZ239+BD239+BH239+BL239)))</f>
        <v/>
      </c>
      <c r="BQ239" s="152">
        <f>BN239-BO239-BP239</f>
        <v/>
      </c>
      <c r="BR239" s="152">
        <f>IF(BU238&lt;=0.005,0,BU238*(1+BR$6))</f>
        <v/>
      </c>
      <c r="BS239" s="152">
        <f>MIN(BR239,BR$7)</f>
        <v/>
      </c>
      <c r="BT239" s="152">
        <f>MAX(0,MIN(BR239-BS239,CL239-(AZ239+BD239+BH239+BL239+BP239)))</f>
        <v/>
      </c>
      <c r="BU239" s="152">
        <f>BR239-BS239-BT239</f>
        <v/>
      </c>
      <c r="BV239" s="152">
        <f>IF(BY238&lt;=0.005,0,BY238*(1+BV$6))</f>
        <v/>
      </c>
      <c r="BW239" s="152">
        <f>MIN(BV239,BV$7)</f>
        <v/>
      </c>
      <c r="BX239" s="152">
        <f>MAX(0,MIN(BV239-BW239,CL239-(AZ239+BD239+BH239+BL239+BP239+BT239)))</f>
        <v/>
      </c>
      <c r="BY239" s="152">
        <f>BV239-BW239-BX239</f>
        <v/>
      </c>
      <c r="BZ239" s="152">
        <f>IF(CC238&lt;=0.005,0,CC238*(1+BZ$6))</f>
        <v/>
      </c>
      <c r="CA239" s="152">
        <f>MIN(BZ239,BZ$7)</f>
        <v/>
      </c>
      <c r="CB239" s="152">
        <f>MAX(0,MIN(BZ239-CA239,CL239-(AZ239+BD239+BH239+BL239+BP239+BT239+BX239)))</f>
        <v/>
      </c>
      <c r="CC239" s="152">
        <f>BZ239-CA239-CB239</f>
        <v/>
      </c>
      <c r="CD239" s="152">
        <f>IF(CG238&lt;=0.005,0,CG238*(1+CD$6))</f>
        <v/>
      </c>
      <c r="CE239" s="152">
        <f>MIN(CD239,CD$7)</f>
        <v/>
      </c>
      <c r="CF239" s="152">
        <f>MAX(0,MIN(CD239-CE239,CL239-(AZ239+BD239+BH239+BL239+BP239+BT239+BX239+CB239)))</f>
        <v/>
      </c>
      <c r="CG239" s="152">
        <f>CD239-CE239-CF239</f>
        <v/>
      </c>
      <c r="CH239" s="152">
        <f>IF(CK238&lt;=0.005,0,CK238*(1+CH$6))</f>
        <v/>
      </c>
      <c r="CI239" s="152">
        <f>MIN(CH239,CH$7)</f>
        <v/>
      </c>
      <c r="CJ239" s="152">
        <f>MAX(0,MIN(CH239-CI239,CL239-(AZ239+BD239+BH239+BL239+BP239+BT239+BX239+CB239+CF239)))</f>
        <v/>
      </c>
      <c r="CK239" s="152">
        <f>CH239-CI239-CJ239</f>
        <v/>
      </c>
      <c r="CL239" s="152">
        <f>'Debt Payoff'!$C$8-SUM(AY239,BC239,BG239,BK239,BO239,BS239,BW239,CA239,CE239,CI239)</f>
        <v/>
      </c>
      <c r="CM239" s="152">
        <f>SUM(AY239,BC239,BG239,BK239,BO239,BS239,BW239,CA239,CE239,CI239)+SUM(AZ239,BD239,BH239,BL239,BP239,BT239,BX239,CB239,CF239,CJ239)</f>
        <v/>
      </c>
      <c r="CN239" s="152">
        <f>SUM(BA239,BE239,BI239,BM239,BQ239,BU239,BY239,CC239,CG239,CK239)</f>
        <v/>
      </c>
      <c r="CO239" s="152">
        <f>IF(AW239&gt;CN$6,NA(),AW239)</f>
        <v/>
      </c>
      <c r="CP239" s="152">
        <f>IF(AW239&gt;CN$6,NA(),CN239)</f>
        <v/>
      </c>
    </row>
    <row r="240">
      <c r="B240" s="152" t="n">
        <v>229</v>
      </c>
      <c r="C240" s="152">
        <f>IF(F239&lt;=0.005,0,F239*(1+C$6))</f>
        <v/>
      </c>
      <c r="D240" s="152">
        <f>MIN(C240,C$7)</f>
        <v/>
      </c>
      <c r="E240" s="152">
        <f>MAX(0,MIN(C240-D240,AQ240))</f>
        <v/>
      </c>
      <c r="F240" s="152">
        <f>C240-D240-E240</f>
        <v/>
      </c>
      <c r="G240" s="152">
        <f>IF(J239&lt;=0.005,0,J239*(1+G$6))</f>
        <v/>
      </c>
      <c r="H240" s="152">
        <f>MIN(G240,G$7)</f>
        <v/>
      </c>
      <c r="I240" s="152">
        <f>MAX(0,MIN(G240-H240,AQ240-(E240)))</f>
        <v/>
      </c>
      <c r="J240" s="152">
        <f>G240-H240-I240</f>
        <v/>
      </c>
      <c r="K240" s="152">
        <f>IF(N239&lt;=0.005,0,N239*(1+K$6))</f>
        <v/>
      </c>
      <c r="L240" s="152">
        <f>MIN(K240,K$7)</f>
        <v/>
      </c>
      <c r="M240" s="152">
        <f>MAX(0,MIN(K240-L240,AQ240-(E240+I240)))</f>
        <v/>
      </c>
      <c r="N240" s="152">
        <f>K240-L240-M240</f>
        <v/>
      </c>
      <c r="O240" s="152">
        <f>IF(R239&lt;=0.005,0,R239*(1+O$6))</f>
        <v/>
      </c>
      <c r="P240" s="152">
        <f>MIN(O240,O$7)</f>
        <v/>
      </c>
      <c r="Q240" s="152">
        <f>MAX(0,MIN(O240-P240,AQ240-(E240+I240+M240)))</f>
        <v/>
      </c>
      <c r="R240" s="152">
        <f>O240-P240-Q240</f>
        <v/>
      </c>
      <c r="S240" s="152">
        <f>IF(V239&lt;=0.005,0,V239*(1+S$6))</f>
        <v/>
      </c>
      <c r="T240" s="152">
        <f>MIN(S240,S$7)</f>
        <v/>
      </c>
      <c r="U240" s="152">
        <f>MAX(0,MIN(S240-T240,AQ240-(E240+I240+M240+Q240)))</f>
        <v/>
      </c>
      <c r="V240" s="152">
        <f>S240-T240-U240</f>
        <v/>
      </c>
      <c r="W240" s="152">
        <f>IF(Z239&lt;=0.005,0,Z239*(1+W$6))</f>
        <v/>
      </c>
      <c r="X240" s="152">
        <f>MIN(W240,W$7)</f>
        <v/>
      </c>
      <c r="Y240" s="152">
        <f>MAX(0,MIN(W240-X240,AQ240-(E240+I240+M240+Q240+U240)))</f>
        <v/>
      </c>
      <c r="Z240" s="152">
        <f>W240-X240-Y240</f>
        <v/>
      </c>
      <c r="AA240" s="152">
        <f>IF(AD239&lt;=0.005,0,AD239*(1+AA$6))</f>
        <v/>
      </c>
      <c r="AB240" s="152">
        <f>MIN(AA240,AA$7)</f>
        <v/>
      </c>
      <c r="AC240" s="152">
        <f>MAX(0,MIN(AA240-AB240,AQ240-(E240+I240+M240+Q240+U240+Y240)))</f>
        <v/>
      </c>
      <c r="AD240" s="152">
        <f>AA240-AB240-AC240</f>
        <v/>
      </c>
      <c r="AE240" s="152">
        <f>IF(AH239&lt;=0.005,0,AH239*(1+AE$6))</f>
        <v/>
      </c>
      <c r="AF240" s="152">
        <f>MIN(AE240,AE$7)</f>
        <v/>
      </c>
      <c r="AG240" s="152">
        <f>MAX(0,MIN(AE240-AF240,AQ240-(E240+I240+M240+Q240+U240+Y240+AC240)))</f>
        <v/>
      </c>
      <c r="AH240" s="152">
        <f>AE240-AF240-AG240</f>
        <v/>
      </c>
      <c r="AI240" s="152">
        <f>IF(AL239&lt;=0.005,0,AL239*(1+AI$6))</f>
        <v/>
      </c>
      <c r="AJ240" s="152">
        <f>MIN(AI240,AI$7)</f>
        <v/>
      </c>
      <c r="AK240" s="152">
        <f>MAX(0,MIN(AI240-AJ240,AQ240-(E240+I240+M240+Q240+U240+Y240+AC240+AG240)))</f>
        <v/>
      </c>
      <c r="AL240" s="152">
        <f>AI240-AJ240-AK240</f>
        <v/>
      </c>
      <c r="AM240" s="152">
        <f>IF(AP239&lt;=0.005,0,AP239*(1+AM$6))</f>
        <v/>
      </c>
      <c r="AN240" s="152">
        <f>MIN(AM240,AM$7)</f>
        <v/>
      </c>
      <c r="AO240" s="152">
        <f>MAX(0,MIN(AM240-AN240,AQ240-(E240+I240+M240+Q240+U240+Y240+AC240+AG240+AK240)))</f>
        <v/>
      </c>
      <c r="AP240" s="152">
        <f>AM240-AN240-AO240</f>
        <v/>
      </c>
      <c r="AQ240" s="152">
        <f>'Debt Payoff'!$C$8-SUM(D240,H240,L240,P240,T240,X240,AB240,AF240,AJ240,AN240)</f>
        <v/>
      </c>
      <c r="AR240" s="152">
        <f>SUM(D240,H240,L240,P240,T240,X240,AB240,AF240,AJ240,AN240)+SUM(E240,I240,M240,Q240,U240,Y240,AC240,AG240,AK240,AO240)</f>
        <v/>
      </c>
      <c r="AS240" s="152">
        <f>SUM(F240,J240,N240,R240,V240,Z240,AD240,AH240,AL240,AP240)</f>
        <v/>
      </c>
      <c r="AT240" s="152">
        <f>IF(B240&gt;AS$6,NA(),B240)</f>
        <v/>
      </c>
      <c r="AU240" s="152">
        <f>IF(B240&gt;AS$6,NA(),AS240)</f>
        <v/>
      </c>
      <c r="AV240" s="152" t="n"/>
      <c r="AW240" s="152" t="n">
        <v>229</v>
      </c>
      <c r="AX240" s="152">
        <f>IF(BA239&lt;=0.005,0,BA239*(1+AX$6))</f>
        <v/>
      </c>
      <c r="AY240" s="152">
        <f>MIN(AX240,AX$7)</f>
        <v/>
      </c>
      <c r="AZ240" s="152">
        <f>MAX(0,MIN(AX240-AY240,CL240))</f>
        <v/>
      </c>
      <c r="BA240" s="152">
        <f>AX240-AY240-AZ240</f>
        <v/>
      </c>
      <c r="BB240" s="152">
        <f>IF(BE239&lt;=0.005,0,BE239*(1+BB$6))</f>
        <v/>
      </c>
      <c r="BC240" s="152">
        <f>MIN(BB240,BB$7)</f>
        <v/>
      </c>
      <c r="BD240" s="152">
        <f>MAX(0,MIN(BB240-BC240,CL240-(AZ240)))</f>
        <v/>
      </c>
      <c r="BE240" s="152">
        <f>BB240-BC240-BD240</f>
        <v/>
      </c>
      <c r="BF240" s="152">
        <f>IF(BI239&lt;=0.005,0,BI239*(1+BF$6))</f>
        <v/>
      </c>
      <c r="BG240" s="152">
        <f>MIN(BF240,BF$7)</f>
        <v/>
      </c>
      <c r="BH240" s="152">
        <f>MAX(0,MIN(BF240-BG240,CL240-(AZ240+BD240)))</f>
        <v/>
      </c>
      <c r="BI240" s="152">
        <f>BF240-BG240-BH240</f>
        <v/>
      </c>
      <c r="BJ240" s="152">
        <f>IF(BM239&lt;=0.005,0,BM239*(1+BJ$6))</f>
        <v/>
      </c>
      <c r="BK240" s="152">
        <f>MIN(BJ240,BJ$7)</f>
        <v/>
      </c>
      <c r="BL240" s="152">
        <f>MAX(0,MIN(BJ240-BK240,CL240-(AZ240+BD240+BH240)))</f>
        <v/>
      </c>
      <c r="BM240" s="152">
        <f>BJ240-BK240-BL240</f>
        <v/>
      </c>
      <c r="BN240" s="152">
        <f>IF(BQ239&lt;=0.005,0,BQ239*(1+BN$6))</f>
        <v/>
      </c>
      <c r="BO240" s="152">
        <f>MIN(BN240,BN$7)</f>
        <v/>
      </c>
      <c r="BP240" s="152">
        <f>MAX(0,MIN(BN240-BO240,CL240-(AZ240+BD240+BH240+BL240)))</f>
        <v/>
      </c>
      <c r="BQ240" s="152">
        <f>BN240-BO240-BP240</f>
        <v/>
      </c>
      <c r="BR240" s="152">
        <f>IF(BU239&lt;=0.005,0,BU239*(1+BR$6))</f>
        <v/>
      </c>
      <c r="BS240" s="152">
        <f>MIN(BR240,BR$7)</f>
        <v/>
      </c>
      <c r="BT240" s="152">
        <f>MAX(0,MIN(BR240-BS240,CL240-(AZ240+BD240+BH240+BL240+BP240)))</f>
        <v/>
      </c>
      <c r="BU240" s="152">
        <f>BR240-BS240-BT240</f>
        <v/>
      </c>
      <c r="BV240" s="152">
        <f>IF(BY239&lt;=0.005,0,BY239*(1+BV$6))</f>
        <v/>
      </c>
      <c r="BW240" s="152">
        <f>MIN(BV240,BV$7)</f>
        <v/>
      </c>
      <c r="BX240" s="152">
        <f>MAX(0,MIN(BV240-BW240,CL240-(AZ240+BD240+BH240+BL240+BP240+BT240)))</f>
        <v/>
      </c>
      <c r="BY240" s="152">
        <f>BV240-BW240-BX240</f>
        <v/>
      </c>
      <c r="BZ240" s="152">
        <f>IF(CC239&lt;=0.005,0,CC239*(1+BZ$6))</f>
        <v/>
      </c>
      <c r="CA240" s="152">
        <f>MIN(BZ240,BZ$7)</f>
        <v/>
      </c>
      <c r="CB240" s="152">
        <f>MAX(0,MIN(BZ240-CA240,CL240-(AZ240+BD240+BH240+BL240+BP240+BT240+BX240)))</f>
        <v/>
      </c>
      <c r="CC240" s="152">
        <f>BZ240-CA240-CB240</f>
        <v/>
      </c>
      <c r="CD240" s="152">
        <f>IF(CG239&lt;=0.005,0,CG239*(1+CD$6))</f>
        <v/>
      </c>
      <c r="CE240" s="152">
        <f>MIN(CD240,CD$7)</f>
        <v/>
      </c>
      <c r="CF240" s="152">
        <f>MAX(0,MIN(CD240-CE240,CL240-(AZ240+BD240+BH240+BL240+BP240+BT240+BX240+CB240)))</f>
        <v/>
      </c>
      <c r="CG240" s="152">
        <f>CD240-CE240-CF240</f>
        <v/>
      </c>
      <c r="CH240" s="152">
        <f>IF(CK239&lt;=0.005,0,CK239*(1+CH$6))</f>
        <v/>
      </c>
      <c r="CI240" s="152">
        <f>MIN(CH240,CH$7)</f>
        <v/>
      </c>
      <c r="CJ240" s="152">
        <f>MAX(0,MIN(CH240-CI240,CL240-(AZ240+BD240+BH240+BL240+BP240+BT240+BX240+CB240+CF240)))</f>
        <v/>
      </c>
      <c r="CK240" s="152">
        <f>CH240-CI240-CJ240</f>
        <v/>
      </c>
      <c r="CL240" s="152">
        <f>'Debt Payoff'!$C$8-SUM(AY240,BC240,BG240,BK240,BO240,BS240,BW240,CA240,CE240,CI240)</f>
        <v/>
      </c>
      <c r="CM240" s="152">
        <f>SUM(AY240,BC240,BG240,BK240,BO240,BS240,BW240,CA240,CE240,CI240)+SUM(AZ240,BD240,BH240,BL240,BP240,BT240,BX240,CB240,CF240,CJ240)</f>
        <v/>
      </c>
      <c r="CN240" s="152">
        <f>SUM(BA240,BE240,BI240,BM240,BQ240,BU240,BY240,CC240,CG240,CK240)</f>
        <v/>
      </c>
      <c r="CO240" s="152">
        <f>IF(AW240&gt;CN$6,NA(),AW240)</f>
        <v/>
      </c>
      <c r="CP240" s="152">
        <f>IF(AW240&gt;CN$6,NA(),CN240)</f>
        <v/>
      </c>
    </row>
    <row r="241">
      <c r="B241" s="152" t="n">
        <v>230</v>
      </c>
      <c r="C241" s="152">
        <f>IF(F240&lt;=0.005,0,F240*(1+C$6))</f>
        <v/>
      </c>
      <c r="D241" s="152">
        <f>MIN(C241,C$7)</f>
        <v/>
      </c>
      <c r="E241" s="152">
        <f>MAX(0,MIN(C241-D241,AQ241))</f>
        <v/>
      </c>
      <c r="F241" s="152">
        <f>C241-D241-E241</f>
        <v/>
      </c>
      <c r="G241" s="152">
        <f>IF(J240&lt;=0.005,0,J240*(1+G$6))</f>
        <v/>
      </c>
      <c r="H241" s="152">
        <f>MIN(G241,G$7)</f>
        <v/>
      </c>
      <c r="I241" s="152">
        <f>MAX(0,MIN(G241-H241,AQ241-(E241)))</f>
        <v/>
      </c>
      <c r="J241" s="152">
        <f>G241-H241-I241</f>
        <v/>
      </c>
      <c r="K241" s="152">
        <f>IF(N240&lt;=0.005,0,N240*(1+K$6))</f>
        <v/>
      </c>
      <c r="L241" s="152">
        <f>MIN(K241,K$7)</f>
        <v/>
      </c>
      <c r="M241" s="152">
        <f>MAX(0,MIN(K241-L241,AQ241-(E241+I241)))</f>
        <v/>
      </c>
      <c r="N241" s="152">
        <f>K241-L241-M241</f>
        <v/>
      </c>
      <c r="O241" s="152">
        <f>IF(R240&lt;=0.005,0,R240*(1+O$6))</f>
        <v/>
      </c>
      <c r="P241" s="152">
        <f>MIN(O241,O$7)</f>
        <v/>
      </c>
      <c r="Q241" s="152">
        <f>MAX(0,MIN(O241-P241,AQ241-(E241+I241+M241)))</f>
        <v/>
      </c>
      <c r="R241" s="152">
        <f>O241-P241-Q241</f>
        <v/>
      </c>
      <c r="S241" s="152">
        <f>IF(V240&lt;=0.005,0,V240*(1+S$6))</f>
        <v/>
      </c>
      <c r="T241" s="152">
        <f>MIN(S241,S$7)</f>
        <v/>
      </c>
      <c r="U241" s="152">
        <f>MAX(0,MIN(S241-T241,AQ241-(E241+I241+M241+Q241)))</f>
        <v/>
      </c>
      <c r="V241" s="152">
        <f>S241-T241-U241</f>
        <v/>
      </c>
      <c r="W241" s="152">
        <f>IF(Z240&lt;=0.005,0,Z240*(1+W$6))</f>
        <v/>
      </c>
      <c r="X241" s="152">
        <f>MIN(W241,W$7)</f>
        <v/>
      </c>
      <c r="Y241" s="152">
        <f>MAX(0,MIN(W241-X241,AQ241-(E241+I241+M241+Q241+U241)))</f>
        <v/>
      </c>
      <c r="Z241" s="152">
        <f>W241-X241-Y241</f>
        <v/>
      </c>
      <c r="AA241" s="152">
        <f>IF(AD240&lt;=0.005,0,AD240*(1+AA$6))</f>
        <v/>
      </c>
      <c r="AB241" s="152">
        <f>MIN(AA241,AA$7)</f>
        <v/>
      </c>
      <c r="AC241" s="152">
        <f>MAX(0,MIN(AA241-AB241,AQ241-(E241+I241+M241+Q241+U241+Y241)))</f>
        <v/>
      </c>
      <c r="AD241" s="152">
        <f>AA241-AB241-AC241</f>
        <v/>
      </c>
      <c r="AE241" s="152">
        <f>IF(AH240&lt;=0.005,0,AH240*(1+AE$6))</f>
        <v/>
      </c>
      <c r="AF241" s="152">
        <f>MIN(AE241,AE$7)</f>
        <v/>
      </c>
      <c r="AG241" s="152">
        <f>MAX(0,MIN(AE241-AF241,AQ241-(E241+I241+M241+Q241+U241+Y241+AC241)))</f>
        <v/>
      </c>
      <c r="AH241" s="152">
        <f>AE241-AF241-AG241</f>
        <v/>
      </c>
      <c r="AI241" s="152">
        <f>IF(AL240&lt;=0.005,0,AL240*(1+AI$6))</f>
        <v/>
      </c>
      <c r="AJ241" s="152">
        <f>MIN(AI241,AI$7)</f>
        <v/>
      </c>
      <c r="AK241" s="152">
        <f>MAX(0,MIN(AI241-AJ241,AQ241-(E241+I241+M241+Q241+U241+Y241+AC241+AG241)))</f>
        <v/>
      </c>
      <c r="AL241" s="152">
        <f>AI241-AJ241-AK241</f>
        <v/>
      </c>
      <c r="AM241" s="152">
        <f>IF(AP240&lt;=0.005,0,AP240*(1+AM$6))</f>
        <v/>
      </c>
      <c r="AN241" s="152">
        <f>MIN(AM241,AM$7)</f>
        <v/>
      </c>
      <c r="AO241" s="152">
        <f>MAX(0,MIN(AM241-AN241,AQ241-(E241+I241+M241+Q241+U241+Y241+AC241+AG241+AK241)))</f>
        <v/>
      </c>
      <c r="AP241" s="152">
        <f>AM241-AN241-AO241</f>
        <v/>
      </c>
      <c r="AQ241" s="152">
        <f>'Debt Payoff'!$C$8-SUM(D241,H241,L241,P241,T241,X241,AB241,AF241,AJ241,AN241)</f>
        <v/>
      </c>
      <c r="AR241" s="152">
        <f>SUM(D241,H241,L241,P241,T241,X241,AB241,AF241,AJ241,AN241)+SUM(E241,I241,M241,Q241,U241,Y241,AC241,AG241,AK241,AO241)</f>
        <v/>
      </c>
      <c r="AS241" s="152">
        <f>SUM(F241,J241,N241,R241,V241,Z241,AD241,AH241,AL241,AP241)</f>
        <v/>
      </c>
      <c r="AT241" s="152">
        <f>IF(B241&gt;AS$6,NA(),B241)</f>
        <v/>
      </c>
      <c r="AU241" s="152">
        <f>IF(B241&gt;AS$6,NA(),AS241)</f>
        <v/>
      </c>
      <c r="AV241" s="152" t="n"/>
      <c r="AW241" s="152" t="n">
        <v>230</v>
      </c>
      <c r="AX241" s="152">
        <f>IF(BA240&lt;=0.005,0,BA240*(1+AX$6))</f>
        <v/>
      </c>
      <c r="AY241" s="152">
        <f>MIN(AX241,AX$7)</f>
        <v/>
      </c>
      <c r="AZ241" s="152">
        <f>MAX(0,MIN(AX241-AY241,CL241))</f>
        <v/>
      </c>
      <c r="BA241" s="152">
        <f>AX241-AY241-AZ241</f>
        <v/>
      </c>
      <c r="BB241" s="152">
        <f>IF(BE240&lt;=0.005,0,BE240*(1+BB$6))</f>
        <v/>
      </c>
      <c r="BC241" s="152">
        <f>MIN(BB241,BB$7)</f>
        <v/>
      </c>
      <c r="BD241" s="152">
        <f>MAX(0,MIN(BB241-BC241,CL241-(AZ241)))</f>
        <v/>
      </c>
      <c r="BE241" s="152">
        <f>BB241-BC241-BD241</f>
        <v/>
      </c>
      <c r="BF241" s="152">
        <f>IF(BI240&lt;=0.005,0,BI240*(1+BF$6))</f>
        <v/>
      </c>
      <c r="BG241" s="152">
        <f>MIN(BF241,BF$7)</f>
        <v/>
      </c>
      <c r="BH241" s="152">
        <f>MAX(0,MIN(BF241-BG241,CL241-(AZ241+BD241)))</f>
        <v/>
      </c>
      <c r="BI241" s="152">
        <f>BF241-BG241-BH241</f>
        <v/>
      </c>
      <c r="BJ241" s="152">
        <f>IF(BM240&lt;=0.005,0,BM240*(1+BJ$6))</f>
        <v/>
      </c>
      <c r="BK241" s="152">
        <f>MIN(BJ241,BJ$7)</f>
        <v/>
      </c>
      <c r="BL241" s="152">
        <f>MAX(0,MIN(BJ241-BK241,CL241-(AZ241+BD241+BH241)))</f>
        <v/>
      </c>
      <c r="BM241" s="152">
        <f>BJ241-BK241-BL241</f>
        <v/>
      </c>
      <c r="BN241" s="152">
        <f>IF(BQ240&lt;=0.005,0,BQ240*(1+BN$6))</f>
        <v/>
      </c>
      <c r="BO241" s="152">
        <f>MIN(BN241,BN$7)</f>
        <v/>
      </c>
      <c r="BP241" s="152">
        <f>MAX(0,MIN(BN241-BO241,CL241-(AZ241+BD241+BH241+BL241)))</f>
        <v/>
      </c>
      <c r="BQ241" s="152">
        <f>BN241-BO241-BP241</f>
        <v/>
      </c>
      <c r="BR241" s="152">
        <f>IF(BU240&lt;=0.005,0,BU240*(1+BR$6))</f>
        <v/>
      </c>
      <c r="BS241" s="152">
        <f>MIN(BR241,BR$7)</f>
        <v/>
      </c>
      <c r="BT241" s="152">
        <f>MAX(0,MIN(BR241-BS241,CL241-(AZ241+BD241+BH241+BL241+BP241)))</f>
        <v/>
      </c>
      <c r="BU241" s="152">
        <f>BR241-BS241-BT241</f>
        <v/>
      </c>
      <c r="BV241" s="152">
        <f>IF(BY240&lt;=0.005,0,BY240*(1+BV$6))</f>
        <v/>
      </c>
      <c r="BW241" s="152">
        <f>MIN(BV241,BV$7)</f>
        <v/>
      </c>
      <c r="BX241" s="152">
        <f>MAX(0,MIN(BV241-BW241,CL241-(AZ241+BD241+BH241+BL241+BP241+BT241)))</f>
        <v/>
      </c>
      <c r="BY241" s="152">
        <f>BV241-BW241-BX241</f>
        <v/>
      </c>
      <c r="BZ241" s="152">
        <f>IF(CC240&lt;=0.005,0,CC240*(1+BZ$6))</f>
        <v/>
      </c>
      <c r="CA241" s="152">
        <f>MIN(BZ241,BZ$7)</f>
        <v/>
      </c>
      <c r="CB241" s="152">
        <f>MAX(0,MIN(BZ241-CA241,CL241-(AZ241+BD241+BH241+BL241+BP241+BT241+BX241)))</f>
        <v/>
      </c>
      <c r="CC241" s="152">
        <f>BZ241-CA241-CB241</f>
        <v/>
      </c>
      <c r="CD241" s="152">
        <f>IF(CG240&lt;=0.005,0,CG240*(1+CD$6))</f>
        <v/>
      </c>
      <c r="CE241" s="152">
        <f>MIN(CD241,CD$7)</f>
        <v/>
      </c>
      <c r="CF241" s="152">
        <f>MAX(0,MIN(CD241-CE241,CL241-(AZ241+BD241+BH241+BL241+BP241+BT241+BX241+CB241)))</f>
        <v/>
      </c>
      <c r="CG241" s="152">
        <f>CD241-CE241-CF241</f>
        <v/>
      </c>
      <c r="CH241" s="152">
        <f>IF(CK240&lt;=0.005,0,CK240*(1+CH$6))</f>
        <v/>
      </c>
      <c r="CI241" s="152">
        <f>MIN(CH241,CH$7)</f>
        <v/>
      </c>
      <c r="CJ241" s="152">
        <f>MAX(0,MIN(CH241-CI241,CL241-(AZ241+BD241+BH241+BL241+BP241+BT241+BX241+CB241+CF241)))</f>
        <v/>
      </c>
      <c r="CK241" s="152">
        <f>CH241-CI241-CJ241</f>
        <v/>
      </c>
      <c r="CL241" s="152">
        <f>'Debt Payoff'!$C$8-SUM(AY241,BC241,BG241,BK241,BO241,BS241,BW241,CA241,CE241,CI241)</f>
        <v/>
      </c>
      <c r="CM241" s="152">
        <f>SUM(AY241,BC241,BG241,BK241,BO241,BS241,BW241,CA241,CE241,CI241)+SUM(AZ241,BD241,BH241,BL241,BP241,BT241,BX241,CB241,CF241,CJ241)</f>
        <v/>
      </c>
      <c r="CN241" s="152">
        <f>SUM(BA241,BE241,BI241,BM241,BQ241,BU241,BY241,CC241,CG241,CK241)</f>
        <v/>
      </c>
      <c r="CO241" s="152">
        <f>IF(AW241&gt;CN$6,NA(),AW241)</f>
        <v/>
      </c>
      <c r="CP241" s="152">
        <f>IF(AW241&gt;CN$6,NA(),CN241)</f>
        <v/>
      </c>
    </row>
    <row r="242">
      <c r="B242" s="152" t="n">
        <v>231</v>
      </c>
      <c r="C242" s="152">
        <f>IF(F241&lt;=0.005,0,F241*(1+C$6))</f>
        <v/>
      </c>
      <c r="D242" s="152">
        <f>MIN(C242,C$7)</f>
        <v/>
      </c>
      <c r="E242" s="152">
        <f>MAX(0,MIN(C242-D242,AQ242))</f>
        <v/>
      </c>
      <c r="F242" s="152">
        <f>C242-D242-E242</f>
        <v/>
      </c>
      <c r="G242" s="152">
        <f>IF(J241&lt;=0.005,0,J241*(1+G$6))</f>
        <v/>
      </c>
      <c r="H242" s="152">
        <f>MIN(G242,G$7)</f>
        <v/>
      </c>
      <c r="I242" s="152">
        <f>MAX(0,MIN(G242-H242,AQ242-(E242)))</f>
        <v/>
      </c>
      <c r="J242" s="152">
        <f>G242-H242-I242</f>
        <v/>
      </c>
      <c r="K242" s="152">
        <f>IF(N241&lt;=0.005,0,N241*(1+K$6))</f>
        <v/>
      </c>
      <c r="L242" s="152">
        <f>MIN(K242,K$7)</f>
        <v/>
      </c>
      <c r="M242" s="152">
        <f>MAX(0,MIN(K242-L242,AQ242-(E242+I242)))</f>
        <v/>
      </c>
      <c r="N242" s="152">
        <f>K242-L242-M242</f>
        <v/>
      </c>
      <c r="O242" s="152">
        <f>IF(R241&lt;=0.005,0,R241*(1+O$6))</f>
        <v/>
      </c>
      <c r="P242" s="152">
        <f>MIN(O242,O$7)</f>
        <v/>
      </c>
      <c r="Q242" s="152">
        <f>MAX(0,MIN(O242-P242,AQ242-(E242+I242+M242)))</f>
        <v/>
      </c>
      <c r="R242" s="152">
        <f>O242-P242-Q242</f>
        <v/>
      </c>
      <c r="S242" s="152">
        <f>IF(V241&lt;=0.005,0,V241*(1+S$6))</f>
        <v/>
      </c>
      <c r="T242" s="152">
        <f>MIN(S242,S$7)</f>
        <v/>
      </c>
      <c r="U242" s="152">
        <f>MAX(0,MIN(S242-T242,AQ242-(E242+I242+M242+Q242)))</f>
        <v/>
      </c>
      <c r="V242" s="152">
        <f>S242-T242-U242</f>
        <v/>
      </c>
      <c r="W242" s="152">
        <f>IF(Z241&lt;=0.005,0,Z241*(1+W$6))</f>
        <v/>
      </c>
      <c r="X242" s="152">
        <f>MIN(W242,W$7)</f>
        <v/>
      </c>
      <c r="Y242" s="152">
        <f>MAX(0,MIN(W242-X242,AQ242-(E242+I242+M242+Q242+U242)))</f>
        <v/>
      </c>
      <c r="Z242" s="152">
        <f>W242-X242-Y242</f>
        <v/>
      </c>
      <c r="AA242" s="152">
        <f>IF(AD241&lt;=0.005,0,AD241*(1+AA$6))</f>
        <v/>
      </c>
      <c r="AB242" s="152">
        <f>MIN(AA242,AA$7)</f>
        <v/>
      </c>
      <c r="AC242" s="152">
        <f>MAX(0,MIN(AA242-AB242,AQ242-(E242+I242+M242+Q242+U242+Y242)))</f>
        <v/>
      </c>
      <c r="AD242" s="152">
        <f>AA242-AB242-AC242</f>
        <v/>
      </c>
      <c r="AE242" s="152">
        <f>IF(AH241&lt;=0.005,0,AH241*(1+AE$6))</f>
        <v/>
      </c>
      <c r="AF242" s="152">
        <f>MIN(AE242,AE$7)</f>
        <v/>
      </c>
      <c r="AG242" s="152">
        <f>MAX(0,MIN(AE242-AF242,AQ242-(E242+I242+M242+Q242+U242+Y242+AC242)))</f>
        <v/>
      </c>
      <c r="AH242" s="152">
        <f>AE242-AF242-AG242</f>
        <v/>
      </c>
      <c r="AI242" s="152">
        <f>IF(AL241&lt;=0.005,0,AL241*(1+AI$6))</f>
        <v/>
      </c>
      <c r="AJ242" s="152">
        <f>MIN(AI242,AI$7)</f>
        <v/>
      </c>
      <c r="AK242" s="152">
        <f>MAX(0,MIN(AI242-AJ242,AQ242-(E242+I242+M242+Q242+U242+Y242+AC242+AG242)))</f>
        <v/>
      </c>
      <c r="AL242" s="152">
        <f>AI242-AJ242-AK242</f>
        <v/>
      </c>
      <c r="AM242" s="152">
        <f>IF(AP241&lt;=0.005,0,AP241*(1+AM$6))</f>
        <v/>
      </c>
      <c r="AN242" s="152">
        <f>MIN(AM242,AM$7)</f>
        <v/>
      </c>
      <c r="AO242" s="152">
        <f>MAX(0,MIN(AM242-AN242,AQ242-(E242+I242+M242+Q242+U242+Y242+AC242+AG242+AK242)))</f>
        <v/>
      </c>
      <c r="AP242" s="152">
        <f>AM242-AN242-AO242</f>
        <v/>
      </c>
      <c r="AQ242" s="152">
        <f>'Debt Payoff'!$C$8-SUM(D242,H242,L242,P242,T242,X242,AB242,AF242,AJ242,AN242)</f>
        <v/>
      </c>
      <c r="AR242" s="152">
        <f>SUM(D242,H242,L242,P242,T242,X242,AB242,AF242,AJ242,AN242)+SUM(E242,I242,M242,Q242,U242,Y242,AC242,AG242,AK242,AO242)</f>
        <v/>
      </c>
      <c r="AS242" s="152">
        <f>SUM(F242,J242,N242,R242,V242,Z242,AD242,AH242,AL242,AP242)</f>
        <v/>
      </c>
      <c r="AT242" s="152">
        <f>IF(B242&gt;AS$6,NA(),B242)</f>
        <v/>
      </c>
      <c r="AU242" s="152">
        <f>IF(B242&gt;AS$6,NA(),AS242)</f>
        <v/>
      </c>
      <c r="AV242" s="152" t="n"/>
      <c r="AW242" s="152" t="n">
        <v>231</v>
      </c>
      <c r="AX242" s="152">
        <f>IF(BA241&lt;=0.005,0,BA241*(1+AX$6))</f>
        <v/>
      </c>
      <c r="AY242" s="152">
        <f>MIN(AX242,AX$7)</f>
        <v/>
      </c>
      <c r="AZ242" s="152">
        <f>MAX(0,MIN(AX242-AY242,CL242))</f>
        <v/>
      </c>
      <c r="BA242" s="152">
        <f>AX242-AY242-AZ242</f>
        <v/>
      </c>
      <c r="BB242" s="152">
        <f>IF(BE241&lt;=0.005,0,BE241*(1+BB$6))</f>
        <v/>
      </c>
      <c r="BC242" s="152">
        <f>MIN(BB242,BB$7)</f>
        <v/>
      </c>
      <c r="BD242" s="152">
        <f>MAX(0,MIN(BB242-BC242,CL242-(AZ242)))</f>
        <v/>
      </c>
      <c r="BE242" s="152">
        <f>BB242-BC242-BD242</f>
        <v/>
      </c>
      <c r="BF242" s="152">
        <f>IF(BI241&lt;=0.005,0,BI241*(1+BF$6))</f>
        <v/>
      </c>
      <c r="BG242" s="152">
        <f>MIN(BF242,BF$7)</f>
        <v/>
      </c>
      <c r="BH242" s="152">
        <f>MAX(0,MIN(BF242-BG242,CL242-(AZ242+BD242)))</f>
        <v/>
      </c>
      <c r="BI242" s="152">
        <f>BF242-BG242-BH242</f>
        <v/>
      </c>
      <c r="BJ242" s="152">
        <f>IF(BM241&lt;=0.005,0,BM241*(1+BJ$6))</f>
        <v/>
      </c>
      <c r="BK242" s="152">
        <f>MIN(BJ242,BJ$7)</f>
        <v/>
      </c>
      <c r="BL242" s="152">
        <f>MAX(0,MIN(BJ242-BK242,CL242-(AZ242+BD242+BH242)))</f>
        <v/>
      </c>
      <c r="BM242" s="152">
        <f>BJ242-BK242-BL242</f>
        <v/>
      </c>
      <c r="BN242" s="152">
        <f>IF(BQ241&lt;=0.005,0,BQ241*(1+BN$6))</f>
        <v/>
      </c>
      <c r="BO242" s="152">
        <f>MIN(BN242,BN$7)</f>
        <v/>
      </c>
      <c r="BP242" s="152">
        <f>MAX(0,MIN(BN242-BO242,CL242-(AZ242+BD242+BH242+BL242)))</f>
        <v/>
      </c>
      <c r="BQ242" s="152">
        <f>BN242-BO242-BP242</f>
        <v/>
      </c>
      <c r="BR242" s="152">
        <f>IF(BU241&lt;=0.005,0,BU241*(1+BR$6))</f>
        <v/>
      </c>
      <c r="BS242" s="152">
        <f>MIN(BR242,BR$7)</f>
        <v/>
      </c>
      <c r="BT242" s="152">
        <f>MAX(0,MIN(BR242-BS242,CL242-(AZ242+BD242+BH242+BL242+BP242)))</f>
        <v/>
      </c>
      <c r="BU242" s="152">
        <f>BR242-BS242-BT242</f>
        <v/>
      </c>
      <c r="BV242" s="152">
        <f>IF(BY241&lt;=0.005,0,BY241*(1+BV$6))</f>
        <v/>
      </c>
      <c r="BW242" s="152">
        <f>MIN(BV242,BV$7)</f>
        <v/>
      </c>
      <c r="BX242" s="152">
        <f>MAX(0,MIN(BV242-BW242,CL242-(AZ242+BD242+BH242+BL242+BP242+BT242)))</f>
        <v/>
      </c>
      <c r="BY242" s="152">
        <f>BV242-BW242-BX242</f>
        <v/>
      </c>
      <c r="BZ242" s="152">
        <f>IF(CC241&lt;=0.005,0,CC241*(1+BZ$6))</f>
        <v/>
      </c>
      <c r="CA242" s="152">
        <f>MIN(BZ242,BZ$7)</f>
        <v/>
      </c>
      <c r="CB242" s="152">
        <f>MAX(0,MIN(BZ242-CA242,CL242-(AZ242+BD242+BH242+BL242+BP242+BT242+BX242)))</f>
        <v/>
      </c>
      <c r="CC242" s="152">
        <f>BZ242-CA242-CB242</f>
        <v/>
      </c>
      <c r="CD242" s="152">
        <f>IF(CG241&lt;=0.005,0,CG241*(1+CD$6))</f>
        <v/>
      </c>
      <c r="CE242" s="152">
        <f>MIN(CD242,CD$7)</f>
        <v/>
      </c>
      <c r="CF242" s="152">
        <f>MAX(0,MIN(CD242-CE242,CL242-(AZ242+BD242+BH242+BL242+BP242+BT242+BX242+CB242)))</f>
        <v/>
      </c>
      <c r="CG242" s="152">
        <f>CD242-CE242-CF242</f>
        <v/>
      </c>
      <c r="CH242" s="152">
        <f>IF(CK241&lt;=0.005,0,CK241*(1+CH$6))</f>
        <v/>
      </c>
      <c r="CI242" s="152">
        <f>MIN(CH242,CH$7)</f>
        <v/>
      </c>
      <c r="CJ242" s="152">
        <f>MAX(0,MIN(CH242-CI242,CL242-(AZ242+BD242+BH242+BL242+BP242+BT242+BX242+CB242+CF242)))</f>
        <v/>
      </c>
      <c r="CK242" s="152">
        <f>CH242-CI242-CJ242</f>
        <v/>
      </c>
      <c r="CL242" s="152">
        <f>'Debt Payoff'!$C$8-SUM(AY242,BC242,BG242,BK242,BO242,BS242,BW242,CA242,CE242,CI242)</f>
        <v/>
      </c>
      <c r="CM242" s="152">
        <f>SUM(AY242,BC242,BG242,BK242,BO242,BS242,BW242,CA242,CE242,CI242)+SUM(AZ242,BD242,BH242,BL242,BP242,BT242,BX242,CB242,CF242,CJ242)</f>
        <v/>
      </c>
      <c r="CN242" s="152">
        <f>SUM(BA242,BE242,BI242,BM242,BQ242,BU242,BY242,CC242,CG242,CK242)</f>
        <v/>
      </c>
      <c r="CO242" s="152">
        <f>IF(AW242&gt;CN$6,NA(),AW242)</f>
        <v/>
      </c>
      <c r="CP242" s="152">
        <f>IF(AW242&gt;CN$6,NA(),CN242)</f>
        <v/>
      </c>
    </row>
    <row r="243">
      <c r="B243" s="152" t="n">
        <v>232</v>
      </c>
      <c r="C243" s="152">
        <f>IF(F242&lt;=0.005,0,F242*(1+C$6))</f>
        <v/>
      </c>
      <c r="D243" s="152">
        <f>MIN(C243,C$7)</f>
        <v/>
      </c>
      <c r="E243" s="152">
        <f>MAX(0,MIN(C243-D243,AQ243))</f>
        <v/>
      </c>
      <c r="F243" s="152">
        <f>C243-D243-E243</f>
        <v/>
      </c>
      <c r="G243" s="152">
        <f>IF(J242&lt;=0.005,0,J242*(1+G$6))</f>
        <v/>
      </c>
      <c r="H243" s="152">
        <f>MIN(G243,G$7)</f>
        <v/>
      </c>
      <c r="I243" s="152">
        <f>MAX(0,MIN(G243-H243,AQ243-(E243)))</f>
        <v/>
      </c>
      <c r="J243" s="152">
        <f>G243-H243-I243</f>
        <v/>
      </c>
      <c r="K243" s="152">
        <f>IF(N242&lt;=0.005,0,N242*(1+K$6))</f>
        <v/>
      </c>
      <c r="L243" s="152">
        <f>MIN(K243,K$7)</f>
        <v/>
      </c>
      <c r="M243" s="152">
        <f>MAX(0,MIN(K243-L243,AQ243-(E243+I243)))</f>
        <v/>
      </c>
      <c r="N243" s="152">
        <f>K243-L243-M243</f>
        <v/>
      </c>
      <c r="O243" s="152">
        <f>IF(R242&lt;=0.005,0,R242*(1+O$6))</f>
        <v/>
      </c>
      <c r="P243" s="152">
        <f>MIN(O243,O$7)</f>
        <v/>
      </c>
      <c r="Q243" s="152">
        <f>MAX(0,MIN(O243-P243,AQ243-(E243+I243+M243)))</f>
        <v/>
      </c>
      <c r="R243" s="152">
        <f>O243-P243-Q243</f>
        <v/>
      </c>
      <c r="S243" s="152">
        <f>IF(V242&lt;=0.005,0,V242*(1+S$6))</f>
        <v/>
      </c>
      <c r="T243" s="152">
        <f>MIN(S243,S$7)</f>
        <v/>
      </c>
      <c r="U243" s="152">
        <f>MAX(0,MIN(S243-T243,AQ243-(E243+I243+M243+Q243)))</f>
        <v/>
      </c>
      <c r="V243" s="152">
        <f>S243-T243-U243</f>
        <v/>
      </c>
      <c r="W243" s="152">
        <f>IF(Z242&lt;=0.005,0,Z242*(1+W$6))</f>
        <v/>
      </c>
      <c r="X243" s="152">
        <f>MIN(W243,W$7)</f>
        <v/>
      </c>
      <c r="Y243" s="152">
        <f>MAX(0,MIN(W243-X243,AQ243-(E243+I243+M243+Q243+U243)))</f>
        <v/>
      </c>
      <c r="Z243" s="152">
        <f>W243-X243-Y243</f>
        <v/>
      </c>
      <c r="AA243" s="152">
        <f>IF(AD242&lt;=0.005,0,AD242*(1+AA$6))</f>
        <v/>
      </c>
      <c r="AB243" s="152">
        <f>MIN(AA243,AA$7)</f>
        <v/>
      </c>
      <c r="AC243" s="152">
        <f>MAX(0,MIN(AA243-AB243,AQ243-(E243+I243+M243+Q243+U243+Y243)))</f>
        <v/>
      </c>
      <c r="AD243" s="152">
        <f>AA243-AB243-AC243</f>
        <v/>
      </c>
      <c r="AE243" s="152">
        <f>IF(AH242&lt;=0.005,0,AH242*(1+AE$6))</f>
        <v/>
      </c>
      <c r="AF243" s="152">
        <f>MIN(AE243,AE$7)</f>
        <v/>
      </c>
      <c r="AG243" s="152">
        <f>MAX(0,MIN(AE243-AF243,AQ243-(E243+I243+M243+Q243+U243+Y243+AC243)))</f>
        <v/>
      </c>
      <c r="AH243" s="152">
        <f>AE243-AF243-AG243</f>
        <v/>
      </c>
      <c r="AI243" s="152">
        <f>IF(AL242&lt;=0.005,0,AL242*(1+AI$6))</f>
        <v/>
      </c>
      <c r="AJ243" s="152">
        <f>MIN(AI243,AI$7)</f>
        <v/>
      </c>
      <c r="AK243" s="152">
        <f>MAX(0,MIN(AI243-AJ243,AQ243-(E243+I243+M243+Q243+U243+Y243+AC243+AG243)))</f>
        <v/>
      </c>
      <c r="AL243" s="152">
        <f>AI243-AJ243-AK243</f>
        <v/>
      </c>
      <c r="AM243" s="152">
        <f>IF(AP242&lt;=0.005,0,AP242*(1+AM$6))</f>
        <v/>
      </c>
      <c r="AN243" s="152">
        <f>MIN(AM243,AM$7)</f>
        <v/>
      </c>
      <c r="AO243" s="152">
        <f>MAX(0,MIN(AM243-AN243,AQ243-(E243+I243+M243+Q243+U243+Y243+AC243+AG243+AK243)))</f>
        <v/>
      </c>
      <c r="AP243" s="152">
        <f>AM243-AN243-AO243</f>
        <v/>
      </c>
      <c r="AQ243" s="152">
        <f>'Debt Payoff'!$C$8-SUM(D243,H243,L243,P243,T243,X243,AB243,AF243,AJ243,AN243)</f>
        <v/>
      </c>
      <c r="AR243" s="152">
        <f>SUM(D243,H243,L243,P243,T243,X243,AB243,AF243,AJ243,AN243)+SUM(E243,I243,M243,Q243,U243,Y243,AC243,AG243,AK243,AO243)</f>
        <v/>
      </c>
      <c r="AS243" s="152">
        <f>SUM(F243,J243,N243,R243,V243,Z243,AD243,AH243,AL243,AP243)</f>
        <v/>
      </c>
      <c r="AT243" s="152">
        <f>IF(B243&gt;AS$6,NA(),B243)</f>
        <v/>
      </c>
      <c r="AU243" s="152">
        <f>IF(B243&gt;AS$6,NA(),AS243)</f>
        <v/>
      </c>
      <c r="AV243" s="152" t="n"/>
      <c r="AW243" s="152" t="n">
        <v>232</v>
      </c>
      <c r="AX243" s="152">
        <f>IF(BA242&lt;=0.005,0,BA242*(1+AX$6))</f>
        <v/>
      </c>
      <c r="AY243" s="152">
        <f>MIN(AX243,AX$7)</f>
        <v/>
      </c>
      <c r="AZ243" s="152">
        <f>MAX(0,MIN(AX243-AY243,CL243))</f>
        <v/>
      </c>
      <c r="BA243" s="152">
        <f>AX243-AY243-AZ243</f>
        <v/>
      </c>
      <c r="BB243" s="152">
        <f>IF(BE242&lt;=0.005,0,BE242*(1+BB$6))</f>
        <v/>
      </c>
      <c r="BC243" s="152">
        <f>MIN(BB243,BB$7)</f>
        <v/>
      </c>
      <c r="BD243" s="152">
        <f>MAX(0,MIN(BB243-BC243,CL243-(AZ243)))</f>
        <v/>
      </c>
      <c r="BE243" s="152">
        <f>BB243-BC243-BD243</f>
        <v/>
      </c>
      <c r="BF243" s="152">
        <f>IF(BI242&lt;=0.005,0,BI242*(1+BF$6))</f>
        <v/>
      </c>
      <c r="BG243" s="152">
        <f>MIN(BF243,BF$7)</f>
        <v/>
      </c>
      <c r="BH243" s="152">
        <f>MAX(0,MIN(BF243-BG243,CL243-(AZ243+BD243)))</f>
        <v/>
      </c>
      <c r="BI243" s="152">
        <f>BF243-BG243-BH243</f>
        <v/>
      </c>
      <c r="BJ243" s="152">
        <f>IF(BM242&lt;=0.005,0,BM242*(1+BJ$6))</f>
        <v/>
      </c>
      <c r="BK243" s="152">
        <f>MIN(BJ243,BJ$7)</f>
        <v/>
      </c>
      <c r="BL243" s="152">
        <f>MAX(0,MIN(BJ243-BK243,CL243-(AZ243+BD243+BH243)))</f>
        <v/>
      </c>
      <c r="BM243" s="152">
        <f>BJ243-BK243-BL243</f>
        <v/>
      </c>
      <c r="BN243" s="152">
        <f>IF(BQ242&lt;=0.005,0,BQ242*(1+BN$6))</f>
        <v/>
      </c>
      <c r="BO243" s="152">
        <f>MIN(BN243,BN$7)</f>
        <v/>
      </c>
      <c r="BP243" s="152">
        <f>MAX(0,MIN(BN243-BO243,CL243-(AZ243+BD243+BH243+BL243)))</f>
        <v/>
      </c>
      <c r="BQ243" s="152">
        <f>BN243-BO243-BP243</f>
        <v/>
      </c>
      <c r="BR243" s="152">
        <f>IF(BU242&lt;=0.005,0,BU242*(1+BR$6))</f>
        <v/>
      </c>
      <c r="BS243" s="152">
        <f>MIN(BR243,BR$7)</f>
        <v/>
      </c>
      <c r="BT243" s="152">
        <f>MAX(0,MIN(BR243-BS243,CL243-(AZ243+BD243+BH243+BL243+BP243)))</f>
        <v/>
      </c>
      <c r="BU243" s="152">
        <f>BR243-BS243-BT243</f>
        <v/>
      </c>
      <c r="BV243" s="152">
        <f>IF(BY242&lt;=0.005,0,BY242*(1+BV$6))</f>
        <v/>
      </c>
      <c r="BW243" s="152">
        <f>MIN(BV243,BV$7)</f>
        <v/>
      </c>
      <c r="BX243" s="152">
        <f>MAX(0,MIN(BV243-BW243,CL243-(AZ243+BD243+BH243+BL243+BP243+BT243)))</f>
        <v/>
      </c>
      <c r="BY243" s="152">
        <f>BV243-BW243-BX243</f>
        <v/>
      </c>
      <c r="BZ243" s="152">
        <f>IF(CC242&lt;=0.005,0,CC242*(1+BZ$6))</f>
        <v/>
      </c>
      <c r="CA243" s="152">
        <f>MIN(BZ243,BZ$7)</f>
        <v/>
      </c>
      <c r="CB243" s="152">
        <f>MAX(0,MIN(BZ243-CA243,CL243-(AZ243+BD243+BH243+BL243+BP243+BT243+BX243)))</f>
        <v/>
      </c>
      <c r="CC243" s="152">
        <f>BZ243-CA243-CB243</f>
        <v/>
      </c>
      <c r="CD243" s="152">
        <f>IF(CG242&lt;=0.005,0,CG242*(1+CD$6))</f>
        <v/>
      </c>
      <c r="CE243" s="152">
        <f>MIN(CD243,CD$7)</f>
        <v/>
      </c>
      <c r="CF243" s="152">
        <f>MAX(0,MIN(CD243-CE243,CL243-(AZ243+BD243+BH243+BL243+BP243+BT243+BX243+CB243)))</f>
        <v/>
      </c>
      <c r="CG243" s="152">
        <f>CD243-CE243-CF243</f>
        <v/>
      </c>
      <c r="CH243" s="152">
        <f>IF(CK242&lt;=0.005,0,CK242*(1+CH$6))</f>
        <v/>
      </c>
      <c r="CI243" s="152">
        <f>MIN(CH243,CH$7)</f>
        <v/>
      </c>
      <c r="CJ243" s="152">
        <f>MAX(0,MIN(CH243-CI243,CL243-(AZ243+BD243+BH243+BL243+BP243+BT243+BX243+CB243+CF243)))</f>
        <v/>
      </c>
      <c r="CK243" s="152">
        <f>CH243-CI243-CJ243</f>
        <v/>
      </c>
      <c r="CL243" s="152">
        <f>'Debt Payoff'!$C$8-SUM(AY243,BC243,BG243,BK243,BO243,BS243,BW243,CA243,CE243,CI243)</f>
        <v/>
      </c>
      <c r="CM243" s="152">
        <f>SUM(AY243,BC243,BG243,BK243,BO243,BS243,BW243,CA243,CE243,CI243)+SUM(AZ243,BD243,BH243,BL243,BP243,BT243,BX243,CB243,CF243,CJ243)</f>
        <v/>
      </c>
      <c r="CN243" s="152">
        <f>SUM(BA243,BE243,BI243,BM243,BQ243,BU243,BY243,CC243,CG243,CK243)</f>
        <v/>
      </c>
      <c r="CO243" s="152">
        <f>IF(AW243&gt;CN$6,NA(),AW243)</f>
        <v/>
      </c>
      <c r="CP243" s="152">
        <f>IF(AW243&gt;CN$6,NA(),CN243)</f>
        <v/>
      </c>
    </row>
    <row r="244">
      <c r="B244" s="152" t="n">
        <v>233</v>
      </c>
      <c r="C244" s="152">
        <f>IF(F243&lt;=0.005,0,F243*(1+C$6))</f>
        <v/>
      </c>
      <c r="D244" s="152">
        <f>MIN(C244,C$7)</f>
        <v/>
      </c>
      <c r="E244" s="152">
        <f>MAX(0,MIN(C244-D244,AQ244))</f>
        <v/>
      </c>
      <c r="F244" s="152">
        <f>C244-D244-E244</f>
        <v/>
      </c>
      <c r="G244" s="152">
        <f>IF(J243&lt;=0.005,0,J243*(1+G$6))</f>
        <v/>
      </c>
      <c r="H244" s="152">
        <f>MIN(G244,G$7)</f>
        <v/>
      </c>
      <c r="I244" s="152">
        <f>MAX(0,MIN(G244-H244,AQ244-(E244)))</f>
        <v/>
      </c>
      <c r="J244" s="152">
        <f>G244-H244-I244</f>
        <v/>
      </c>
      <c r="K244" s="152">
        <f>IF(N243&lt;=0.005,0,N243*(1+K$6))</f>
        <v/>
      </c>
      <c r="L244" s="152">
        <f>MIN(K244,K$7)</f>
        <v/>
      </c>
      <c r="M244" s="152">
        <f>MAX(0,MIN(K244-L244,AQ244-(E244+I244)))</f>
        <v/>
      </c>
      <c r="N244" s="152">
        <f>K244-L244-M244</f>
        <v/>
      </c>
      <c r="O244" s="152">
        <f>IF(R243&lt;=0.005,0,R243*(1+O$6))</f>
        <v/>
      </c>
      <c r="P244" s="152">
        <f>MIN(O244,O$7)</f>
        <v/>
      </c>
      <c r="Q244" s="152">
        <f>MAX(0,MIN(O244-P244,AQ244-(E244+I244+M244)))</f>
        <v/>
      </c>
      <c r="R244" s="152">
        <f>O244-P244-Q244</f>
        <v/>
      </c>
      <c r="S244" s="152">
        <f>IF(V243&lt;=0.005,0,V243*(1+S$6))</f>
        <v/>
      </c>
      <c r="T244" s="152">
        <f>MIN(S244,S$7)</f>
        <v/>
      </c>
      <c r="U244" s="152">
        <f>MAX(0,MIN(S244-T244,AQ244-(E244+I244+M244+Q244)))</f>
        <v/>
      </c>
      <c r="V244" s="152">
        <f>S244-T244-U244</f>
        <v/>
      </c>
      <c r="W244" s="152">
        <f>IF(Z243&lt;=0.005,0,Z243*(1+W$6))</f>
        <v/>
      </c>
      <c r="X244" s="152">
        <f>MIN(W244,W$7)</f>
        <v/>
      </c>
      <c r="Y244" s="152">
        <f>MAX(0,MIN(W244-X244,AQ244-(E244+I244+M244+Q244+U244)))</f>
        <v/>
      </c>
      <c r="Z244" s="152">
        <f>W244-X244-Y244</f>
        <v/>
      </c>
      <c r="AA244" s="152">
        <f>IF(AD243&lt;=0.005,0,AD243*(1+AA$6))</f>
        <v/>
      </c>
      <c r="AB244" s="152">
        <f>MIN(AA244,AA$7)</f>
        <v/>
      </c>
      <c r="AC244" s="152">
        <f>MAX(0,MIN(AA244-AB244,AQ244-(E244+I244+M244+Q244+U244+Y244)))</f>
        <v/>
      </c>
      <c r="AD244" s="152">
        <f>AA244-AB244-AC244</f>
        <v/>
      </c>
      <c r="AE244" s="152">
        <f>IF(AH243&lt;=0.005,0,AH243*(1+AE$6))</f>
        <v/>
      </c>
      <c r="AF244" s="152">
        <f>MIN(AE244,AE$7)</f>
        <v/>
      </c>
      <c r="AG244" s="152">
        <f>MAX(0,MIN(AE244-AF244,AQ244-(E244+I244+M244+Q244+U244+Y244+AC244)))</f>
        <v/>
      </c>
      <c r="AH244" s="152">
        <f>AE244-AF244-AG244</f>
        <v/>
      </c>
      <c r="AI244" s="152">
        <f>IF(AL243&lt;=0.005,0,AL243*(1+AI$6))</f>
        <v/>
      </c>
      <c r="AJ244" s="152">
        <f>MIN(AI244,AI$7)</f>
        <v/>
      </c>
      <c r="AK244" s="152">
        <f>MAX(0,MIN(AI244-AJ244,AQ244-(E244+I244+M244+Q244+U244+Y244+AC244+AG244)))</f>
        <v/>
      </c>
      <c r="AL244" s="152">
        <f>AI244-AJ244-AK244</f>
        <v/>
      </c>
      <c r="AM244" s="152">
        <f>IF(AP243&lt;=0.005,0,AP243*(1+AM$6))</f>
        <v/>
      </c>
      <c r="AN244" s="152">
        <f>MIN(AM244,AM$7)</f>
        <v/>
      </c>
      <c r="AO244" s="152">
        <f>MAX(0,MIN(AM244-AN244,AQ244-(E244+I244+M244+Q244+U244+Y244+AC244+AG244+AK244)))</f>
        <v/>
      </c>
      <c r="AP244" s="152">
        <f>AM244-AN244-AO244</f>
        <v/>
      </c>
      <c r="AQ244" s="152">
        <f>'Debt Payoff'!$C$8-SUM(D244,H244,L244,P244,T244,X244,AB244,AF244,AJ244,AN244)</f>
        <v/>
      </c>
      <c r="AR244" s="152">
        <f>SUM(D244,H244,L244,P244,T244,X244,AB244,AF244,AJ244,AN244)+SUM(E244,I244,M244,Q244,U244,Y244,AC244,AG244,AK244,AO244)</f>
        <v/>
      </c>
      <c r="AS244" s="152">
        <f>SUM(F244,J244,N244,R244,V244,Z244,AD244,AH244,AL244,AP244)</f>
        <v/>
      </c>
      <c r="AT244" s="152">
        <f>IF(B244&gt;AS$6,NA(),B244)</f>
        <v/>
      </c>
      <c r="AU244" s="152">
        <f>IF(B244&gt;AS$6,NA(),AS244)</f>
        <v/>
      </c>
      <c r="AV244" s="152" t="n"/>
      <c r="AW244" s="152" t="n">
        <v>233</v>
      </c>
      <c r="AX244" s="152">
        <f>IF(BA243&lt;=0.005,0,BA243*(1+AX$6))</f>
        <v/>
      </c>
      <c r="AY244" s="152">
        <f>MIN(AX244,AX$7)</f>
        <v/>
      </c>
      <c r="AZ244" s="152">
        <f>MAX(0,MIN(AX244-AY244,CL244))</f>
        <v/>
      </c>
      <c r="BA244" s="152">
        <f>AX244-AY244-AZ244</f>
        <v/>
      </c>
      <c r="BB244" s="152">
        <f>IF(BE243&lt;=0.005,0,BE243*(1+BB$6))</f>
        <v/>
      </c>
      <c r="BC244" s="152">
        <f>MIN(BB244,BB$7)</f>
        <v/>
      </c>
      <c r="BD244" s="152">
        <f>MAX(0,MIN(BB244-BC244,CL244-(AZ244)))</f>
        <v/>
      </c>
      <c r="BE244" s="152">
        <f>BB244-BC244-BD244</f>
        <v/>
      </c>
      <c r="BF244" s="152">
        <f>IF(BI243&lt;=0.005,0,BI243*(1+BF$6))</f>
        <v/>
      </c>
      <c r="BG244" s="152">
        <f>MIN(BF244,BF$7)</f>
        <v/>
      </c>
      <c r="BH244" s="152">
        <f>MAX(0,MIN(BF244-BG244,CL244-(AZ244+BD244)))</f>
        <v/>
      </c>
      <c r="BI244" s="152">
        <f>BF244-BG244-BH244</f>
        <v/>
      </c>
      <c r="BJ244" s="152">
        <f>IF(BM243&lt;=0.005,0,BM243*(1+BJ$6))</f>
        <v/>
      </c>
      <c r="BK244" s="152">
        <f>MIN(BJ244,BJ$7)</f>
        <v/>
      </c>
      <c r="BL244" s="152">
        <f>MAX(0,MIN(BJ244-BK244,CL244-(AZ244+BD244+BH244)))</f>
        <v/>
      </c>
      <c r="BM244" s="152">
        <f>BJ244-BK244-BL244</f>
        <v/>
      </c>
      <c r="BN244" s="152">
        <f>IF(BQ243&lt;=0.005,0,BQ243*(1+BN$6))</f>
        <v/>
      </c>
      <c r="BO244" s="152">
        <f>MIN(BN244,BN$7)</f>
        <v/>
      </c>
      <c r="BP244" s="152">
        <f>MAX(0,MIN(BN244-BO244,CL244-(AZ244+BD244+BH244+BL244)))</f>
        <v/>
      </c>
      <c r="BQ244" s="152">
        <f>BN244-BO244-BP244</f>
        <v/>
      </c>
      <c r="BR244" s="152">
        <f>IF(BU243&lt;=0.005,0,BU243*(1+BR$6))</f>
        <v/>
      </c>
      <c r="BS244" s="152">
        <f>MIN(BR244,BR$7)</f>
        <v/>
      </c>
      <c r="BT244" s="152">
        <f>MAX(0,MIN(BR244-BS244,CL244-(AZ244+BD244+BH244+BL244+BP244)))</f>
        <v/>
      </c>
      <c r="BU244" s="152">
        <f>BR244-BS244-BT244</f>
        <v/>
      </c>
      <c r="BV244" s="152">
        <f>IF(BY243&lt;=0.005,0,BY243*(1+BV$6))</f>
        <v/>
      </c>
      <c r="BW244" s="152">
        <f>MIN(BV244,BV$7)</f>
        <v/>
      </c>
      <c r="BX244" s="152">
        <f>MAX(0,MIN(BV244-BW244,CL244-(AZ244+BD244+BH244+BL244+BP244+BT244)))</f>
        <v/>
      </c>
      <c r="BY244" s="152">
        <f>BV244-BW244-BX244</f>
        <v/>
      </c>
      <c r="BZ244" s="152">
        <f>IF(CC243&lt;=0.005,0,CC243*(1+BZ$6))</f>
        <v/>
      </c>
      <c r="CA244" s="152">
        <f>MIN(BZ244,BZ$7)</f>
        <v/>
      </c>
      <c r="CB244" s="152">
        <f>MAX(0,MIN(BZ244-CA244,CL244-(AZ244+BD244+BH244+BL244+BP244+BT244+BX244)))</f>
        <v/>
      </c>
      <c r="CC244" s="152">
        <f>BZ244-CA244-CB244</f>
        <v/>
      </c>
      <c r="CD244" s="152">
        <f>IF(CG243&lt;=0.005,0,CG243*(1+CD$6))</f>
        <v/>
      </c>
      <c r="CE244" s="152">
        <f>MIN(CD244,CD$7)</f>
        <v/>
      </c>
      <c r="CF244" s="152">
        <f>MAX(0,MIN(CD244-CE244,CL244-(AZ244+BD244+BH244+BL244+BP244+BT244+BX244+CB244)))</f>
        <v/>
      </c>
      <c r="CG244" s="152">
        <f>CD244-CE244-CF244</f>
        <v/>
      </c>
      <c r="CH244" s="152">
        <f>IF(CK243&lt;=0.005,0,CK243*(1+CH$6))</f>
        <v/>
      </c>
      <c r="CI244" s="152">
        <f>MIN(CH244,CH$7)</f>
        <v/>
      </c>
      <c r="CJ244" s="152">
        <f>MAX(0,MIN(CH244-CI244,CL244-(AZ244+BD244+BH244+BL244+BP244+BT244+BX244+CB244+CF244)))</f>
        <v/>
      </c>
      <c r="CK244" s="152">
        <f>CH244-CI244-CJ244</f>
        <v/>
      </c>
      <c r="CL244" s="152">
        <f>'Debt Payoff'!$C$8-SUM(AY244,BC244,BG244,BK244,BO244,BS244,BW244,CA244,CE244,CI244)</f>
        <v/>
      </c>
      <c r="CM244" s="152">
        <f>SUM(AY244,BC244,BG244,BK244,BO244,BS244,BW244,CA244,CE244,CI244)+SUM(AZ244,BD244,BH244,BL244,BP244,BT244,BX244,CB244,CF244,CJ244)</f>
        <v/>
      </c>
      <c r="CN244" s="152">
        <f>SUM(BA244,BE244,BI244,BM244,BQ244,BU244,BY244,CC244,CG244,CK244)</f>
        <v/>
      </c>
      <c r="CO244" s="152">
        <f>IF(AW244&gt;CN$6,NA(),AW244)</f>
        <v/>
      </c>
      <c r="CP244" s="152">
        <f>IF(AW244&gt;CN$6,NA(),CN244)</f>
        <v/>
      </c>
    </row>
    <row r="245">
      <c r="B245" s="152" t="n">
        <v>234</v>
      </c>
      <c r="C245" s="152">
        <f>IF(F244&lt;=0.005,0,F244*(1+C$6))</f>
        <v/>
      </c>
      <c r="D245" s="152">
        <f>MIN(C245,C$7)</f>
        <v/>
      </c>
      <c r="E245" s="152">
        <f>MAX(0,MIN(C245-D245,AQ245))</f>
        <v/>
      </c>
      <c r="F245" s="152">
        <f>C245-D245-E245</f>
        <v/>
      </c>
      <c r="G245" s="152">
        <f>IF(J244&lt;=0.005,0,J244*(1+G$6))</f>
        <v/>
      </c>
      <c r="H245" s="152">
        <f>MIN(G245,G$7)</f>
        <v/>
      </c>
      <c r="I245" s="152">
        <f>MAX(0,MIN(G245-H245,AQ245-(E245)))</f>
        <v/>
      </c>
      <c r="J245" s="152">
        <f>G245-H245-I245</f>
        <v/>
      </c>
      <c r="K245" s="152">
        <f>IF(N244&lt;=0.005,0,N244*(1+K$6))</f>
        <v/>
      </c>
      <c r="L245" s="152">
        <f>MIN(K245,K$7)</f>
        <v/>
      </c>
      <c r="M245" s="152">
        <f>MAX(0,MIN(K245-L245,AQ245-(E245+I245)))</f>
        <v/>
      </c>
      <c r="N245" s="152">
        <f>K245-L245-M245</f>
        <v/>
      </c>
      <c r="O245" s="152">
        <f>IF(R244&lt;=0.005,0,R244*(1+O$6))</f>
        <v/>
      </c>
      <c r="P245" s="152">
        <f>MIN(O245,O$7)</f>
        <v/>
      </c>
      <c r="Q245" s="152">
        <f>MAX(0,MIN(O245-P245,AQ245-(E245+I245+M245)))</f>
        <v/>
      </c>
      <c r="R245" s="152">
        <f>O245-P245-Q245</f>
        <v/>
      </c>
      <c r="S245" s="152">
        <f>IF(V244&lt;=0.005,0,V244*(1+S$6))</f>
        <v/>
      </c>
      <c r="T245" s="152">
        <f>MIN(S245,S$7)</f>
        <v/>
      </c>
      <c r="U245" s="152">
        <f>MAX(0,MIN(S245-T245,AQ245-(E245+I245+M245+Q245)))</f>
        <v/>
      </c>
      <c r="V245" s="152">
        <f>S245-T245-U245</f>
        <v/>
      </c>
      <c r="W245" s="152">
        <f>IF(Z244&lt;=0.005,0,Z244*(1+W$6))</f>
        <v/>
      </c>
      <c r="X245" s="152">
        <f>MIN(W245,W$7)</f>
        <v/>
      </c>
      <c r="Y245" s="152">
        <f>MAX(0,MIN(W245-X245,AQ245-(E245+I245+M245+Q245+U245)))</f>
        <v/>
      </c>
      <c r="Z245" s="152">
        <f>W245-X245-Y245</f>
        <v/>
      </c>
      <c r="AA245" s="152">
        <f>IF(AD244&lt;=0.005,0,AD244*(1+AA$6))</f>
        <v/>
      </c>
      <c r="AB245" s="152">
        <f>MIN(AA245,AA$7)</f>
        <v/>
      </c>
      <c r="AC245" s="152">
        <f>MAX(0,MIN(AA245-AB245,AQ245-(E245+I245+M245+Q245+U245+Y245)))</f>
        <v/>
      </c>
      <c r="AD245" s="152">
        <f>AA245-AB245-AC245</f>
        <v/>
      </c>
      <c r="AE245" s="152">
        <f>IF(AH244&lt;=0.005,0,AH244*(1+AE$6))</f>
        <v/>
      </c>
      <c r="AF245" s="152">
        <f>MIN(AE245,AE$7)</f>
        <v/>
      </c>
      <c r="AG245" s="152">
        <f>MAX(0,MIN(AE245-AF245,AQ245-(E245+I245+M245+Q245+U245+Y245+AC245)))</f>
        <v/>
      </c>
      <c r="AH245" s="152">
        <f>AE245-AF245-AG245</f>
        <v/>
      </c>
      <c r="AI245" s="152">
        <f>IF(AL244&lt;=0.005,0,AL244*(1+AI$6))</f>
        <v/>
      </c>
      <c r="AJ245" s="152">
        <f>MIN(AI245,AI$7)</f>
        <v/>
      </c>
      <c r="AK245" s="152">
        <f>MAX(0,MIN(AI245-AJ245,AQ245-(E245+I245+M245+Q245+U245+Y245+AC245+AG245)))</f>
        <v/>
      </c>
      <c r="AL245" s="152">
        <f>AI245-AJ245-AK245</f>
        <v/>
      </c>
      <c r="AM245" s="152">
        <f>IF(AP244&lt;=0.005,0,AP244*(1+AM$6))</f>
        <v/>
      </c>
      <c r="AN245" s="152">
        <f>MIN(AM245,AM$7)</f>
        <v/>
      </c>
      <c r="AO245" s="152">
        <f>MAX(0,MIN(AM245-AN245,AQ245-(E245+I245+M245+Q245+U245+Y245+AC245+AG245+AK245)))</f>
        <v/>
      </c>
      <c r="AP245" s="152">
        <f>AM245-AN245-AO245</f>
        <v/>
      </c>
      <c r="AQ245" s="152">
        <f>'Debt Payoff'!$C$8-SUM(D245,H245,L245,P245,T245,X245,AB245,AF245,AJ245,AN245)</f>
        <v/>
      </c>
      <c r="AR245" s="152">
        <f>SUM(D245,H245,L245,P245,T245,X245,AB245,AF245,AJ245,AN245)+SUM(E245,I245,M245,Q245,U245,Y245,AC245,AG245,AK245,AO245)</f>
        <v/>
      </c>
      <c r="AS245" s="152">
        <f>SUM(F245,J245,N245,R245,V245,Z245,AD245,AH245,AL245,AP245)</f>
        <v/>
      </c>
      <c r="AT245" s="152">
        <f>IF(B245&gt;AS$6,NA(),B245)</f>
        <v/>
      </c>
      <c r="AU245" s="152">
        <f>IF(B245&gt;AS$6,NA(),AS245)</f>
        <v/>
      </c>
      <c r="AV245" s="152" t="n"/>
      <c r="AW245" s="152" t="n">
        <v>234</v>
      </c>
      <c r="AX245" s="152">
        <f>IF(BA244&lt;=0.005,0,BA244*(1+AX$6))</f>
        <v/>
      </c>
      <c r="AY245" s="152">
        <f>MIN(AX245,AX$7)</f>
        <v/>
      </c>
      <c r="AZ245" s="152">
        <f>MAX(0,MIN(AX245-AY245,CL245))</f>
        <v/>
      </c>
      <c r="BA245" s="152">
        <f>AX245-AY245-AZ245</f>
        <v/>
      </c>
      <c r="BB245" s="152">
        <f>IF(BE244&lt;=0.005,0,BE244*(1+BB$6))</f>
        <v/>
      </c>
      <c r="BC245" s="152">
        <f>MIN(BB245,BB$7)</f>
        <v/>
      </c>
      <c r="BD245" s="152">
        <f>MAX(0,MIN(BB245-BC245,CL245-(AZ245)))</f>
        <v/>
      </c>
      <c r="BE245" s="152">
        <f>BB245-BC245-BD245</f>
        <v/>
      </c>
      <c r="BF245" s="152">
        <f>IF(BI244&lt;=0.005,0,BI244*(1+BF$6))</f>
        <v/>
      </c>
      <c r="BG245" s="152">
        <f>MIN(BF245,BF$7)</f>
        <v/>
      </c>
      <c r="BH245" s="152">
        <f>MAX(0,MIN(BF245-BG245,CL245-(AZ245+BD245)))</f>
        <v/>
      </c>
      <c r="BI245" s="152">
        <f>BF245-BG245-BH245</f>
        <v/>
      </c>
      <c r="BJ245" s="152">
        <f>IF(BM244&lt;=0.005,0,BM244*(1+BJ$6))</f>
        <v/>
      </c>
      <c r="BK245" s="152">
        <f>MIN(BJ245,BJ$7)</f>
        <v/>
      </c>
      <c r="BL245" s="152">
        <f>MAX(0,MIN(BJ245-BK245,CL245-(AZ245+BD245+BH245)))</f>
        <v/>
      </c>
      <c r="BM245" s="152">
        <f>BJ245-BK245-BL245</f>
        <v/>
      </c>
      <c r="BN245" s="152">
        <f>IF(BQ244&lt;=0.005,0,BQ244*(1+BN$6))</f>
        <v/>
      </c>
      <c r="BO245" s="152">
        <f>MIN(BN245,BN$7)</f>
        <v/>
      </c>
      <c r="BP245" s="152">
        <f>MAX(0,MIN(BN245-BO245,CL245-(AZ245+BD245+BH245+BL245)))</f>
        <v/>
      </c>
      <c r="BQ245" s="152">
        <f>BN245-BO245-BP245</f>
        <v/>
      </c>
      <c r="BR245" s="152">
        <f>IF(BU244&lt;=0.005,0,BU244*(1+BR$6))</f>
        <v/>
      </c>
      <c r="BS245" s="152">
        <f>MIN(BR245,BR$7)</f>
        <v/>
      </c>
      <c r="BT245" s="152">
        <f>MAX(0,MIN(BR245-BS245,CL245-(AZ245+BD245+BH245+BL245+BP245)))</f>
        <v/>
      </c>
      <c r="BU245" s="152">
        <f>BR245-BS245-BT245</f>
        <v/>
      </c>
      <c r="BV245" s="152">
        <f>IF(BY244&lt;=0.005,0,BY244*(1+BV$6))</f>
        <v/>
      </c>
      <c r="BW245" s="152">
        <f>MIN(BV245,BV$7)</f>
        <v/>
      </c>
      <c r="BX245" s="152">
        <f>MAX(0,MIN(BV245-BW245,CL245-(AZ245+BD245+BH245+BL245+BP245+BT245)))</f>
        <v/>
      </c>
      <c r="BY245" s="152">
        <f>BV245-BW245-BX245</f>
        <v/>
      </c>
      <c r="BZ245" s="152">
        <f>IF(CC244&lt;=0.005,0,CC244*(1+BZ$6))</f>
        <v/>
      </c>
      <c r="CA245" s="152">
        <f>MIN(BZ245,BZ$7)</f>
        <v/>
      </c>
      <c r="CB245" s="152">
        <f>MAX(0,MIN(BZ245-CA245,CL245-(AZ245+BD245+BH245+BL245+BP245+BT245+BX245)))</f>
        <v/>
      </c>
      <c r="CC245" s="152">
        <f>BZ245-CA245-CB245</f>
        <v/>
      </c>
      <c r="CD245" s="152">
        <f>IF(CG244&lt;=0.005,0,CG244*(1+CD$6))</f>
        <v/>
      </c>
      <c r="CE245" s="152">
        <f>MIN(CD245,CD$7)</f>
        <v/>
      </c>
      <c r="CF245" s="152">
        <f>MAX(0,MIN(CD245-CE245,CL245-(AZ245+BD245+BH245+BL245+BP245+BT245+BX245+CB245)))</f>
        <v/>
      </c>
      <c r="CG245" s="152">
        <f>CD245-CE245-CF245</f>
        <v/>
      </c>
      <c r="CH245" s="152">
        <f>IF(CK244&lt;=0.005,0,CK244*(1+CH$6))</f>
        <v/>
      </c>
      <c r="CI245" s="152">
        <f>MIN(CH245,CH$7)</f>
        <v/>
      </c>
      <c r="CJ245" s="152">
        <f>MAX(0,MIN(CH245-CI245,CL245-(AZ245+BD245+BH245+BL245+BP245+BT245+BX245+CB245+CF245)))</f>
        <v/>
      </c>
      <c r="CK245" s="152">
        <f>CH245-CI245-CJ245</f>
        <v/>
      </c>
      <c r="CL245" s="152">
        <f>'Debt Payoff'!$C$8-SUM(AY245,BC245,BG245,BK245,BO245,BS245,BW245,CA245,CE245,CI245)</f>
        <v/>
      </c>
      <c r="CM245" s="152">
        <f>SUM(AY245,BC245,BG245,BK245,BO245,BS245,BW245,CA245,CE245,CI245)+SUM(AZ245,BD245,BH245,BL245,BP245,BT245,BX245,CB245,CF245,CJ245)</f>
        <v/>
      </c>
      <c r="CN245" s="152">
        <f>SUM(BA245,BE245,BI245,BM245,BQ245,BU245,BY245,CC245,CG245,CK245)</f>
        <v/>
      </c>
      <c r="CO245" s="152">
        <f>IF(AW245&gt;CN$6,NA(),AW245)</f>
        <v/>
      </c>
      <c r="CP245" s="152">
        <f>IF(AW245&gt;CN$6,NA(),CN245)</f>
        <v/>
      </c>
    </row>
    <row r="246">
      <c r="B246" s="152" t="n">
        <v>235</v>
      </c>
      <c r="C246" s="152">
        <f>IF(F245&lt;=0.005,0,F245*(1+C$6))</f>
        <v/>
      </c>
      <c r="D246" s="152">
        <f>MIN(C246,C$7)</f>
        <v/>
      </c>
      <c r="E246" s="152">
        <f>MAX(0,MIN(C246-D246,AQ246))</f>
        <v/>
      </c>
      <c r="F246" s="152">
        <f>C246-D246-E246</f>
        <v/>
      </c>
      <c r="G246" s="152">
        <f>IF(J245&lt;=0.005,0,J245*(1+G$6))</f>
        <v/>
      </c>
      <c r="H246" s="152">
        <f>MIN(G246,G$7)</f>
        <v/>
      </c>
      <c r="I246" s="152">
        <f>MAX(0,MIN(G246-H246,AQ246-(E246)))</f>
        <v/>
      </c>
      <c r="J246" s="152">
        <f>G246-H246-I246</f>
        <v/>
      </c>
      <c r="K246" s="152">
        <f>IF(N245&lt;=0.005,0,N245*(1+K$6))</f>
        <v/>
      </c>
      <c r="L246" s="152">
        <f>MIN(K246,K$7)</f>
        <v/>
      </c>
      <c r="M246" s="152">
        <f>MAX(0,MIN(K246-L246,AQ246-(E246+I246)))</f>
        <v/>
      </c>
      <c r="N246" s="152">
        <f>K246-L246-M246</f>
        <v/>
      </c>
      <c r="O246" s="152">
        <f>IF(R245&lt;=0.005,0,R245*(1+O$6))</f>
        <v/>
      </c>
      <c r="P246" s="152">
        <f>MIN(O246,O$7)</f>
        <v/>
      </c>
      <c r="Q246" s="152">
        <f>MAX(0,MIN(O246-P246,AQ246-(E246+I246+M246)))</f>
        <v/>
      </c>
      <c r="R246" s="152">
        <f>O246-P246-Q246</f>
        <v/>
      </c>
      <c r="S246" s="152">
        <f>IF(V245&lt;=0.005,0,V245*(1+S$6))</f>
        <v/>
      </c>
      <c r="T246" s="152">
        <f>MIN(S246,S$7)</f>
        <v/>
      </c>
      <c r="U246" s="152">
        <f>MAX(0,MIN(S246-T246,AQ246-(E246+I246+M246+Q246)))</f>
        <v/>
      </c>
      <c r="V246" s="152">
        <f>S246-T246-U246</f>
        <v/>
      </c>
      <c r="W246" s="152">
        <f>IF(Z245&lt;=0.005,0,Z245*(1+W$6))</f>
        <v/>
      </c>
      <c r="X246" s="152">
        <f>MIN(W246,W$7)</f>
        <v/>
      </c>
      <c r="Y246" s="152">
        <f>MAX(0,MIN(W246-X246,AQ246-(E246+I246+M246+Q246+U246)))</f>
        <v/>
      </c>
      <c r="Z246" s="152">
        <f>W246-X246-Y246</f>
        <v/>
      </c>
      <c r="AA246" s="152">
        <f>IF(AD245&lt;=0.005,0,AD245*(1+AA$6))</f>
        <v/>
      </c>
      <c r="AB246" s="152">
        <f>MIN(AA246,AA$7)</f>
        <v/>
      </c>
      <c r="AC246" s="152">
        <f>MAX(0,MIN(AA246-AB246,AQ246-(E246+I246+M246+Q246+U246+Y246)))</f>
        <v/>
      </c>
      <c r="AD246" s="152">
        <f>AA246-AB246-AC246</f>
        <v/>
      </c>
      <c r="AE246" s="152">
        <f>IF(AH245&lt;=0.005,0,AH245*(1+AE$6))</f>
        <v/>
      </c>
      <c r="AF246" s="152">
        <f>MIN(AE246,AE$7)</f>
        <v/>
      </c>
      <c r="AG246" s="152">
        <f>MAX(0,MIN(AE246-AF246,AQ246-(E246+I246+M246+Q246+U246+Y246+AC246)))</f>
        <v/>
      </c>
      <c r="AH246" s="152">
        <f>AE246-AF246-AG246</f>
        <v/>
      </c>
      <c r="AI246" s="152">
        <f>IF(AL245&lt;=0.005,0,AL245*(1+AI$6))</f>
        <v/>
      </c>
      <c r="AJ246" s="152">
        <f>MIN(AI246,AI$7)</f>
        <v/>
      </c>
      <c r="AK246" s="152">
        <f>MAX(0,MIN(AI246-AJ246,AQ246-(E246+I246+M246+Q246+U246+Y246+AC246+AG246)))</f>
        <v/>
      </c>
      <c r="AL246" s="152">
        <f>AI246-AJ246-AK246</f>
        <v/>
      </c>
      <c r="AM246" s="152">
        <f>IF(AP245&lt;=0.005,0,AP245*(1+AM$6))</f>
        <v/>
      </c>
      <c r="AN246" s="152">
        <f>MIN(AM246,AM$7)</f>
        <v/>
      </c>
      <c r="AO246" s="152">
        <f>MAX(0,MIN(AM246-AN246,AQ246-(E246+I246+M246+Q246+U246+Y246+AC246+AG246+AK246)))</f>
        <v/>
      </c>
      <c r="AP246" s="152">
        <f>AM246-AN246-AO246</f>
        <v/>
      </c>
      <c r="AQ246" s="152">
        <f>'Debt Payoff'!$C$8-SUM(D246,H246,L246,P246,T246,X246,AB246,AF246,AJ246,AN246)</f>
        <v/>
      </c>
      <c r="AR246" s="152">
        <f>SUM(D246,H246,L246,P246,T246,X246,AB246,AF246,AJ246,AN246)+SUM(E246,I246,M246,Q246,U246,Y246,AC246,AG246,AK246,AO246)</f>
        <v/>
      </c>
      <c r="AS246" s="152">
        <f>SUM(F246,J246,N246,R246,V246,Z246,AD246,AH246,AL246,AP246)</f>
        <v/>
      </c>
      <c r="AT246" s="152">
        <f>IF(B246&gt;AS$6,NA(),B246)</f>
        <v/>
      </c>
      <c r="AU246" s="152">
        <f>IF(B246&gt;AS$6,NA(),AS246)</f>
        <v/>
      </c>
      <c r="AV246" s="152" t="n"/>
      <c r="AW246" s="152" t="n">
        <v>235</v>
      </c>
      <c r="AX246" s="152">
        <f>IF(BA245&lt;=0.005,0,BA245*(1+AX$6))</f>
        <v/>
      </c>
      <c r="AY246" s="152">
        <f>MIN(AX246,AX$7)</f>
        <v/>
      </c>
      <c r="AZ246" s="152">
        <f>MAX(0,MIN(AX246-AY246,CL246))</f>
        <v/>
      </c>
      <c r="BA246" s="152">
        <f>AX246-AY246-AZ246</f>
        <v/>
      </c>
      <c r="BB246" s="152">
        <f>IF(BE245&lt;=0.005,0,BE245*(1+BB$6))</f>
        <v/>
      </c>
      <c r="BC246" s="152">
        <f>MIN(BB246,BB$7)</f>
        <v/>
      </c>
      <c r="BD246" s="152">
        <f>MAX(0,MIN(BB246-BC246,CL246-(AZ246)))</f>
        <v/>
      </c>
      <c r="BE246" s="152">
        <f>BB246-BC246-BD246</f>
        <v/>
      </c>
      <c r="BF246" s="152">
        <f>IF(BI245&lt;=0.005,0,BI245*(1+BF$6))</f>
        <v/>
      </c>
      <c r="BG246" s="152">
        <f>MIN(BF246,BF$7)</f>
        <v/>
      </c>
      <c r="BH246" s="152">
        <f>MAX(0,MIN(BF246-BG246,CL246-(AZ246+BD246)))</f>
        <v/>
      </c>
      <c r="BI246" s="152">
        <f>BF246-BG246-BH246</f>
        <v/>
      </c>
      <c r="BJ246" s="152">
        <f>IF(BM245&lt;=0.005,0,BM245*(1+BJ$6))</f>
        <v/>
      </c>
      <c r="BK246" s="152">
        <f>MIN(BJ246,BJ$7)</f>
        <v/>
      </c>
      <c r="BL246" s="152">
        <f>MAX(0,MIN(BJ246-BK246,CL246-(AZ246+BD246+BH246)))</f>
        <v/>
      </c>
      <c r="BM246" s="152">
        <f>BJ246-BK246-BL246</f>
        <v/>
      </c>
      <c r="BN246" s="152">
        <f>IF(BQ245&lt;=0.005,0,BQ245*(1+BN$6))</f>
        <v/>
      </c>
      <c r="BO246" s="152">
        <f>MIN(BN246,BN$7)</f>
        <v/>
      </c>
      <c r="BP246" s="152">
        <f>MAX(0,MIN(BN246-BO246,CL246-(AZ246+BD246+BH246+BL246)))</f>
        <v/>
      </c>
      <c r="BQ246" s="152">
        <f>BN246-BO246-BP246</f>
        <v/>
      </c>
      <c r="BR246" s="152">
        <f>IF(BU245&lt;=0.005,0,BU245*(1+BR$6))</f>
        <v/>
      </c>
      <c r="BS246" s="152">
        <f>MIN(BR246,BR$7)</f>
        <v/>
      </c>
      <c r="BT246" s="152">
        <f>MAX(0,MIN(BR246-BS246,CL246-(AZ246+BD246+BH246+BL246+BP246)))</f>
        <v/>
      </c>
      <c r="BU246" s="152">
        <f>BR246-BS246-BT246</f>
        <v/>
      </c>
      <c r="BV246" s="152">
        <f>IF(BY245&lt;=0.005,0,BY245*(1+BV$6))</f>
        <v/>
      </c>
      <c r="BW246" s="152">
        <f>MIN(BV246,BV$7)</f>
        <v/>
      </c>
      <c r="BX246" s="152">
        <f>MAX(0,MIN(BV246-BW246,CL246-(AZ246+BD246+BH246+BL246+BP246+BT246)))</f>
        <v/>
      </c>
      <c r="BY246" s="152">
        <f>BV246-BW246-BX246</f>
        <v/>
      </c>
      <c r="BZ246" s="152">
        <f>IF(CC245&lt;=0.005,0,CC245*(1+BZ$6))</f>
        <v/>
      </c>
      <c r="CA246" s="152">
        <f>MIN(BZ246,BZ$7)</f>
        <v/>
      </c>
      <c r="CB246" s="152">
        <f>MAX(0,MIN(BZ246-CA246,CL246-(AZ246+BD246+BH246+BL246+BP246+BT246+BX246)))</f>
        <v/>
      </c>
      <c r="CC246" s="152">
        <f>BZ246-CA246-CB246</f>
        <v/>
      </c>
      <c r="CD246" s="152">
        <f>IF(CG245&lt;=0.005,0,CG245*(1+CD$6))</f>
        <v/>
      </c>
      <c r="CE246" s="152">
        <f>MIN(CD246,CD$7)</f>
        <v/>
      </c>
      <c r="CF246" s="152">
        <f>MAX(0,MIN(CD246-CE246,CL246-(AZ246+BD246+BH246+BL246+BP246+BT246+BX246+CB246)))</f>
        <v/>
      </c>
      <c r="CG246" s="152">
        <f>CD246-CE246-CF246</f>
        <v/>
      </c>
      <c r="CH246" s="152">
        <f>IF(CK245&lt;=0.005,0,CK245*(1+CH$6))</f>
        <v/>
      </c>
      <c r="CI246" s="152">
        <f>MIN(CH246,CH$7)</f>
        <v/>
      </c>
      <c r="CJ246" s="152">
        <f>MAX(0,MIN(CH246-CI246,CL246-(AZ246+BD246+BH246+BL246+BP246+BT246+BX246+CB246+CF246)))</f>
        <v/>
      </c>
      <c r="CK246" s="152">
        <f>CH246-CI246-CJ246</f>
        <v/>
      </c>
      <c r="CL246" s="152">
        <f>'Debt Payoff'!$C$8-SUM(AY246,BC246,BG246,BK246,BO246,BS246,BW246,CA246,CE246,CI246)</f>
        <v/>
      </c>
      <c r="CM246" s="152">
        <f>SUM(AY246,BC246,BG246,BK246,BO246,BS246,BW246,CA246,CE246,CI246)+SUM(AZ246,BD246,BH246,BL246,BP246,BT246,BX246,CB246,CF246,CJ246)</f>
        <v/>
      </c>
      <c r="CN246" s="152">
        <f>SUM(BA246,BE246,BI246,BM246,BQ246,BU246,BY246,CC246,CG246,CK246)</f>
        <v/>
      </c>
      <c r="CO246" s="152">
        <f>IF(AW246&gt;CN$6,NA(),AW246)</f>
        <v/>
      </c>
      <c r="CP246" s="152">
        <f>IF(AW246&gt;CN$6,NA(),CN246)</f>
        <v/>
      </c>
    </row>
    <row r="247">
      <c r="B247" s="152" t="n">
        <v>236</v>
      </c>
      <c r="C247" s="152">
        <f>IF(F246&lt;=0.005,0,F246*(1+C$6))</f>
        <v/>
      </c>
      <c r="D247" s="152">
        <f>MIN(C247,C$7)</f>
        <v/>
      </c>
      <c r="E247" s="152">
        <f>MAX(0,MIN(C247-D247,AQ247))</f>
        <v/>
      </c>
      <c r="F247" s="152">
        <f>C247-D247-E247</f>
        <v/>
      </c>
      <c r="G247" s="152">
        <f>IF(J246&lt;=0.005,0,J246*(1+G$6))</f>
        <v/>
      </c>
      <c r="H247" s="152">
        <f>MIN(G247,G$7)</f>
        <v/>
      </c>
      <c r="I247" s="152">
        <f>MAX(0,MIN(G247-H247,AQ247-(E247)))</f>
        <v/>
      </c>
      <c r="J247" s="152">
        <f>G247-H247-I247</f>
        <v/>
      </c>
      <c r="K247" s="152">
        <f>IF(N246&lt;=0.005,0,N246*(1+K$6))</f>
        <v/>
      </c>
      <c r="L247" s="152">
        <f>MIN(K247,K$7)</f>
        <v/>
      </c>
      <c r="M247" s="152">
        <f>MAX(0,MIN(K247-L247,AQ247-(E247+I247)))</f>
        <v/>
      </c>
      <c r="N247" s="152">
        <f>K247-L247-M247</f>
        <v/>
      </c>
      <c r="O247" s="152">
        <f>IF(R246&lt;=0.005,0,R246*(1+O$6))</f>
        <v/>
      </c>
      <c r="P247" s="152">
        <f>MIN(O247,O$7)</f>
        <v/>
      </c>
      <c r="Q247" s="152">
        <f>MAX(0,MIN(O247-P247,AQ247-(E247+I247+M247)))</f>
        <v/>
      </c>
      <c r="R247" s="152">
        <f>O247-P247-Q247</f>
        <v/>
      </c>
      <c r="S247" s="152">
        <f>IF(V246&lt;=0.005,0,V246*(1+S$6))</f>
        <v/>
      </c>
      <c r="T247" s="152">
        <f>MIN(S247,S$7)</f>
        <v/>
      </c>
      <c r="U247" s="152">
        <f>MAX(0,MIN(S247-T247,AQ247-(E247+I247+M247+Q247)))</f>
        <v/>
      </c>
      <c r="V247" s="152">
        <f>S247-T247-U247</f>
        <v/>
      </c>
      <c r="W247" s="152">
        <f>IF(Z246&lt;=0.005,0,Z246*(1+W$6))</f>
        <v/>
      </c>
      <c r="X247" s="152">
        <f>MIN(W247,W$7)</f>
        <v/>
      </c>
      <c r="Y247" s="152">
        <f>MAX(0,MIN(W247-X247,AQ247-(E247+I247+M247+Q247+U247)))</f>
        <v/>
      </c>
      <c r="Z247" s="152">
        <f>W247-X247-Y247</f>
        <v/>
      </c>
      <c r="AA247" s="152">
        <f>IF(AD246&lt;=0.005,0,AD246*(1+AA$6))</f>
        <v/>
      </c>
      <c r="AB247" s="152">
        <f>MIN(AA247,AA$7)</f>
        <v/>
      </c>
      <c r="AC247" s="152">
        <f>MAX(0,MIN(AA247-AB247,AQ247-(E247+I247+M247+Q247+U247+Y247)))</f>
        <v/>
      </c>
      <c r="AD247" s="152">
        <f>AA247-AB247-AC247</f>
        <v/>
      </c>
      <c r="AE247" s="152">
        <f>IF(AH246&lt;=0.005,0,AH246*(1+AE$6))</f>
        <v/>
      </c>
      <c r="AF247" s="152">
        <f>MIN(AE247,AE$7)</f>
        <v/>
      </c>
      <c r="AG247" s="152">
        <f>MAX(0,MIN(AE247-AF247,AQ247-(E247+I247+M247+Q247+U247+Y247+AC247)))</f>
        <v/>
      </c>
      <c r="AH247" s="152">
        <f>AE247-AF247-AG247</f>
        <v/>
      </c>
      <c r="AI247" s="152">
        <f>IF(AL246&lt;=0.005,0,AL246*(1+AI$6))</f>
        <v/>
      </c>
      <c r="AJ247" s="152">
        <f>MIN(AI247,AI$7)</f>
        <v/>
      </c>
      <c r="AK247" s="152">
        <f>MAX(0,MIN(AI247-AJ247,AQ247-(E247+I247+M247+Q247+U247+Y247+AC247+AG247)))</f>
        <v/>
      </c>
      <c r="AL247" s="152">
        <f>AI247-AJ247-AK247</f>
        <v/>
      </c>
      <c r="AM247" s="152">
        <f>IF(AP246&lt;=0.005,0,AP246*(1+AM$6))</f>
        <v/>
      </c>
      <c r="AN247" s="152">
        <f>MIN(AM247,AM$7)</f>
        <v/>
      </c>
      <c r="AO247" s="152">
        <f>MAX(0,MIN(AM247-AN247,AQ247-(E247+I247+M247+Q247+U247+Y247+AC247+AG247+AK247)))</f>
        <v/>
      </c>
      <c r="AP247" s="152">
        <f>AM247-AN247-AO247</f>
        <v/>
      </c>
      <c r="AQ247" s="152">
        <f>'Debt Payoff'!$C$8-SUM(D247,H247,L247,P247,T247,X247,AB247,AF247,AJ247,AN247)</f>
        <v/>
      </c>
      <c r="AR247" s="152">
        <f>SUM(D247,H247,L247,P247,T247,X247,AB247,AF247,AJ247,AN247)+SUM(E247,I247,M247,Q247,U247,Y247,AC247,AG247,AK247,AO247)</f>
        <v/>
      </c>
      <c r="AS247" s="152">
        <f>SUM(F247,J247,N247,R247,V247,Z247,AD247,AH247,AL247,AP247)</f>
        <v/>
      </c>
      <c r="AT247" s="152">
        <f>IF(B247&gt;AS$6,NA(),B247)</f>
        <v/>
      </c>
      <c r="AU247" s="152">
        <f>IF(B247&gt;AS$6,NA(),AS247)</f>
        <v/>
      </c>
      <c r="AV247" s="152" t="n"/>
      <c r="AW247" s="152" t="n">
        <v>236</v>
      </c>
      <c r="AX247" s="152">
        <f>IF(BA246&lt;=0.005,0,BA246*(1+AX$6))</f>
        <v/>
      </c>
      <c r="AY247" s="152">
        <f>MIN(AX247,AX$7)</f>
        <v/>
      </c>
      <c r="AZ247" s="152">
        <f>MAX(0,MIN(AX247-AY247,CL247))</f>
        <v/>
      </c>
      <c r="BA247" s="152">
        <f>AX247-AY247-AZ247</f>
        <v/>
      </c>
      <c r="BB247" s="152">
        <f>IF(BE246&lt;=0.005,0,BE246*(1+BB$6))</f>
        <v/>
      </c>
      <c r="BC247" s="152">
        <f>MIN(BB247,BB$7)</f>
        <v/>
      </c>
      <c r="BD247" s="152">
        <f>MAX(0,MIN(BB247-BC247,CL247-(AZ247)))</f>
        <v/>
      </c>
      <c r="BE247" s="152">
        <f>BB247-BC247-BD247</f>
        <v/>
      </c>
      <c r="BF247" s="152">
        <f>IF(BI246&lt;=0.005,0,BI246*(1+BF$6))</f>
        <v/>
      </c>
      <c r="BG247" s="152">
        <f>MIN(BF247,BF$7)</f>
        <v/>
      </c>
      <c r="BH247" s="152">
        <f>MAX(0,MIN(BF247-BG247,CL247-(AZ247+BD247)))</f>
        <v/>
      </c>
      <c r="BI247" s="152">
        <f>BF247-BG247-BH247</f>
        <v/>
      </c>
      <c r="BJ247" s="152">
        <f>IF(BM246&lt;=0.005,0,BM246*(1+BJ$6))</f>
        <v/>
      </c>
      <c r="BK247" s="152">
        <f>MIN(BJ247,BJ$7)</f>
        <v/>
      </c>
      <c r="BL247" s="152">
        <f>MAX(0,MIN(BJ247-BK247,CL247-(AZ247+BD247+BH247)))</f>
        <v/>
      </c>
      <c r="BM247" s="152">
        <f>BJ247-BK247-BL247</f>
        <v/>
      </c>
      <c r="BN247" s="152">
        <f>IF(BQ246&lt;=0.005,0,BQ246*(1+BN$6))</f>
        <v/>
      </c>
      <c r="BO247" s="152">
        <f>MIN(BN247,BN$7)</f>
        <v/>
      </c>
      <c r="BP247" s="152">
        <f>MAX(0,MIN(BN247-BO247,CL247-(AZ247+BD247+BH247+BL247)))</f>
        <v/>
      </c>
      <c r="BQ247" s="152">
        <f>BN247-BO247-BP247</f>
        <v/>
      </c>
      <c r="BR247" s="152">
        <f>IF(BU246&lt;=0.005,0,BU246*(1+BR$6))</f>
        <v/>
      </c>
      <c r="BS247" s="152">
        <f>MIN(BR247,BR$7)</f>
        <v/>
      </c>
      <c r="BT247" s="152">
        <f>MAX(0,MIN(BR247-BS247,CL247-(AZ247+BD247+BH247+BL247+BP247)))</f>
        <v/>
      </c>
      <c r="BU247" s="152">
        <f>BR247-BS247-BT247</f>
        <v/>
      </c>
      <c r="BV247" s="152">
        <f>IF(BY246&lt;=0.005,0,BY246*(1+BV$6))</f>
        <v/>
      </c>
      <c r="BW247" s="152">
        <f>MIN(BV247,BV$7)</f>
        <v/>
      </c>
      <c r="BX247" s="152">
        <f>MAX(0,MIN(BV247-BW247,CL247-(AZ247+BD247+BH247+BL247+BP247+BT247)))</f>
        <v/>
      </c>
      <c r="BY247" s="152">
        <f>BV247-BW247-BX247</f>
        <v/>
      </c>
      <c r="BZ247" s="152">
        <f>IF(CC246&lt;=0.005,0,CC246*(1+BZ$6))</f>
        <v/>
      </c>
      <c r="CA247" s="152">
        <f>MIN(BZ247,BZ$7)</f>
        <v/>
      </c>
      <c r="CB247" s="152">
        <f>MAX(0,MIN(BZ247-CA247,CL247-(AZ247+BD247+BH247+BL247+BP247+BT247+BX247)))</f>
        <v/>
      </c>
      <c r="CC247" s="152">
        <f>BZ247-CA247-CB247</f>
        <v/>
      </c>
      <c r="CD247" s="152">
        <f>IF(CG246&lt;=0.005,0,CG246*(1+CD$6))</f>
        <v/>
      </c>
      <c r="CE247" s="152">
        <f>MIN(CD247,CD$7)</f>
        <v/>
      </c>
      <c r="CF247" s="152">
        <f>MAX(0,MIN(CD247-CE247,CL247-(AZ247+BD247+BH247+BL247+BP247+BT247+BX247+CB247)))</f>
        <v/>
      </c>
      <c r="CG247" s="152">
        <f>CD247-CE247-CF247</f>
        <v/>
      </c>
      <c r="CH247" s="152">
        <f>IF(CK246&lt;=0.005,0,CK246*(1+CH$6))</f>
        <v/>
      </c>
      <c r="CI247" s="152">
        <f>MIN(CH247,CH$7)</f>
        <v/>
      </c>
      <c r="CJ247" s="152">
        <f>MAX(0,MIN(CH247-CI247,CL247-(AZ247+BD247+BH247+BL247+BP247+BT247+BX247+CB247+CF247)))</f>
        <v/>
      </c>
      <c r="CK247" s="152">
        <f>CH247-CI247-CJ247</f>
        <v/>
      </c>
      <c r="CL247" s="152">
        <f>'Debt Payoff'!$C$8-SUM(AY247,BC247,BG247,BK247,BO247,BS247,BW247,CA247,CE247,CI247)</f>
        <v/>
      </c>
      <c r="CM247" s="152">
        <f>SUM(AY247,BC247,BG247,BK247,BO247,BS247,BW247,CA247,CE247,CI247)+SUM(AZ247,BD247,BH247,BL247,BP247,BT247,BX247,CB247,CF247,CJ247)</f>
        <v/>
      </c>
      <c r="CN247" s="152">
        <f>SUM(BA247,BE247,BI247,BM247,BQ247,BU247,BY247,CC247,CG247,CK247)</f>
        <v/>
      </c>
      <c r="CO247" s="152">
        <f>IF(AW247&gt;CN$6,NA(),AW247)</f>
        <v/>
      </c>
      <c r="CP247" s="152">
        <f>IF(AW247&gt;CN$6,NA(),CN247)</f>
        <v/>
      </c>
    </row>
    <row r="248">
      <c r="B248" s="152" t="n">
        <v>237</v>
      </c>
      <c r="C248" s="152">
        <f>IF(F247&lt;=0.005,0,F247*(1+C$6))</f>
        <v/>
      </c>
      <c r="D248" s="152">
        <f>MIN(C248,C$7)</f>
        <v/>
      </c>
      <c r="E248" s="152">
        <f>MAX(0,MIN(C248-D248,AQ248))</f>
        <v/>
      </c>
      <c r="F248" s="152">
        <f>C248-D248-E248</f>
        <v/>
      </c>
      <c r="G248" s="152">
        <f>IF(J247&lt;=0.005,0,J247*(1+G$6))</f>
        <v/>
      </c>
      <c r="H248" s="152">
        <f>MIN(G248,G$7)</f>
        <v/>
      </c>
      <c r="I248" s="152">
        <f>MAX(0,MIN(G248-H248,AQ248-(E248)))</f>
        <v/>
      </c>
      <c r="J248" s="152">
        <f>G248-H248-I248</f>
        <v/>
      </c>
      <c r="K248" s="152">
        <f>IF(N247&lt;=0.005,0,N247*(1+K$6))</f>
        <v/>
      </c>
      <c r="L248" s="152">
        <f>MIN(K248,K$7)</f>
        <v/>
      </c>
      <c r="M248" s="152">
        <f>MAX(0,MIN(K248-L248,AQ248-(E248+I248)))</f>
        <v/>
      </c>
      <c r="N248" s="152">
        <f>K248-L248-M248</f>
        <v/>
      </c>
      <c r="O248" s="152">
        <f>IF(R247&lt;=0.005,0,R247*(1+O$6))</f>
        <v/>
      </c>
      <c r="P248" s="152">
        <f>MIN(O248,O$7)</f>
        <v/>
      </c>
      <c r="Q248" s="152">
        <f>MAX(0,MIN(O248-P248,AQ248-(E248+I248+M248)))</f>
        <v/>
      </c>
      <c r="R248" s="152">
        <f>O248-P248-Q248</f>
        <v/>
      </c>
      <c r="S248" s="152">
        <f>IF(V247&lt;=0.005,0,V247*(1+S$6))</f>
        <v/>
      </c>
      <c r="T248" s="152">
        <f>MIN(S248,S$7)</f>
        <v/>
      </c>
      <c r="U248" s="152">
        <f>MAX(0,MIN(S248-T248,AQ248-(E248+I248+M248+Q248)))</f>
        <v/>
      </c>
      <c r="V248" s="152">
        <f>S248-T248-U248</f>
        <v/>
      </c>
      <c r="W248" s="152">
        <f>IF(Z247&lt;=0.005,0,Z247*(1+W$6))</f>
        <v/>
      </c>
      <c r="X248" s="152">
        <f>MIN(W248,W$7)</f>
        <v/>
      </c>
      <c r="Y248" s="152">
        <f>MAX(0,MIN(W248-X248,AQ248-(E248+I248+M248+Q248+U248)))</f>
        <v/>
      </c>
      <c r="Z248" s="152">
        <f>W248-X248-Y248</f>
        <v/>
      </c>
      <c r="AA248" s="152">
        <f>IF(AD247&lt;=0.005,0,AD247*(1+AA$6))</f>
        <v/>
      </c>
      <c r="AB248" s="152">
        <f>MIN(AA248,AA$7)</f>
        <v/>
      </c>
      <c r="AC248" s="152">
        <f>MAX(0,MIN(AA248-AB248,AQ248-(E248+I248+M248+Q248+U248+Y248)))</f>
        <v/>
      </c>
      <c r="AD248" s="152">
        <f>AA248-AB248-AC248</f>
        <v/>
      </c>
      <c r="AE248" s="152">
        <f>IF(AH247&lt;=0.005,0,AH247*(1+AE$6))</f>
        <v/>
      </c>
      <c r="AF248" s="152">
        <f>MIN(AE248,AE$7)</f>
        <v/>
      </c>
      <c r="AG248" s="152">
        <f>MAX(0,MIN(AE248-AF248,AQ248-(E248+I248+M248+Q248+U248+Y248+AC248)))</f>
        <v/>
      </c>
      <c r="AH248" s="152">
        <f>AE248-AF248-AG248</f>
        <v/>
      </c>
      <c r="AI248" s="152">
        <f>IF(AL247&lt;=0.005,0,AL247*(1+AI$6))</f>
        <v/>
      </c>
      <c r="AJ248" s="152">
        <f>MIN(AI248,AI$7)</f>
        <v/>
      </c>
      <c r="AK248" s="152">
        <f>MAX(0,MIN(AI248-AJ248,AQ248-(E248+I248+M248+Q248+U248+Y248+AC248+AG248)))</f>
        <v/>
      </c>
      <c r="AL248" s="152">
        <f>AI248-AJ248-AK248</f>
        <v/>
      </c>
      <c r="AM248" s="152">
        <f>IF(AP247&lt;=0.005,0,AP247*(1+AM$6))</f>
        <v/>
      </c>
      <c r="AN248" s="152">
        <f>MIN(AM248,AM$7)</f>
        <v/>
      </c>
      <c r="AO248" s="152">
        <f>MAX(0,MIN(AM248-AN248,AQ248-(E248+I248+M248+Q248+U248+Y248+AC248+AG248+AK248)))</f>
        <v/>
      </c>
      <c r="AP248" s="152">
        <f>AM248-AN248-AO248</f>
        <v/>
      </c>
      <c r="AQ248" s="152">
        <f>'Debt Payoff'!$C$8-SUM(D248,H248,L248,P248,T248,X248,AB248,AF248,AJ248,AN248)</f>
        <v/>
      </c>
      <c r="AR248" s="152">
        <f>SUM(D248,H248,L248,P248,T248,X248,AB248,AF248,AJ248,AN248)+SUM(E248,I248,M248,Q248,U248,Y248,AC248,AG248,AK248,AO248)</f>
        <v/>
      </c>
      <c r="AS248" s="152">
        <f>SUM(F248,J248,N248,R248,V248,Z248,AD248,AH248,AL248,AP248)</f>
        <v/>
      </c>
      <c r="AT248" s="152">
        <f>IF(B248&gt;AS$6,NA(),B248)</f>
        <v/>
      </c>
      <c r="AU248" s="152">
        <f>IF(B248&gt;AS$6,NA(),AS248)</f>
        <v/>
      </c>
      <c r="AV248" s="152" t="n"/>
      <c r="AW248" s="152" t="n">
        <v>237</v>
      </c>
      <c r="AX248" s="152">
        <f>IF(BA247&lt;=0.005,0,BA247*(1+AX$6))</f>
        <v/>
      </c>
      <c r="AY248" s="152">
        <f>MIN(AX248,AX$7)</f>
        <v/>
      </c>
      <c r="AZ248" s="152">
        <f>MAX(0,MIN(AX248-AY248,CL248))</f>
        <v/>
      </c>
      <c r="BA248" s="152">
        <f>AX248-AY248-AZ248</f>
        <v/>
      </c>
      <c r="BB248" s="152">
        <f>IF(BE247&lt;=0.005,0,BE247*(1+BB$6))</f>
        <v/>
      </c>
      <c r="BC248" s="152">
        <f>MIN(BB248,BB$7)</f>
        <v/>
      </c>
      <c r="BD248" s="152">
        <f>MAX(0,MIN(BB248-BC248,CL248-(AZ248)))</f>
        <v/>
      </c>
      <c r="BE248" s="152">
        <f>BB248-BC248-BD248</f>
        <v/>
      </c>
      <c r="BF248" s="152">
        <f>IF(BI247&lt;=0.005,0,BI247*(1+BF$6))</f>
        <v/>
      </c>
      <c r="BG248" s="152">
        <f>MIN(BF248,BF$7)</f>
        <v/>
      </c>
      <c r="BH248" s="152">
        <f>MAX(0,MIN(BF248-BG248,CL248-(AZ248+BD248)))</f>
        <v/>
      </c>
      <c r="BI248" s="152">
        <f>BF248-BG248-BH248</f>
        <v/>
      </c>
      <c r="BJ248" s="152">
        <f>IF(BM247&lt;=0.005,0,BM247*(1+BJ$6))</f>
        <v/>
      </c>
      <c r="BK248" s="152">
        <f>MIN(BJ248,BJ$7)</f>
        <v/>
      </c>
      <c r="BL248" s="152">
        <f>MAX(0,MIN(BJ248-BK248,CL248-(AZ248+BD248+BH248)))</f>
        <v/>
      </c>
      <c r="BM248" s="152">
        <f>BJ248-BK248-BL248</f>
        <v/>
      </c>
      <c r="BN248" s="152">
        <f>IF(BQ247&lt;=0.005,0,BQ247*(1+BN$6))</f>
        <v/>
      </c>
      <c r="BO248" s="152">
        <f>MIN(BN248,BN$7)</f>
        <v/>
      </c>
      <c r="BP248" s="152">
        <f>MAX(0,MIN(BN248-BO248,CL248-(AZ248+BD248+BH248+BL248)))</f>
        <v/>
      </c>
      <c r="BQ248" s="152">
        <f>BN248-BO248-BP248</f>
        <v/>
      </c>
      <c r="BR248" s="152">
        <f>IF(BU247&lt;=0.005,0,BU247*(1+BR$6))</f>
        <v/>
      </c>
      <c r="BS248" s="152">
        <f>MIN(BR248,BR$7)</f>
        <v/>
      </c>
      <c r="BT248" s="152">
        <f>MAX(0,MIN(BR248-BS248,CL248-(AZ248+BD248+BH248+BL248+BP248)))</f>
        <v/>
      </c>
      <c r="BU248" s="152">
        <f>BR248-BS248-BT248</f>
        <v/>
      </c>
      <c r="BV248" s="152">
        <f>IF(BY247&lt;=0.005,0,BY247*(1+BV$6))</f>
        <v/>
      </c>
      <c r="BW248" s="152">
        <f>MIN(BV248,BV$7)</f>
        <v/>
      </c>
      <c r="BX248" s="152">
        <f>MAX(0,MIN(BV248-BW248,CL248-(AZ248+BD248+BH248+BL248+BP248+BT248)))</f>
        <v/>
      </c>
      <c r="BY248" s="152">
        <f>BV248-BW248-BX248</f>
        <v/>
      </c>
      <c r="BZ248" s="152">
        <f>IF(CC247&lt;=0.005,0,CC247*(1+BZ$6))</f>
        <v/>
      </c>
      <c r="CA248" s="152">
        <f>MIN(BZ248,BZ$7)</f>
        <v/>
      </c>
      <c r="CB248" s="152">
        <f>MAX(0,MIN(BZ248-CA248,CL248-(AZ248+BD248+BH248+BL248+BP248+BT248+BX248)))</f>
        <v/>
      </c>
      <c r="CC248" s="152">
        <f>BZ248-CA248-CB248</f>
        <v/>
      </c>
      <c r="CD248" s="152">
        <f>IF(CG247&lt;=0.005,0,CG247*(1+CD$6))</f>
        <v/>
      </c>
      <c r="CE248" s="152">
        <f>MIN(CD248,CD$7)</f>
        <v/>
      </c>
      <c r="CF248" s="152">
        <f>MAX(0,MIN(CD248-CE248,CL248-(AZ248+BD248+BH248+BL248+BP248+BT248+BX248+CB248)))</f>
        <v/>
      </c>
      <c r="CG248" s="152">
        <f>CD248-CE248-CF248</f>
        <v/>
      </c>
      <c r="CH248" s="152">
        <f>IF(CK247&lt;=0.005,0,CK247*(1+CH$6))</f>
        <v/>
      </c>
      <c r="CI248" s="152">
        <f>MIN(CH248,CH$7)</f>
        <v/>
      </c>
      <c r="CJ248" s="152">
        <f>MAX(0,MIN(CH248-CI248,CL248-(AZ248+BD248+BH248+BL248+BP248+BT248+BX248+CB248+CF248)))</f>
        <v/>
      </c>
      <c r="CK248" s="152">
        <f>CH248-CI248-CJ248</f>
        <v/>
      </c>
      <c r="CL248" s="152">
        <f>'Debt Payoff'!$C$8-SUM(AY248,BC248,BG248,BK248,BO248,BS248,BW248,CA248,CE248,CI248)</f>
        <v/>
      </c>
      <c r="CM248" s="152">
        <f>SUM(AY248,BC248,BG248,BK248,BO248,BS248,BW248,CA248,CE248,CI248)+SUM(AZ248,BD248,BH248,BL248,BP248,BT248,BX248,CB248,CF248,CJ248)</f>
        <v/>
      </c>
      <c r="CN248" s="152">
        <f>SUM(BA248,BE248,BI248,BM248,BQ248,BU248,BY248,CC248,CG248,CK248)</f>
        <v/>
      </c>
      <c r="CO248" s="152">
        <f>IF(AW248&gt;CN$6,NA(),AW248)</f>
        <v/>
      </c>
      <c r="CP248" s="152">
        <f>IF(AW248&gt;CN$6,NA(),CN248)</f>
        <v/>
      </c>
    </row>
    <row r="249">
      <c r="B249" s="152" t="n">
        <v>238</v>
      </c>
      <c r="C249" s="152">
        <f>IF(F248&lt;=0.005,0,F248*(1+C$6))</f>
        <v/>
      </c>
      <c r="D249" s="152">
        <f>MIN(C249,C$7)</f>
        <v/>
      </c>
      <c r="E249" s="152">
        <f>MAX(0,MIN(C249-D249,AQ249))</f>
        <v/>
      </c>
      <c r="F249" s="152">
        <f>C249-D249-E249</f>
        <v/>
      </c>
      <c r="G249" s="152">
        <f>IF(J248&lt;=0.005,0,J248*(1+G$6))</f>
        <v/>
      </c>
      <c r="H249" s="152">
        <f>MIN(G249,G$7)</f>
        <v/>
      </c>
      <c r="I249" s="152">
        <f>MAX(0,MIN(G249-H249,AQ249-(E249)))</f>
        <v/>
      </c>
      <c r="J249" s="152">
        <f>G249-H249-I249</f>
        <v/>
      </c>
      <c r="K249" s="152">
        <f>IF(N248&lt;=0.005,0,N248*(1+K$6))</f>
        <v/>
      </c>
      <c r="L249" s="152">
        <f>MIN(K249,K$7)</f>
        <v/>
      </c>
      <c r="M249" s="152">
        <f>MAX(0,MIN(K249-L249,AQ249-(E249+I249)))</f>
        <v/>
      </c>
      <c r="N249" s="152">
        <f>K249-L249-M249</f>
        <v/>
      </c>
      <c r="O249" s="152">
        <f>IF(R248&lt;=0.005,0,R248*(1+O$6))</f>
        <v/>
      </c>
      <c r="P249" s="152">
        <f>MIN(O249,O$7)</f>
        <v/>
      </c>
      <c r="Q249" s="152">
        <f>MAX(0,MIN(O249-P249,AQ249-(E249+I249+M249)))</f>
        <v/>
      </c>
      <c r="R249" s="152">
        <f>O249-P249-Q249</f>
        <v/>
      </c>
      <c r="S249" s="152">
        <f>IF(V248&lt;=0.005,0,V248*(1+S$6))</f>
        <v/>
      </c>
      <c r="T249" s="152">
        <f>MIN(S249,S$7)</f>
        <v/>
      </c>
      <c r="U249" s="152">
        <f>MAX(0,MIN(S249-T249,AQ249-(E249+I249+M249+Q249)))</f>
        <v/>
      </c>
      <c r="V249" s="152">
        <f>S249-T249-U249</f>
        <v/>
      </c>
      <c r="W249" s="152">
        <f>IF(Z248&lt;=0.005,0,Z248*(1+W$6))</f>
        <v/>
      </c>
      <c r="X249" s="152">
        <f>MIN(W249,W$7)</f>
        <v/>
      </c>
      <c r="Y249" s="152">
        <f>MAX(0,MIN(W249-X249,AQ249-(E249+I249+M249+Q249+U249)))</f>
        <v/>
      </c>
      <c r="Z249" s="152">
        <f>W249-X249-Y249</f>
        <v/>
      </c>
      <c r="AA249" s="152">
        <f>IF(AD248&lt;=0.005,0,AD248*(1+AA$6))</f>
        <v/>
      </c>
      <c r="AB249" s="152">
        <f>MIN(AA249,AA$7)</f>
        <v/>
      </c>
      <c r="AC249" s="152">
        <f>MAX(0,MIN(AA249-AB249,AQ249-(E249+I249+M249+Q249+U249+Y249)))</f>
        <v/>
      </c>
      <c r="AD249" s="152">
        <f>AA249-AB249-AC249</f>
        <v/>
      </c>
      <c r="AE249" s="152">
        <f>IF(AH248&lt;=0.005,0,AH248*(1+AE$6))</f>
        <v/>
      </c>
      <c r="AF249" s="152">
        <f>MIN(AE249,AE$7)</f>
        <v/>
      </c>
      <c r="AG249" s="152">
        <f>MAX(0,MIN(AE249-AF249,AQ249-(E249+I249+M249+Q249+U249+Y249+AC249)))</f>
        <v/>
      </c>
      <c r="AH249" s="152">
        <f>AE249-AF249-AG249</f>
        <v/>
      </c>
      <c r="AI249" s="152">
        <f>IF(AL248&lt;=0.005,0,AL248*(1+AI$6))</f>
        <v/>
      </c>
      <c r="AJ249" s="152">
        <f>MIN(AI249,AI$7)</f>
        <v/>
      </c>
      <c r="AK249" s="152">
        <f>MAX(0,MIN(AI249-AJ249,AQ249-(E249+I249+M249+Q249+U249+Y249+AC249+AG249)))</f>
        <v/>
      </c>
      <c r="AL249" s="152">
        <f>AI249-AJ249-AK249</f>
        <v/>
      </c>
      <c r="AM249" s="152">
        <f>IF(AP248&lt;=0.005,0,AP248*(1+AM$6))</f>
        <v/>
      </c>
      <c r="AN249" s="152">
        <f>MIN(AM249,AM$7)</f>
        <v/>
      </c>
      <c r="AO249" s="152">
        <f>MAX(0,MIN(AM249-AN249,AQ249-(E249+I249+M249+Q249+U249+Y249+AC249+AG249+AK249)))</f>
        <v/>
      </c>
      <c r="AP249" s="152">
        <f>AM249-AN249-AO249</f>
        <v/>
      </c>
      <c r="AQ249" s="152">
        <f>'Debt Payoff'!$C$8-SUM(D249,H249,L249,P249,T249,X249,AB249,AF249,AJ249,AN249)</f>
        <v/>
      </c>
      <c r="AR249" s="152">
        <f>SUM(D249,H249,L249,P249,T249,X249,AB249,AF249,AJ249,AN249)+SUM(E249,I249,M249,Q249,U249,Y249,AC249,AG249,AK249,AO249)</f>
        <v/>
      </c>
      <c r="AS249" s="152">
        <f>SUM(F249,J249,N249,R249,V249,Z249,AD249,AH249,AL249,AP249)</f>
        <v/>
      </c>
      <c r="AT249" s="152">
        <f>IF(B249&gt;AS$6,NA(),B249)</f>
        <v/>
      </c>
      <c r="AU249" s="152">
        <f>IF(B249&gt;AS$6,NA(),AS249)</f>
        <v/>
      </c>
      <c r="AV249" s="152" t="n"/>
      <c r="AW249" s="152" t="n">
        <v>238</v>
      </c>
      <c r="AX249" s="152">
        <f>IF(BA248&lt;=0.005,0,BA248*(1+AX$6))</f>
        <v/>
      </c>
      <c r="AY249" s="152">
        <f>MIN(AX249,AX$7)</f>
        <v/>
      </c>
      <c r="AZ249" s="152">
        <f>MAX(0,MIN(AX249-AY249,CL249))</f>
        <v/>
      </c>
      <c r="BA249" s="152">
        <f>AX249-AY249-AZ249</f>
        <v/>
      </c>
      <c r="BB249" s="152">
        <f>IF(BE248&lt;=0.005,0,BE248*(1+BB$6))</f>
        <v/>
      </c>
      <c r="BC249" s="152">
        <f>MIN(BB249,BB$7)</f>
        <v/>
      </c>
      <c r="BD249" s="152">
        <f>MAX(0,MIN(BB249-BC249,CL249-(AZ249)))</f>
        <v/>
      </c>
      <c r="BE249" s="152">
        <f>BB249-BC249-BD249</f>
        <v/>
      </c>
      <c r="BF249" s="152">
        <f>IF(BI248&lt;=0.005,0,BI248*(1+BF$6))</f>
        <v/>
      </c>
      <c r="BG249" s="152">
        <f>MIN(BF249,BF$7)</f>
        <v/>
      </c>
      <c r="BH249" s="152">
        <f>MAX(0,MIN(BF249-BG249,CL249-(AZ249+BD249)))</f>
        <v/>
      </c>
      <c r="BI249" s="152">
        <f>BF249-BG249-BH249</f>
        <v/>
      </c>
      <c r="BJ249" s="152">
        <f>IF(BM248&lt;=0.005,0,BM248*(1+BJ$6))</f>
        <v/>
      </c>
      <c r="BK249" s="152">
        <f>MIN(BJ249,BJ$7)</f>
        <v/>
      </c>
      <c r="BL249" s="152">
        <f>MAX(0,MIN(BJ249-BK249,CL249-(AZ249+BD249+BH249)))</f>
        <v/>
      </c>
      <c r="BM249" s="152">
        <f>BJ249-BK249-BL249</f>
        <v/>
      </c>
      <c r="BN249" s="152">
        <f>IF(BQ248&lt;=0.005,0,BQ248*(1+BN$6))</f>
        <v/>
      </c>
      <c r="BO249" s="152">
        <f>MIN(BN249,BN$7)</f>
        <v/>
      </c>
      <c r="BP249" s="152">
        <f>MAX(0,MIN(BN249-BO249,CL249-(AZ249+BD249+BH249+BL249)))</f>
        <v/>
      </c>
      <c r="BQ249" s="152">
        <f>BN249-BO249-BP249</f>
        <v/>
      </c>
      <c r="BR249" s="152">
        <f>IF(BU248&lt;=0.005,0,BU248*(1+BR$6))</f>
        <v/>
      </c>
      <c r="BS249" s="152">
        <f>MIN(BR249,BR$7)</f>
        <v/>
      </c>
      <c r="BT249" s="152">
        <f>MAX(0,MIN(BR249-BS249,CL249-(AZ249+BD249+BH249+BL249+BP249)))</f>
        <v/>
      </c>
      <c r="BU249" s="152">
        <f>BR249-BS249-BT249</f>
        <v/>
      </c>
      <c r="BV249" s="152">
        <f>IF(BY248&lt;=0.005,0,BY248*(1+BV$6))</f>
        <v/>
      </c>
      <c r="BW249" s="152">
        <f>MIN(BV249,BV$7)</f>
        <v/>
      </c>
      <c r="BX249" s="152">
        <f>MAX(0,MIN(BV249-BW249,CL249-(AZ249+BD249+BH249+BL249+BP249+BT249)))</f>
        <v/>
      </c>
      <c r="BY249" s="152">
        <f>BV249-BW249-BX249</f>
        <v/>
      </c>
      <c r="BZ249" s="152">
        <f>IF(CC248&lt;=0.005,0,CC248*(1+BZ$6))</f>
        <v/>
      </c>
      <c r="CA249" s="152">
        <f>MIN(BZ249,BZ$7)</f>
        <v/>
      </c>
      <c r="CB249" s="152">
        <f>MAX(0,MIN(BZ249-CA249,CL249-(AZ249+BD249+BH249+BL249+BP249+BT249+BX249)))</f>
        <v/>
      </c>
      <c r="CC249" s="152">
        <f>BZ249-CA249-CB249</f>
        <v/>
      </c>
      <c r="CD249" s="152">
        <f>IF(CG248&lt;=0.005,0,CG248*(1+CD$6))</f>
        <v/>
      </c>
      <c r="CE249" s="152">
        <f>MIN(CD249,CD$7)</f>
        <v/>
      </c>
      <c r="CF249" s="152">
        <f>MAX(0,MIN(CD249-CE249,CL249-(AZ249+BD249+BH249+BL249+BP249+BT249+BX249+CB249)))</f>
        <v/>
      </c>
      <c r="CG249" s="152">
        <f>CD249-CE249-CF249</f>
        <v/>
      </c>
      <c r="CH249" s="152">
        <f>IF(CK248&lt;=0.005,0,CK248*(1+CH$6))</f>
        <v/>
      </c>
      <c r="CI249" s="152">
        <f>MIN(CH249,CH$7)</f>
        <v/>
      </c>
      <c r="CJ249" s="152">
        <f>MAX(0,MIN(CH249-CI249,CL249-(AZ249+BD249+BH249+BL249+BP249+BT249+BX249+CB249+CF249)))</f>
        <v/>
      </c>
      <c r="CK249" s="152">
        <f>CH249-CI249-CJ249</f>
        <v/>
      </c>
      <c r="CL249" s="152">
        <f>'Debt Payoff'!$C$8-SUM(AY249,BC249,BG249,BK249,BO249,BS249,BW249,CA249,CE249,CI249)</f>
        <v/>
      </c>
      <c r="CM249" s="152">
        <f>SUM(AY249,BC249,BG249,BK249,BO249,BS249,BW249,CA249,CE249,CI249)+SUM(AZ249,BD249,BH249,BL249,BP249,BT249,BX249,CB249,CF249,CJ249)</f>
        <v/>
      </c>
      <c r="CN249" s="152">
        <f>SUM(BA249,BE249,BI249,BM249,BQ249,BU249,BY249,CC249,CG249,CK249)</f>
        <v/>
      </c>
      <c r="CO249" s="152">
        <f>IF(AW249&gt;CN$6,NA(),AW249)</f>
        <v/>
      </c>
      <c r="CP249" s="152">
        <f>IF(AW249&gt;CN$6,NA(),CN249)</f>
        <v/>
      </c>
    </row>
    <row r="250">
      <c r="B250" s="152" t="n">
        <v>239</v>
      </c>
      <c r="C250" s="152">
        <f>IF(F249&lt;=0.005,0,F249*(1+C$6))</f>
        <v/>
      </c>
      <c r="D250" s="152">
        <f>MIN(C250,C$7)</f>
        <v/>
      </c>
      <c r="E250" s="152">
        <f>MAX(0,MIN(C250-D250,AQ250))</f>
        <v/>
      </c>
      <c r="F250" s="152">
        <f>C250-D250-E250</f>
        <v/>
      </c>
      <c r="G250" s="152">
        <f>IF(J249&lt;=0.005,0,J249*(1+G$6))</f>
        <v/>
      </c>
      <c r="H250" s="152">
        <f>MIN(G250,G$7)</f>
        <v/>
      </c>
      <c r="I250" s="152">
        <f>MAX(0,MIN(G250-H250,AQ250-(E250)))</f>
        <v/>
      </c>
      <c r="J250" s="152">
        <f>G250-H250-I250</f>
        <v/>
      </c>
      <c r="K250" s="152">
        <f>IF(N249&lt;=0.005,0,N249*(1+K$6))</f>
        <v/>
      </c>
      <c r="L250" s="152">
        <f>MIN(K250,K$7)</f>
        <v/>
      </c>
      <c r="M250" s="152">
        <f>MAX(0,MIN(K250-L250,AQ250-(E250+I250)))</f>
        <v/>
      </c>
      <c r="N250" s="152">
        <f>K250-L250-M250</f>
        <v/>
      </c>
      <c r="O250" s="152">
        <f>IF(R249&lt;=0.005,0,R249*(1+O$6))</f>
        <v/>
      </c>
      <c r="P250" s="152">
        <f>MIN(O250,O$7)</f>
        <v/>
      </c>
      <c r="Q250" s="152">
        <f>MAX(0,MIN(O250-P250,AQ250-(E250+I250+M250)))</f>
        <v/>
      </c>
      <c r="R250" s="152">
        <f>O250-P250-Q250</f>
        <v/>
      </c>
      <c r="S250" s="152">
        <f>IF(V249&lt;=0.005,0,V249*(1+S$6))</f>
        <v/>
      </c>
      <c r="T250" s="152">
        <f>MIN(S250,S$7)</f>
        <v/>
      </c>
      <c r="U250" s="152">
        <f>MAX(0,MIN(S250-T250,AQ250-(E250+I250+M250+Q250)))</f>
        <v/>
      </c>
      <c r="V250" s="152">
        <f>S250-T250-U250</f>
        <v/>
      </c>
      <c r="W250" s="152">
        <f>IF(Z249&lt;=0.005,0,Z249*(1+W$6))</f>
        <v/>
      </c>
      <c r="X250" s="152">
        <f>MIN(W250,W$7)</f>
        <v/>
      </c>
      <c r="Y250" s="152">
        <f>MAX(0,MIN(W250-X250,AQ250-(E250+I250+M250+Q250+U250)))</f>
        <v/>
      </c>
      <c r="Z250" s="152">
        <f>W250-X250-Y250</f>
        <v/>
      </c>
      <c r="AA250" s="152">
        <f>IF(AD249&lt;=0.005,0,AD249*(1+AA$6))</f>
        <v/>
      </c>
      <c r="AB250" s="152">
        <f>MIN(AA250,AA$7)</f>
        <v/>
      </c>
      <c r="AC250" s="152">
        <f>MAX(0,MIN(AA250-AB250,AQ250-(E250+I250+M250+Q250+U250+Y250)))</f>
        <v/>
      </c>
      <c r="AD250" s="152">
        <f>AA250-AB250-AC250</f>
        <v/>
      </c>
      <c r="AE250" s="152">
        <f>IF(AH249&lt;=0.005,0,AH249*(1+AE$6))</f>
        <v/>
      </c>
      <c r="AF250" s="152">
        <f>MIN(AE250,AE$7)</f>
        <v/>
      </c>
      <c r="AG250" s="152">
        <f>MAX(0,MIN(AE250-AF250,AQ250-(E250+I250+M250+Q250+U250+Y250+AC250)))</f>
        <v/>
      </c>
      <c r="AH250" s="152">
        <f>AE250-AF250-AG250</f>
        <v/>
      </c>
      <c r="AI250" s="152">
        <f>IF(AL249&lt;=0.005,0,AL249*(1+AI$6))</f>
        <v/>
      </c>
      <c r="AJ250" s="152">
        <f>MIN(AI250,AI$7)</f>
        <v/>
      </c>
      <c r="AK250" s="152">
        <f>MAX(0,MIN(AI250-AJ250,AQ250-(E250+I250+M250+Q250+U250+Y250+AC250+AG250)))</f>
        <v/>
      </c>
      <c r="AL250" s="152">
        <f>AI250-AJ250-AK250</f>
        <v/>
      </c>
      <c r="AM250" s="152">
        <f>IF(AP249&lt;=0.005,0,AP249*(1+AM$6))</f>
        <v/>
      </c>
      <c r="AN250" s="152">
        <f>MIN(AM250,AM$7)</f>
        <v/>
      </c>
      <c r="AO250" s="152">
        <f>MAX(0,MIN(AM250-AN250,AQ250-(E250+I250+M250+Q250+U250+Y250+AC250+AG250+AK250)))</f>
        <v/>
      </c>
      <c r="AP250" s="152">
        <f>AM250-AN250-AO250</f>
        <v/>
      </c>
      <c r="AQ250" s="152">
        <f>'Debt Payoff'!$C$8-SUM(D250,H250,L250,P250,T250,X250,AB250,AF250,AJ250,AN250)</f>
        <v/>
      </c>
      <c r="AR250" s="152">
        <f>SUM(D250,H250,L250,P250,T250,X250,AB250,AF250,AJ250,AN250)+SUM(E250,I250,M250,Q250,U250,Y250,AC250,AG250,AK250,AO250)</f>
        <v/>
      </c>
      <c r="AS250" s="152">
        <f>SUM(F250,J250,N250,R250,V250,Z250,AD250,AH250,AL250,AP250)</f>
        <v/>
      </c>
      <c r="AT250" s="152">
        <f>IF(B250&gt;AS$6,NA(),B250)</f>
        <v/>
      </c>
      <c r="AU250" s="152">
        <f>IF(B250&gt;AS$6,NA(),AS250)</f>
        <v/>
      </c>
      <c r="AV250" s="152" t="n"/>
      <c r="AW250" s="152" t="n">
        <v>239</v>
      </c>
      <c r="AX250" s="152">
        <f>IF(BA249&lt;=0.005,0,BA249*(1+AX$6))</f>
        <v/>
      </c>
      <c r="AY250" s="152">
        <f>MIN(AX250,AX$7)</f>
        <v/>
      </c>
      <c r="AZ250" s="152">
        <f>MAX(0,MIN(AX250-AY250,CL250))</f>
        <v/>
      </c>
      <c r="BA250" s="152">
        <f>AX250-AY250-AZ250</f>
        <v/>
      </c>
      <c r="BB250" s="152">
        <f>IF(BE249&lt;=0.005,0,BE249*(1+BB$6))</f>
        <v/>
      </c>
      <c r="BC250" s="152">
        <f>MIN(BB250,BB$7)</f>
        <v/>
      </c>
      <c r="BD250" s="152">
        <f>MAX(0,MIN(BB250-BC250,CL250-(AZ250)))</f>
        <v/>
      </c>
      <c r="BE250" s="152">
        <f>BB250-BC250-BD250</f>
        <v/>
      </c>
      <c r="BF250" s="152">
        <f>IF(BI249&lt;=0.005,0,BI249*(1+BF$6))</f>
        <v/>
      </c>
      <c r="BG250" s="152">
        <f>MIN(BF250,BF$7)</f>
        <v/>
      </c>
      <c r="BH250" s="152">
        <f>MAX(0,MIN(BF250-BG250,CL250-(AZ250+BD250)))</f>
        <v/>
      </c>
      <c r="BI250" s="152">
        <f>BF250-BG250-BH250</f>
        <v/>
      </c>
      <c r="BJ250" s="152">
        <f>IF(BM249&lt;=0.005,0,BM249*(1+BJ$6))</f>
        <v/>
      </c>
      <c r="BK250" s="152">
        <f>MIN(BJ250,BJ$7)</f>
        <v/>
      </c>
      <c r="BL250" s="152">
        <f>MAX(0,MIN(BJ250-BK250,CL250-(AZ250+BD250+BH250)))</f>
        <v/>
      </c>
      <c r="BM250" s="152">
        <f>BJ250-BK250-BL250</f>
        <v/>
      </c>
      <c r="BN250" s="152">
        <f>IF(BQ249&lt;=0.005,0,BQ249*(1+BN$6))</f>
        <v/>
      </c>
      <c r="BO250" s="152">
        <f>MIN(BN250,BN$7)</f>
        <v/>
      </c>
      <c r="BP250" s="152">
        <f>MAX(0,MIN(BN250-BO250,CL250-(AZ250+BD250+BH250+BL250)))</f>
        <v/>
      </c>
      <c r="BQ250" s="152">
        <f>BN250-BO250-BP250</f>
        <v/>
      </c>
      <c r="BR250" s="152">
        <f>IF(BU249&lt;=0.005,0,BU249*(1+BR$6))</f>
        <v/>
      </c>
      <c r="BS250" s="152">
        <f>MIN(BR250,BR$7)</f>
        <v/>
      </c>
      <c r="BT250" s="152">
        <f>MAX(0,MIN(BR250-BS250,CL250-(AZ250+BD250+BH250+BL250+BP250)))</f>
        <v/>
      </c>
      <c r="BU250" s="152">
        <f>BR250-BS250-BT250</f>
        <v/>
      </c>
      <c r="BV250" s="152">
        <f>IF(BY249&lt;=0.005,0,BY249*(1+BV$6))</f>
        <v/>
      </c>
      <c r="BW250" s="152">
        <f>MIN(BV250,BV$7)</f>
        <v/>
      </c>
      <c r="BX250" s="152">
        <f>MAX(0,MIN(BV250-BW250,CL250-(AZ250+BD250+BH250+BL250+BP250+BT250)))</f>
        <v/>
      </c>
      <c r="BY250" s="152">
        <f>BV250-BW250-BX250</f>
        <v/>
      </c>
      <c r="BZ250" s="152">
        <f>IF(CC249&lt;=0.005,0,CC249*(1+BZ$6))</f>
        <v/>
      </c>
      <c r="CA250" s="152">
        <f>MIN(BZ250,BZ$7)</f>
        <v/>
      </c>
      <c r="CB250" s="152">
        <f>MAX(0,MIN(BZ250-CA250,CL250-(AZ250+BD250+BH250+BL250+BP250+BT250+BX250)))</f>
        <v/>
      </c>
      <c r="CC250" s="152">
        <f>BZ250-CA250-CB250</f>
        <v/>
      </c>
      <c r="CD250" s="152">
        <f>IF(CG249&lt;=0.005,0,CG249*(1+CD$6))</f>
        <v/>
      </c>
      <c r="CE250" s="152">
        <f>MIN(CD250,CD$7)</f>
        <v/>
      </c>
      <c r="CF250" s="152">
        <f>MAX(0,MIN(CD250-CE250,CL250-(AZ250+BD250+BH250+BL250+BP250+BT250+BX250+CB250)))</f>
        <v/>
      </c>
      <c r="CG250" s="152">
        <f>CD250-CE250-CF250</f>
        <v/>
      </c>
      <c r="CH250" s="152">
        <f>IF(CK249&lt;=0.005,0,CK249*(1+CH$6))</f>
        <v/>
      </c>
      <c r="CI250" s="152">
        <f>MIN(CH250,CH$7)</f>
        <v/>
      </c>
      <c r="CJ250" s="152">
        <f>MAX(0,MIN(CH250-CI250,CL250-(AZ250+BD250+BH250+BL250+BP250+BT250+BX250+CB250+CF250)))</f>
        <v/>
      </c>
      <c r="CK250" s="152">
        <f>CH250-CI250-CJ250</f>
        <v/>
      </c>
      <c r="CL250" s="152">
        <f>'Debt Payoff'!$C$8-SUM(AY250,BC250,BG250,BK250,BO250,BS250,BW250,CA250,CE250,CI250)</f>
        <v/>
      </c>
      <c r="CM250" s="152">
        <f>SUM(AY250,BC250,BG250,BK250,BO250,BS250,BW250,CA250,CE250,CI250)+SUM(AZ250,BD250,BH250,BL250,BP250,BT250,BX250,CB250,CF250,CJ250)</f>
        <v/>
      </c>
      <c r="CN250" s="152">
        <f>SUM(BA250,BE250,BI250,BM250,BQ250,BU250,BY250,CC250,CG250,CK250)</f>
        <v/>
      </c>
      <c r="CO250" s="152">
        <f>IF(AW250&gt;CN$6,NA(),AW250)</f>
        <v/>
      </c>
      <c r="CP250" s="152">
        <f>IF(AW250&gt;CN$6,NA(),CN250)</f>
        <v/>
      </c>
    </row>
    <row r="251">
      <c r="B251" s="152" t="n">
        <v>240</v>
      </c>
      <c r="C251" s="152">
        <f>IF(F250&lt;=0.005,0,F250*(1+C$6))</f>
        <v/>
      </c>
      <c r="D251" s="152">
        <f>MIN(C251,C$7)</f>
        <v/>
      </c>
      <c r="E251" s="152">
        <f>MAX(0,MIN(C251-D251,AQ251))</f>
        <v/>
      </c>
      <c r="F251" s="152">
        <f>C251-D251-E251</f>
        <v/>
      </c>
      <c r="G251" s="152">
        <f>IF(J250&lt;=0.005,0,J250*(1+G$6))</f>
        <v/>
      </c>
      <c r="H251" s="152">
        <f>MIN(G251,G$7)</f>
        <v/>
      </c>
      <c r="I251" s="152">
        <f>MAX(0,MIN(G251-H251,AQ251-(E251)))</f>
        <v/>
      </c>
      <c r="J251" s="152">
        <f>G251-H251-I251</f>
        <v/>
      </c>
      <c r="K251" s="152">
        <f>IF(N250&lt;=0.005,0,N250*(1+K$6))</f>
        <v/>
      </c>
      <c r="L251" s="152">
        <f>MIN(K251,K$7)</f>
        <v/>
      </c>
      <c r="M251" s="152">
        <f>MAX(0,MIN(K251-L251,AQ251-(E251+I251)))</f>
        <v/>
      </c>
      <c r="N251" s="152">
        <f>K251-L251-M251</f>
        <v/>
      </c>
      <c r="O251" s="152">
        <f>IF(R250&lt;=0.005,0,R250*(1+O$6))</f>
        <v/>
      </c>
      <c r="P251" s="152">
        <f>MIN(O251,O$7)</f>
        <v/>
      </c>
      <c r="Q251" s="152">
        <f>MAX(0,MIN(O251-P251,AQ251-(E251+I251+M251)))</f>
        <v/>
      </c>
      <c r="R251" s="152">
        <f>O251-P251-Q251</f>
        <v/>
      </c>
      <c r="S251" s="152">
        <f>IF(V250&lt;=0.005,0,V250*(1+S$6))</f>
        <v/>
      </c>
      <c r="T251" s="152">
        <f>MIN(S251,S$7)</f>
        <v/>
      </c>
      <c r="U251" s="152">
        <f>MAX(0,MIN(S251-T251,AQ251-(E251+I251+M251+Q251)))</f>
        <v/>
      </c>
      <c r="V251" s="152">
        <f>S251-T251-U251</f>
        <v/>
      </c>
      <c r="W251" s="152">
        <f>IF(Z250&lt;=0.005,0,Z250*(1+W$6))</f>
        <v/>
      </c>
      <c r="X251" s="152">
        <f>MIN(W251,W$7)</f>
        <v/>
      </c>
      <c r="Y251" s="152">
        <f>MAX(0,MIN(W251-X251,AQ251-(E251+I251+M251+Q251+U251)))</f>
        <v/>
      </c>
      <c r="Z251" s="152">
        <f>W251-X251-Y251</f>
        <v/>
      </c>
      <c r="AA251" s="152">
        <f>IF(AD250&lt;=0.005,0,AD250*(1+AA$6))</f>
        <v/>
      </c>
      <c r="AB251" s="152">
        <f>MIN(AA251,AA$7)</f>
        <v/>
      </c>
      <c r="AC251" s="152">
        <f>MAX(0,MIN(AA251-AB251,AQ251-(E251+I251+M251+Q251+U251+Y251)))</f>
        <v/>
      </c>
      <c r="AD251" s="152">
        <f>AA251-AB251-AC251</f>
        <v/>
      </c>
      <c r="AE251" s="152">
        <f>IF(AH250&lt;=0.005,0,AH250*(1+AE$6))</f>
        <v/>
      </c>
      <c r="AF251" s="152">
        <f>MIN(AE251,AE$7)</f>
        <v/>
      </c>
      <c r="AG251" s="152">
        <f>MAX(0,MIN(AE251-AF251,AQ251-(E251+I251+M251+Q251+U251+Y251+AC251)))</f>
        <v/>
      </c>
      <c r="AH251" s="152">
        <f>AE251-AF251-AG251</f>
        <v/>
      </c>
      <c r="AI251" s="152">
        <f>IF(AL250&lt;=0.005,0,AL250*(1+AI$6))</f>
        <v/>
      </c>
      <c r="AJ251" s="152">
        <f>MIN(AI251,AI$7)</f>
        <v/>
      </c>
      <c r="AK251" s="152">
        <f>MAX(0,MIN(AI251-AJ251,AQ251-(E251+I251+M251+Q251+U251+Y251+AC251+AG251)))</f>
        <v/>
      </c>
      <c r="AL251" s="152">
        <f>AI251-AJ251-AK251</f>
        <v/>
      </c>
      <c r="AM251" s="152">
        <f>IF(AP250&lt;=0.005,0,AP250*(1+AM$6))</f>
        <v/>
      </c>
      <c r="AN251" s="152">
        <f>MIN(AM251,AM$7)</f>
        <v/>
      </c>
      <c r="AO251" s="152">
        <f>MAX(0,MIN(AM251-AN251,AQ251-(E251+I251+M251+Q251+U251+Y251+AC251+AG251+AK251)))</f>
        <v/>
      </c>
      <c r="AP251" s="152">
        <f>AM251-AN251-AO251</f>
        <v/>
      </c>
      <c r="AQ251" s="152">
        <f>'Debt Payoff'!$C$8-SUM(D251,H251,L251,P251,T251,X251,AB251,AF251,AJ251,AN251)</f>
        <v/>
      </c>
      <c r="AR251" s="152">
        <f>SUM(D251,H251,L251,P251,T251,X251,AB251,AF251,AJ251,AN251)+SUM(E251,I251,M251,Q251,U251,Y251,AC251,AG251,AK251,AO251)</f>
        <v/>
      </c>
      <c r="AS251" s="152">
        <f>SUM(F251,J251,N251,R251,V251,Z251,AD251,AH251,AL251,AP251)</f>
        <v/>
      </c>
      <c r="AT251" s="152">
        <f>IF(B251&gt;AS$6,NA(),B251)</f>
        <v/>
      </c>
      <c r="AU251" s="152">
        <f>IF(B251&gt;AS$6,NA(),AS251)</f>
        <v/>
      </c>
      <c r="AV251" s="152" t="n"/>
      <c r="AW251" s="152" t="n">
        <v>240</v>
      </c>
      <c r="AX251" s="152">
        <f>IF(BA250&lt;=0.005,0,BA250*(1+AX$6))</f>
        <v/>
      </c>
      <c r="AY251" s="152">
        <f>MIN(AX251,AX$7)</f>
        <v/>
      </c>
      <c r="AZ251" s="152">
        <f>MAX(0,MIN(AX251-AY251,CL251))</f>
        <v/>
      </c>
      <c r="BA251" s="152">
        <f>AX251-AY251-AZ251</f>
        <v/>
      </c>
      <c r="BB251" s="152">
        <f>IF(BE250&lt;=0.005,0,BE250*(1+BB$6))</f>
        <v/>
      </c>
      <c r="BC251" s="152">
        <f>MIN(BB251,BB$7)</f>
        <v/>
      </c>
      <c r="BD251" s="152">
        <f>MAX(0,MIN(BB251-BC251,CL251-(AZ251)))</f>
        <v/>
      </c>
      <c r="BE251" s="152">
        <f>BB251-BC251-BD251</f>
        <v/>
      </c>
      <c r="BF251" s="152">
        <f>IF(BI250&lt;=0.005,0,BI250*(1+BF$6))</f>
        <v/>
      </c>
      <c r="BG251" s="152">
        <f>MIN(BF251,BF$7)</f>
        <v/>
      </c>
      <c r="BH251" s="152">
        <f>MAX(0,MIN(BF251-BG251,CL251-(AZ251+BD251)))</f>
        <v/>
      </c>
      <c r="BI251" s="152">
        <f>BF251-BG251-BH251</f>
        <v/>
      </c>
      <c r="BJ251" s="152">
        <f>IF(BM250&lt;=0.005,0,BM250*(1+BJ$6))</f>
        <v/>
      </c>
      <c r="BK251" s="152">
        <f>MIN(BJ251,BJ$7)</f>
        <v/>
      </c>
      <c r="BL251" s="152">
        <f>MAX(0,MIN(BJ251-BK251,CL251-(AZ251+BD251+BH251)))</f>
        <v/>
      </c>
      <c r="BM251" s="152">
        <f>BJ251-BK251-BL251</f>
        <v/>
      </c>
      <c r="BN251" s="152">
        <f>IF(BQ250&lt;=0.005,0,BQ250*(1+BN$6))</f>
        <v/>
      </c>
      <c r="BO251" s="152">
        <f>MIN(BN251,BN$7)</f>
        <v/>
      </c>
      <c r="BP251" s="152">
        <f>MAX(0,MIN(BN251-BO251,CL251-(AZ251+BD251+BH251+BL251)))</f>
        <v/>
      </c>
      <c r="BQ251" s="152">
        <f>BN251-BO251-BP251</f>
        <v/>
      </c>
      <c r="BR251" s="152">
        <f>IF(BU250&lt;=0.005,0,BU250*(1+BR$6))</f>
        <v/>
      </c>
      <c r="BS251" s="152">
        <f>MIN(BR251,BR$7)</f>
        <v/>
      </c>
      <c r="BT251" s="152">
        <f>MAX(0,MIN(BR251-BS251,CL251-(AZ251+BD251+BH251+BL251+BP251)))</f>
        <v/>
      </c>
      <c r="BU251" s="152">
        <f>BR251-BS251-BT251</f>
        <v/>
      </c>
      <c r="BV251" s="152">
        <f>IF(BY250&lt;=0.005,0,BY250*(1+BV$6))</f>
        <v/>
      </c>
      <c r="BW251" s="152">
        <f>MIN(BV251,BV$7)</f>
        <v/>
      </c>
      <c r="BX251" s="152">
        <f>MAX(0,MIN(BV251-BW251,CL251-(AZ251+BD251+BH251+BL251+BP251+BT251)))</f>
        <v/>
      </c>
      <c r="BY251" s="152">
        <f>BV251-BW251-BX251</f>
        <v/>
      </c>
      <c r="BZ251" s="152">
        <f>IF(CC250&lt;=0.005,0,CC250*(1+BZ$6))</f>
        <v/>
      </c>
      <c r="CA251" s="152">
        <f>MIN(BZ251,BZ$7)</f>
        <v/>
      </c>
      <c r="CB251" s="152">
        <f>MAX(0,MIN(BZ251-CA251,CL251-(AZ251+BD251+BH251+BL251+BP251+BT251+BX251)))</f>
        <v/>
      </c>
      <c r="CC251" s="152">
        <f>BZ251-CA251-CB251</f>
        <v/>
      </c>
      <c r="CD251" s="152">
        <f>IF(CG250&lt;=0.005,0,CG250*(1+CD$6))</f>
        <v/>
      </c>
      <c r="CE251" s="152">
        <f>MIN(CD251,CD$7)</f>
        <v/>
      </c>
      <c r="CF251" s="152">
        <f>MAX(0,MIN(CD251-CE251,CL251-(AZ251+BD251+BH251+BL251+BP251+BT251+BX251+CB251)))</f>
        <v/>
      </c>
      <c r="CG251" s="152">
        <f>CD251-CE251-CF251</f>
        <v/>
      </c>
      <c r="CH251" s="152">
        <f>IF(CK250&lt;=0.005,0,CK250*(1+CH$6))</f>
        <v/>
      </c>
      <c r="CI251" s="152">
        <f>MIN(CH251,CH$7)</f>
        <v/>
      </c>
      <c r="CJ251" s="152">
        <f>MAX(0,MIN(CH251-CI251,CL251-(AZ251+BD251+BH251+BL251+BP251+BT251+BX251+CB251+CF251)))</f>
        <v/>
      </c>
      <c r="CK251" s="152">
        <f>CH251-CI251-CJ251</f>
        <v/>
      </c>
      <c r="CL251" s="152">
        <f>'Debt Payoff'!$C$8-SUM(AY251,BC251,BG251,BK251,BO251,BS251,BW251,CA251,CE251,CI251)</f>
        <v/>
      </c>
      <c r="CM251" s="152">
        <f>SUM(AY251,BC251,BG251,BK251,BO251,BS251,BW251,CA251,CE251,CI251)+SUM(AZ251,BD251,BH251,BL251,BP251,BT251,BX251,CB251,CF251,CJ251)</f>
        <v/>
      </c>
      <c r="CN251" s="152">
        <f>SUM(BA251,BE251,BI251,BM251,BQ251,BU251,BY251,CC251,CG251,CK251)</f>
        <v/>
      </c>
      <c r="CO251" s="152">
        <f>IF(AW251&gt;CN$6,NA(),AW251)</f>
        <v/>
      </c>
      <c r="CP251" s="152">
        <f>IF(AW251&gt;CN$6,NA(),CN251)</f>
        <v/>
      </c>
    </row>
    <row r="252">
      <c r="B252" s="152" t="n">
        <v>241</v>
      </c>
      <c r="C252" s="152">
        <f>IF(F251&lt;=0.005,0,F251*(1+C$6))</f>
        <v/>
      </c>
      <c r="D252" s="152">
        <f>MIN(C252,C$7)</f>
        <v/>
      </c>
      <c r="E252" s="152">
        <f>MAX(0,MIN(C252-D252,AQ252))</f>
        <v/>
      </c>
      <c r="F252" s="152">
        <f>C252-D252-E252</f>
        <v/>
      </c>
      <c r="G252" s="152">
        <f>IF(J251&lt;=0.005,0,J251*(1+G$6))</f>
        <v/>
      </c>
      <c r="H252" s="152">
        <f>MIN(G252,G$7)</f>
        <v/>
      </c>
      <c r="I252" s="152">
        <f>MAX(0,MIN(G252-H252,AQ252-(E252)))</f>
        <v/>
      </c>
      <c r="J252" s="152">
        <f>G252-H252-I252</f>
        <v/>
      </c>
      <c r="K252" s="152">
        <f>IF(N251&lt;=0.005,0,N251*(1+K$6))</f>
        <v/>
      </c>
      <c r="L252" s="152">
        <f>MIN(K252,K$7)</f>
        <v/>
      </c>
      <c r="M252" s="152">
        <f>MAX(0,MIN(K252-L252,AQ252-(E252+I252)))</f>
        <v/>
      </c>
      <c r="N252" s="152">
        <f>K252-L252-M252</f>
        <v/>
      </c>
      <c r="O252" s="152">
        <f>IF(R251&lt;=0.005,0,R251*(1+O$6))</f>
        <v/>
      </c>
      <c r="P252" s="152">
        <f>MIN(O252,O$7)</f>
        <v/>
      </c>
      <c r="Q252" s="152">
        <f>MAX(0,MIN(O252-P252,AQ252-(E252+I252+M252)))</f>
        <v/>
      </c>
      <c r="R252" s="152">
        <f>O252-P252-Q252</f>
        <v/>
      </c>
      <c r="S252" s="152">
        <f>IF(V251&lt;=0.005,0,V251*(1+S$6))</f>
        <v/>
      </c>
      <c r="T252" s="152">
        <f>MIN(S252,S$7)</f>
        <v/>
      </c>
      <c r="U252" s="152">
        <f>MAX(0,MIN(S252-T252,AQ252-(E252+I252+M252+Q252)))</f>
        <v/>
      </c>
      <c r="V252" s="152">
        <f>S252-T252-U252</f>
        <v/>
      </c>
      <c r="W252" s="152">
        <f>IF(Z251&lt;=0.005,0,Z251*(1+W$6))</f>
        <v/>
      </c>
      <c r="X252" s="152">
        <f>MIN(W252,W$7)</f>
        <v/>
      </c>
      <c r="Y252" s="152">
        <f>MAX(0,MIN(W252-X252,AQ252-(E252+I252+M252+Q252+U252)))</f>
        <v/>
      </c>
      <c r="Z252" s="152">
        <f>W252-X252-Y252</f>
        <v/>
      </c>
      <c r="AA252" s="152">
        <f>IF(AD251&lt;=0.005,0,AD251*(1+AA$6))</f>
        <v/>
      </c>
      <c r="AB252" s="152">
        <f>MIN(AA252,AA$7)</f>
        <v/>
      </c>
      <c r="AC252" s="152">
        <f>MAX(0,MIN(AA252-AB252,AQ252-(E252+I252+M252+Q252+U252+Y252)))</f>
        <v/>
      </c>
      <c r="AD252" s="152">
        <f>AA252-AB252-AC252</f>
        <v/>
      </c>
      <c r="AE252" s="152">
        <f>IF(AH251&lt;=0.005,0,AH251*(1+AE$6))</f>
        <v/>
      </c>
      <c r="AF252" s="152">
        <f>MIN(AE252,AE$7)</f>
        <v/>
      </c>
      <c r="AG252" s="152">
        <f>MAX(0,MIN(AE252-AF252,AQ252-(E252+I252+M252+Q252+U252+Y252+AC252)))</f>
        <v/>
      </c>
      <c r="AH252" s="152">
        <f>AE252-AF252-AG252</f>
        <v/>
      </c>
      <c r="AI252" s="152">
        <f>IF(AL251&lt;=0.005,0,AL251*(1+AI$6))</f>
        <v/>
      </c>
      <c r="AJ252" s="152">
        <f>MIN(AI252,AI$7)</f>
        <v/>
      </c>
      <c r="AK252" s="152">
        <f>MAX(0,MIN(AI252-AJ252,AQ252-(E252+I252+M252+Q252+U252+Y252+AC252+AG252)))</f>
        <v/>
      </c>
      <c r="AL252" s="152">
        <f>AI252-AJ252-AK252</f>
        <v/>
      </c>
      <c r="AM252" s="152">
        <f>IF(AP251&lt;=0.005,0,AP251*(1+AM$6))</f>
        <v/>
      </c>
      <c r="AN252" s="152">
        <f>MIN(AM252,AM$7)</f>
        <v/>
      </c>
      <c r="AO252" s="152">
        <f>MAX(0,MIN(AM252-AN252,AQ252-(E252+I252+M252+Q252+U252+Y252+AC252+AG252+AK252)))</f>
        <v/>
      </c>
      <c r="AP252" s="152">
        <f>AM252-AN252-AO252</f>
        <v/>
      </c>
      <c r="AQ252" s="152">
        <f>'Debt Payoff'!$C$8-SUM(D252,H252,L252,P252,T252,X252,AB252,AF252,AJ252,AN252)</f>
        <v/>
      </c>
      <c r="AR252" s="152">
        <f>SUM(D252,H252,L252,P252,T252,X252,AB252,AF252,AJ252,AN252)+SUM(E252,I252,M252,Q252,U252,Y252,AC252,AG252,AK252,AO252)</f>
        <v/>
      </c>
      <c r="AS252" s="152">
        <f>SUM(F252,J252,N252,R252,V252,Z252,AD252,AH252,AL252,AP252)</f>
        <v/>
      </c>
      <c r="AT252" s="152">
        <f>IF(B252&gt;AS$6,NA(),B252)</f>
        <v/>
      </c>
      <c r="AU252" s="152">
        <f>IF(B252&gt;AS$6,NA(),AS252)</f>
        <v/>
      </c>
      <c r="AV252" s="152" t="n"/>
      <c r="AW252" s="152" t="n">
        <v>241</v>
      </c>
      <c r="AX252" s="152">
        <f>IF(BA251&lt;=0.005,0,BA251*(1+AX$6))</f>
        <v/>
      </c>
      <c r="AY252" s="152">
        <f>MIN(AX252,AX$7)</f>
        <v/>
      </c>
      <c r="AZ252" s="152">
        <f>MAX(0,MIN(AX252-AY252,CL252))</f>
        <v/>
      </c>
      <c r="BA252" s="152">
        <f>AX252-AY252-AZ252</f>
        <v/>
      </c>
      <c r="BB252" s="152">
        <f>IF(BE251&lt;=0.005,0,BE251*(1+BB$6))</f>
        <v/>
      </c>
      <c r="BC252" s="152">
        <f>MIN(BB252,BB$7)</f>
        <v/>
      </c>
      <c r="BD252" s="152">
        <f>MAX(0,MIN(BB252-BC252,CL252-(AZ252)))</f>
        <v/>
      </c>
      <c r="BE252" s="152">
        <f>BB252-BC252-BD252</f>
        <v/>
      </c>
      <c r="BF252" s="152">
        <f>IF(BI251&lt;=0.005,0,BI251*(1+BF$6))</f>
        <v/>
      </c>
      <c r="BG252" s="152">
        <f>MIN(BF252,BF$7)</f>
        <v/>
      </c>
      <c r="BH252" s="152">
        <f>MAX(0,MIN(BF252-BG252,CL252-(AZ252+BD252)))</f>
        <v/>
      </c>
      <c r="BI252" s="152">
        <f>BF252-BG252-BH252</f>
        <v/>
      </c>
      <c r="BJ252" s="152">
        <f>IF(BM251&lt;=0.005,0,BM251*(1+BJ$6))</f>
        <v/>
      </c>
      <c r="BK252" s="152">
        <f>MIN(BJ252,BJ$7)</f>
        <v/>
      </c>
      <c r="BL252" s="152">
        <f>MAX(0,MIN(BJ252-BK252,CL252-(AZ252+BD252+BH252)))</f>
        <v/>
      </c>
      <c r="BM252" s="152">
        <f>BJ252-BK252-BL252</f>
        <v/>
      </c>
      <c r="BN252" s="152">
        <f>IF(BQ251&lt;=0.005,0,BQ251*(1+BN$6))</f>
        <v/>
      </c>
      <c r="BO252" s="152">
        <f>MIN(BN252,BN$7)</f>
        <v/>
      </c>
      <c r="BP252" s="152">
        <f>MAX(0,MIN(BN252-BO252,CL252-(AZ252+BD252+BH252+BL252)))</f>
        <v/>
      </c>
      <c r="BQ252" s="152">
        <f>BN252-BO252-BP252</f>
        <v/>
      </c>
      <c r="BR252" s="152">
        <f>IF(BU251&lt;=0.005,0,BU251*(1+BR$6))</f>
        <v/>
      </c>
      <c r="BS252" s="152">
        <f>MIN(BR252,BR$7)</f>
        <v/>
      </c>
      <c r="BT252" s="152">
        <f>MAX(0,MIN(BR252-BS252,CL252-(AZ252+BD252+BH252+BL252+BP252)))</f>
        <v/>
      </c>
      <c r="BU252" s="152">
        <f>BR252-BS252-BT252</f>
        <v/>
      </c>
      <c r="BV252" s="152">
        <f>IF(BY251&lt;=0.005,0,BY251*(1+BV$6))</f>
        <v/>
      </c>
      <c r="BW252" s="152">
        <f>MIN(BV252,BV$7)</f>
        <v/>
      </c>
      <c r="BX252" s="152">
        <f>MAX(0,MIN(BV252-BW252,CL252-(AZ252+BD252+BH252+BL252+BP252+BT252)))</f>
        <v/>
      </c>
      <c r="BY252" s="152">
        <f>BV252-BW252-BX252</f>
        <v/>
      </c>
      <c r="BZ252" s="152">
        <f>IF(CC251&lt;=0.005,0,CC251*(1+BZ$6))</f>
        <v/>
      </c>
      <c r="CA252" s="152">
        <f>MIN(BZ252,BZ$7)</f>
        <v/>
      </c>
      <c r="CB252" s="152">
        <f>MAX(0,MIN(BZ252-CA252,CL252-(AZ252+BD252+BH252+BL252+BP252+BT252+BX252)))</f>
        <v/>
      </c>
      <c r="CC252" s="152">
        <f>BZ252-CA252-CB252</f>
        <v/>
      </c>
      <c r="CD252" s="152">
        <f>IF(CG251&lt;=0.005,0,CG251*(1+CD$6))</f>
        <v/>
      </c>
      <c r="CE252" s="152">
        <f>MIN(CD252,CD$7)</f>
        <v/>
      </c>
      <c r="CF252" s="152">
        <f>MAX(0,MIN(CD252-CE252,CL252-(AZ252+BD252+BH252+BL252+BP252+BT252+BX252+CB252)))</f>
        <v/>
      </c>
      <c r="CG252" s="152">
        <f>CD252-CE252-CF252</f>
        <v/>
      </c>
      <c r="CH252" s="152">
        <f>IF(CK251&lt;=0.005,0,CK251*(1+CH$6))</f>
        <v/>
      </c>
      <c r="CI252" s="152">
        <f>MIN(CH252,CH$7)</f>
        <v/>
      </c>
      <c r="CJ252" s="152">
        <f>MAX(0,MIN(CH252-CI252,CL252-(AZ252+BD252+BH252+BL252+BP252+BT252+BX252+CB252+CF252)))</f>
        <v/>
      </c>
      <c r="CK252" s="152">
        <f>CH252-CI252-CJ252</f>
        <v/>
      </c>
      <c r="CL252" s="152">
        <f>'Debt Payoff'!$C$8-SUM(AY252,BC252,BG252,BK252,BO252,BS252,BW252,CA252,CE252,CI252)</f>
        <v/>
      </c>
      <c r="CM252" s="152">
        <f>SUM(AY252,BC252,BG252,BK252,BO252,BS252,BW252,CA252,CE252,CI252)+SUM(AZ252,BD252,BH252,BL252,BP252,BT252,BX252,CB252,CF252,CJ252)</f>
        <v/>
      </c>
      <c r="CN252" s="152">
        <f>SUM(BA252,BE252,BI252,BM252,BQ252,BU252,BY252,CC252,CG252,CK252)</f>
        <v/>
      </c>
      <c r="CO252" s="152">
        <f>IF(AW252&gt;CN$6,NA(),AW252)</f>
        <v/>
      </c>
      <c r="CP252" s="152">
        <f>IF(AW252&gt;CN$6,NA(),CN252)</f>
        <v/>
      </c>
    </row>
    <row r="253">
      <c r="B253" s="152" t="n">
        <v>242</v>
      </c>
      <c r="C253" s="152">
        <f>IF(F252&lt;=0.005,0,F252*(1+C$6))</f>
        <v/>
      </c>
      <c r="D253" s="152">
        <f>MIN(C253,C$7)</f>
        <v/>
      </c>
      <c r="E253" s="152">
        <f>MAX(0,MIN(C253-D253,AQ253))</f>
        <v/>
      </c>
      <c r="F253" s="152">
        <f>C253-D253-E253</f>
        <v/>
      </c>
      <c r="G253" s="152">
        <f>IF(J252&lt;=0.005,0,J252*(1+G$6))</f>
        <v/>
      </c>
      <c r="H253" s="152">
        <f>MIN(G253,G$7)</f>
        <v/>
      </c>
      <c r="I253" s="152">
        <f>MAX(0,MIN(G253-H253,AQ253-(E253)))</f>
        <v/>
      </c>
      <c r="J253" s="152">
        <f>G253-H253-I253</f>
        <v/>
      </c>
      <c r="K253" s="152">
        <f>IF(N252&lt;=0.005,0,N252*(1+K$6))</f>
        <v/>
      </c>
      <c r="L253" s="152">
        <f>MIN(K253,K$7)</f>
        <v/>
      </c>
      <c r="M253" s="152">
        <f>MAX(0,MIN(K253-L253,AQ253-(E253+I253)))</f>
        <v/>
      </c>
      <c r="N253" s="152">
        <f>K253-L253-M253</f>
        <v/>
      </c>
      <c r="O253" s="152">
        <f>IF(R252&lt;=0.005,0,R252*(1+O$6))</f>
        <v/>
      </c>
      <c r="P253" s="152">
        <f>MIN(O253,O$7)</f>
        <v/>
      </c>
      <c r="Q253" s="152">
        <f>MAX(0,MIN(O253-P253,AQ253-(E253+I253+M253)))</f>
        <v/>
      </c>
      <c r="R253" s="152">
        <f>O253-P253-Q253</f>
        <v/>
      </c>
      <c r="S253" s="152">
        <f>IF(V252&lt;=0.005,0,V252*(1+S$6))</f>
        <v/>
      </c>
      <c r="T253" s="152">
        <f>MIN(S253,S$7)</f>
        <v/>
      </c>
      <c r="U253" s="152">
        <f>MAX(0,MIN(S253-T253,AQ253-(E253+I253+M253+Q253)))</f>
        <v/>
      </c>
      <c r="V253" s="152">
        <f>S253-T253-U253</f>
        <v/>
      </c>
      <c r="W253" s="152">
        <f>IF(Z252&lt;=0.005,0,Z252*(1+W$6))</f>
        <v/>
      </c>
      <c r="X253" s="152">
        <f>MIN(W253,W$7)</f>
        <v/>
      </c>
      <c r="Y253" s="152">
        <f>MAX(0,MIN(W253-X253,AQ253-(E253+I253+M253+Q253+U253)))</f>
        <v/>
      </c>
      <c r="Z253" s="152">
        <f>W253-X253-Y253</f>
        <v/>
      </c>
      <c r="AA253" s="152">
        <f>IF(AD252&lt;=0.005,0,AD252*(1+AA$6))</f>
        <v/>
      </c>
      <c r="AB253" s="152">
        <f>MIN(AA253,AA$7)</f>
        <v/>
      </c>
      <c r="AC253" s="152">
        <f>MAX(0,MIN(AA253-AB253,AQ253-(E253+I253+M253+Q253+U253+Y253)))</f>
        <v/>
      </c>
      <c r="AD253" s="152">
        <f>AA253-AB253-AC253</f>
        <v/>
      </c>
      <c r="AE253" s="152">
        <f>IF(AH252&lt;=0.005,0,AH252*(1+AE$6))</f>
        <v/>
      </c>
      <c r="AF253" s="152">
        <f>MIN(AE253,AE$7)</f>
        <v/>
      </c>
      <c r="AG253" s="152">
        <f>MAX(0,MIN(AE253-AF253,AQ253-(E253+I253+M253+Q253+U253+Y253+AC253)))</f>
        <v/>
      </c>
      <c r="AH253" s="152">
        <f>AE253-AF253-AG253</f>
        <v/>
      </c>
      <c r="AI253" s="152">
        <f>IF(AL252&lt;=0.005,0,AL252*(1+AI$6))</f>
        <v/>
      </c>
      <c r="AJ253" s="152">
        <f>MIN(AI253,AI$7)</f>
        <v/>
      </c>
      <c r="AK253" s="152">
        <f>MAX(0,MIN(AI253-AJ253,AQ253-(E253+I253+M253+Q253+U253+Y253+AC253+AG253)))</f>
        <v/>
      </c>
      <c r="AL253" s="152">
        <f>AI253-AJ253-AK253</f>
        <v/>
      </c>
      <c r="AM253" s="152">
        <f>IF(AP252&lt;=0.005,0,AP252*(1+AM$6))</f>
        <v/>
      </c>
      <c r="AN253" s="152">
        <f>MIN(AM253,AM$7)</f>
        <v/>
      </c>
      <c r="AO253" s="152">
        <f>MAX(0,MIN(AM253-AN253,AQ253-(E253+I253+M253+Q253+U253+Y253+AC253+AG253+AK253)))</f>
        <v/>
      </c>
      <c r="AP253" s="152">
        <f>AM253-AN253-AO253</f>
        <v/>
      </c>
      <c r="AQ253" s="152">
        <f>'Debt Payoff'!$C$8-SUM(D253,H253,L253,P253,T253,X253,AB253,AF253,AJ253,AN253)</f>
        <v/>
      </c>
      <c r="AR253" s="152">
        <f>SUM(D253,H253,L253,P253,T253,X253,AB253,AF253,AJ253,AN253)+SUM(E253,I253,M253,Q253,U253,Y253,AC253,AG253,AK253,AO253)</f>
        <v/>
      </c>
      <c r="AS253" s="152">
        <f>SUM(F253,J253,N253,R253,V253,Z253,AD253,AH253,AL253,AP253)</f>
        <v/>
      </c>
      <c r="AT253" s="152">
        <f>IF(B253&gt;AS$6,NA(),B253)</f>
        <v/>
      </c>
      <c r="AU253" s="152">
        <f>IF(B253&gt;AS$6,NA(),AS253)</f>
        <v/>
      </c>
      <c r="AV253" s="152" t="n"/>
      <c r="AW253" s="152" t="n">
        <v>242</v>
      </c>
      <c r="AX253" s="152">
        <f>IF(BA252&lt;=0.005,0,BA252*(1+AX$6))</f>
        <v/>
      </c>
      <c r="AY253" s="152">
        <f>MIN(AX253,AX$7)</f>
        <v/>
      </c>
      <c r="AZ253" s="152">
        <f>MAX(0,MIN(AX253-AY253,CL253))</f>
        <v/>
      </c>
      <c r="BA253" s="152">
        <f>AX253-AY253-AZ253</f>
        <v/>
      </c>
      <c r="BB253" s="152">
        <f>IF(BE252&lt;=0.005,0,BE252*(1+BB$6))</f>
        <v/>
      </c>
      <c r="BC253" s="152">
        <f>MIN(BB253,BB$7)</f>
        <v/>
      </c>
      <c r="BD253" s="152">
        <f>MAX(0,MIN(BB253-BC253,CL253-(AZ253)))</f>
        <v/>
      </c>
      <c r="BE253" s="152">
        <f>BB253-BC253-BD253</f>
        <v/>
      </c>
      <c r="BF253" s="152">
        <f>IF(BI252&lt;=0.005,0,BI252*(1+BF$6))</f>
        <v/>
      </c>
      <c r="BG253" s="152">
        <f>MIN(BF253,BF$7)</f>
        <v/>
      </c>
      <c r="BH253" s="152">
        <f>MAX(0,MIN(BF253-BG253,CL253-(AZ253+BD253)))</f>
        <v/>
      </c>
      <c r="BI253" s="152">
        <f>BF253-BG253-BH253</f>
        <v/>
      </c>
      <c r="BJ253" s="152">
        <f>IF(BM252&lt;=0.005,0,BM252*(1+BJ$6))</f>
        <v/>
      </c>
      <c r="BK253" s="152">
        <f>MIN(BJ253,BJ$7)</f>
        <v/>
      </c>
      <c r="BL253" s="152">
        <f>MAX(0,MIN(BJ253-BK253,CL253-(AZ253+BD253+BH253)))</f>
        <v/>
      </c>
      <c r="BM253" s="152">
        <f>BJ253-BK253-BL253</f>
        <v/>
      </c>
      <c r="BN253" s="152">
        <f>IF(BQ252&lt;=0.005,0,BQ252*(1+BN$6))</f>
        <v/>
      </c>
      <c r="BO253" s="152">
        <f>MIN(BN253,BN$7)</f>
        <v/>
      </c>
      <c r="BP253" s="152">
        <f>MAX(0,MIN(BN253-BO253,CL253-(AZ253+BD253+BH253+BL253)))</f>
        <v/>
      </c>
      <c r="BQ253" s="152">
        <f>BN253-BO253-BP253</f>
        <v/>
      </c>
      <c r="BR253" s="152">
        <f>IF(BU252&lt;=0.005,0,BU252*(1+BR$6))</f>
        <v/>
      </c>
      <c r="BS253" s="152">
        <f>MIN(BR253,BR$7)</f>
        <v/>
      </c>
      <c r="BT253" s="152">
        <f>MAX(0,MIN(BR253-BS253,CL253-(AZ253+BD253+BH253+BL253+BP253)))</f>
        <v/>
      </c>
      <c r="BU253" s="152">
        <f>BR253-BS253-BT253</f>
        <v/>
      </c>
      <c r="BV253" s="152">
        <f>IF(BY252&lt;=0.005,0,BY252*(1+BV$6))</f>
        <v/>
      </c>
      <c r="BW253" s="152">
        <f>MIN(BV253,BV$7)</f>
        <v/>
      </c>
      <c r="BX253" s="152">
        <f>MAX(0,MIN(BV253-BW253,CL253-(AZ253+BD253+BH253+BL253+BP253+BT253)))</f>
        <v/>
      </c>
      <c r="BY253" s="152">
        <f>BV253-BW253-BX253</f>
        <v/>
      </c>
      <c r="BZ253" s="152">
        <f>IF(CC252&lt;=0.005,0,CC252*(1+BZ$6))</f>
        <v/>
      </c>
      <c r="CA253" s="152">
        <f>MIN(BZ253,BZ$7)</f>
        <v/>
      </c>
      <c r="CB253" s="152">
        <f>MAX(0,MIN(BZ253-CA253,CL253-(AZ253+BD253+BH253+BL253+BP253+BT253+BX253)))</f>
        <v/>
      </c>
      <c r="CC253" s="152">
        <f>BZ253-CA253-CB253</f>
        <v/>
      </c>
      <c r="CD253" s="152">
        <f>IF(CG252&lt;=0.005,0,CG252*(1+CD$6))</f>
        <v/>
      </c>
      <c r="CE253" s="152">
        <f>MIN(CD253,CD$7)</f>
        <v/>
      </c>
      <c r="CF253" s="152">
        <f>MAX(0,MIN(CD253-CE253,CL253-(AZ253+BD253+BH253+BL253+BP253+BT253+BX253+CB253)))</f>
        <v/>
      </c>
      <c r="CG253" s="152">
        <f>CD253-CE253-CF253</f>
        <v/>
      </c>
      <c r="CH253" s="152">
        <f>IF(CK252&lt;=0.005,0,CK252*(1+CH$6))</f>
        <v/>
      </c>
      <c r="CI253" s="152">
        <f>MIN(CH253,CH$7)</f>
        <v/>
      </c>
      <c r="CJ253" s="152">
        <f>MAX(0,MIN(CH253-CI253,CL253-(AZ253+BD253+BH253+BL253+BP253+BT253+BX253+CB253+CF253)))</f>
        <v/>
      </c>
      <c r="CK253" s="152">
        <f>CH253-CI253-CJ253</f>
        <v/>
      </c>
      <c r="CL253" s="152">
        <f>'Debt Payoff'!$C$8-SUM(AY253,BC253,BG253,BK253,BO253,BS253,BW253,CA253,CE253,CI253)</f>
        <v/>
      </c>
      <c r="CM253" s="152">
        <f>SUM(AY253,BC253,BG253,BK253,BO253,BS253,BW253,CA253,CE253,CI253)+SUM(AZ253,BD253,BH253,BL253,BP253,BT253,BX253,CB253,CF253,CJ253)</f>
        <v/>
      </c>
      <c r="CN253" s="152">
        <f>SUM(BA253,BE253,BI253,BM253,BQ253,BU253,BY253,CC253,CG253,CK253)</f>
        <v/>
      </c>
      <c r="CO253" s="152">
        <f>IF(AW253&gt;CN$6,NA(),AW253)</f>
        <v/>
      </c>
      <c r="CP253" s="152">
        <f>IF(AW253&gt;CN$6,NA(),CN253)</f>
        <v/>
      </c>
    </row>
    <row r="254">
      <c r="B254" s="152" t="n">
        <v>243</v>
      </c>
      <c r="C254" s="152">
        <f>IF(F253&lt;=0.005,0,F253*(1+C$6))</f>
        <v/>
      </c>
      <c r="D254" s="152">
        <f>MIN(C254,C$7)</f>
        <v/>
      </c>
      <c r="E254" s="152">
        <f>MAX(0,MIN(C254-D254,AQ254))</f>
        <v/>
      </c>
      <c r="F254" s="152">
        <f>C254-D254-E254</f>
        <v/>
      </c>
      <c r="G254" s="152">
        <f>IF(J253&lt;=0.005,0,J253*(1+G$6))</f>
        <v/>
      </c>
      <c r="H254" s="152">
        <f>MIN(G254,G$7)</f>
        <v/>
      </c>
      <c r="I254" s="152">
        <f>MAX(0,MIN(G254-H254,AQ254-(E254)))</f>
        <v/>
      </c>
      <c r="J254" s="152">
        <f>G254-H254-I254</f>
        <v/>
      </c>
      <c r="K254" s="152">
        <f>IF(N253&lt;=0.005,0,N253*(1+K$6))</f>
        <v/>
      </c>
      <c r="L254" s="152">
        <f>MIN(K254,K$7)</f>
        <v/>
      </c>
      <c r="M254" s="152">
        <f>MAX(0,MIN(K254-L254,AQ254-(E254+I254)))</f>
        <v/>
      </c>
      <c r="N254" s="152">
        <f>K254-L254-M254</f>
        <v/>
      </c>
      <c r="O254" s="152">
        <f>IF(R253&lt;=0.005,0,R253*(1+O$6))</f>
        <v/>
      </c>
      <c r="P254" s="152">
        <f>MIN(O254,O$7)</f>
        <v/>
      </c>
      <c r="Q254" s="152">
        <f>MAX(0,MIN(O254-P254,AQ254-(E254+I254+M254)))</f>
        <v/>
      </c>
      <c r="R254" s="152">
        <f>O254-P254-Q254</f>
        <v/>
      </c>
      <c r="S254" s="152">
        <f>IF(V253&lt;=0.005,0,V253*(1+S$6))</f>
        <v/>
      </c>
      <c r="T254" s="152">
        <f>MIN(S254,S$7)</f>
        <v/>
      </c>
      <c r="U254" s="152">
        <f>MAX(0,MIN(S254-T254,AQ254-(E254+I254+M254+Q254)))</f>
        <v/>
      </c>
      <c r="V254" s="152">
        <f>S254-T254-U254</f>
        <v/>
      </c>
      <c r="W254" s="152">
        <f>IF(Z253&lt;=0.005,0,Z253*(1+W$6))</f>
        <v/>
      </c>
      <c r="X254" s="152">
        <f>MIN(W254,W$7)</f>
        <v/>
      </c>
      <c r="Y254" s="152">
        <f>MAX(0,MIN(W254-X254,AQ254-(E254+I254+M254+Q254+U254)))</f>
        <v/>
      </c>
      <c r="Z254" s="152">
        <f>W254-X254-Y254</f>
        <v/>
      </c>
      <c r="AA254" s="152">
        <f>IF(AD253&lt;=0.005,0,AD253*(1+AA$6))</f>
        <v/>
      </c>
      <c r="AB254" s="152">
        <f>MIN(AA254,AA$7)</f>
        <v/>
      </c>
      <c r="AC254" s="152">
        <f>MAX(0,MIN(AA254-AB254,AQ254-(E254+I254+M254+Q254+U254+Y254)))</f>
        <v/>
      </c>
      <c r="AD254" s="152">
        <f>AA254-AB254-AC254</f>
        <v/>
      </c>
      <c r="AE254" s="152">
        <f>IF(AH253&lt;=0.005,0,AH253*(1+AE$6))</f>
        <v/>
      </c>
      <c r="AF254" s="152">
        <f>MIN(AE254,AE$7)</f>
        <v/>
      </c>
      <c r="AG254" s="152">
        <f>MAX(0,MIN(AE254-AF254,AQ254-(E254+I254+M254+Q254+U254+Y254+AC254)))</f>
        <v/>
      </c>
      <c r="AH254" s="152">
        <f>AE254-AF254-AG254</f>
        <v/>
      </c>
      <c r="AI254" s="152">
        <f>IF(AL253&lt;=0.005,0,AL253*(1+AI$6))</f>
        <v/>
      </c>
      <c r="AJ254" s="152">
        <f>MIN(AI254,AI$7)</f>
        <v/>
      </c>
      <c r="AK254" s="152">
        <f>MAX(0,MIN(AI254-AJ254,AQ254-(E254+I254+M254+Q254+U254+Y254+AC254+AG254)))</f>
        <v/>
      </c>
      <c r="AL254" s="152">
        <f>AI254-AJ254-AK254</f>
        <v/>
      </c>
      <c r="AM254" s="152">
        <f>IF(AP253&lt;=0.005,0,AP253*(1+AM$6))</f>
        <v/>
      </c>
      <c r="AN254" s="152">
        <f>MIN(AM254,AM$7)</f>
        <v/>
      </c>
      <c r="AO254" s="152">
        <f>MAX(0,MIN(AM254-AN254,AQ254-(E254+I254+M254+Q254+U254+Y254+AC254+AG254+AK254)))</f>
        <v/>
      </c>
      <c r="AP254" s="152">
        <f>AM254-AN254-AO254</f>
        <v/>
      </c>
      <c r="AQ254" s="152">
        <f>'Debt Payoff'!$C$8-SUM(D254,H254,L254,P254,T254,X254,AB254,AF254,AJ254,AN254)</f>
        <v/>
      </c>
      <c r="AR254" s="152">
        <f>SUM(D254,H254,L254,P254,T254,X254,AB254,AF254,AJ254,AN254)+SUM(E254,I254,M254,Q254,U254,Y254,AC254,AG254,AK254,AO254)</f>
        <v/>
      </c>
      <c r="AS254" s="152">
        <f>SUM(F254,J254,N254,R254,V254,Z254,AD254,AH254,AL254,AP254)</f>
        <v/>
      </c>
      <c r="AT254" s="152">
        <f>IF(B254&gt;AS$6,NA(),B254)</f>
        <v/>
      </c>
      <c r="AU254" s="152">
        <f>IF(B254&gt;AS$6,NA(),AS254)</f>
        <v/>
      </c>
      <c r="AV254" s="152" t="n"/>
      <c r="AW254" s="152" t="n">
        <v>243</v>
      </c>
      <c r="AX254" s="152">
        <f>IF(BA253&lt;=0.005,0,BA253*(1+AX$6))</f>
        <v/>
      </c>
      <c r="AY254" s="152">
        <f>MIN(AX254,AX$7)</f>
        <v/>
      </c>
      <c r="AZ254" s="152">
        <f>MAX(0,MIN(AX254-AY254,CL254))</f>
        <v/>
      </c>
      <c r="BA254" s="152">
        <f>AX254-AY254-AZ254</f>
        <v/>
      </c>
      <c r="BB254" s="152">
        <f>IF(BE253&lt;=0.005,0,BE253*(1+BB$6))</f>
        <v/>
      </c>
      <c r="BC254" s="152">
        <f>MIN(BB254,BB$7)</f>
        <v/>
      </c>
      <c r="BD254" s="152">
        <f>MAX(0,MIN(BB254-BC254,CL254-(AZ254)))</f>
        <v/>
      </c>
      <c r="BE254" s="152">
        <f>BB254-BC254-BD254</f>
        <v/>
      </c>
      <c r="BF254" s="152">
        <f>IF(BI253&lt;=0.005,0,BI253*(1+BF$6))</f>
        <v/>
      </c>
      <c r="BG254" s="152">
        <f>MIN(BF254,BF$7)</f>
        <v/>
      </c>
      <c r="BH254" s="152">
        <f>MAX(0,MIN(BF254-BG254,CL254-(AZ254+BD254)))</f>
        <v/>
      </c>
      <c r="BI254" s="152">
        <f>BF254-BG254-BH254</f>
        <v/>
      </c>
      <c r="BJ254" s="152">
        <f>IF(BM253&lt;=0.005,0,BM253*(1+BJ$6))</f>
        <v/>
      </c>
      <c r="BK254" s="152">
        <f>MIN(BJ254,BJ$7)</f>
        <v/>
      </c>
      <c r="BL254" s="152">
        <f>MAX(0,MIN(BJ254-BK254,CL254-(AZ254+BD254+BH254)))</f>
        <v/>
      </c>
      <c r="BM254" s="152">
        <f>BJ254-BK254-BL254</f>
        <v/>
      </c>
      <c r="BN254" s="152">
        <f>IF(BQ253&lt;=0.005,0,BQ253*(1+BN$6))</f>
        <v/>
      </c>
      <c r="BO254" s="152">
        <f>MIN(BN254,BN$7)</f>
        <v/>
      </c>
      <c r="BP254" s="152">
        <f>MAX(0,MIN(BN254-BO254,CL254-(AZ254+BD254+BH254+BL254)))</f>
        <v/>
      </c>
      <c r="BQ254" s="152">
        <f>BN254-BO254-BP254</f>
        <v/>
      </c>
      <c r="BR254" s="152">
        <f>IF(BU253&lt;=0.005,0,BU253*(1+BR$6))</f>
        <v/>
      </c>
      <c r="BS254" s="152">
        <f>MIN(BR254,BR$7)</f>
        <v/>
      </c>
      <c r="BT254" s="152">
        <f>MAX(0,MIN(BR254-BS254,CL254-(AZ254+BD254+BH254+BL254+BP254)))</f>
        <v/>
      </c>
      <c r="BU254" s="152">
        <f>BR254-BS254-BT254</f>
        <v/>
      </c>
      <c r="BV254" s="152">
        <f>IF(BY253&lt;=0.005,0,BY253*(1+BV$6))</f>
        <v/>
      </c>
      <c r="BW254" s="152">
        <f>MIN(BV254,BV$7)</f>
        <v/>
      </c>
      <c r="BX254" s="152">
        <f>MAX(0,MIN(BV254-BW254,CL254-(AZ254+BD254+BH254+BL254+BP254+BT254)))</f>
        <v/>
      </c>
      <c r="BY254" s="152">
        <f>BV254-BW254-BX254</f>
        <v/>
      </c>
      <c r="BZ254" s="152">
        <f>IF(CC253&lt;=0.005,0,CC253*(1+BZ$6))</f>
        <v/>
      </c>
      <c r="CA254" s="152">
        <f>MIN(BZ254,BZ$7)</f>
        <v/>
      </c>
      <c r="CB254" s="152">
        <f>MAX(0,MIN(BZ254-CA254,CL254-(AZ254+BD254+BH254+BL254+BP254+BT254+BX254)))</f>
        <v/>
      </c>
      <c r="CC254" s="152">
        <f>BZ254-CA254-CB254</f>
        <v/>
      </c>
      <c r="CD254" s="152">
        <f>IF(CG253&lt;=0.005,0,CG253*(1+CD$6))</f>
        <v/>
      </c>
      <c r="CE254" s="152">
        <f>MIN(CD254,CD$7)</f>
        <v/>
      </c>
      <c r="CF254" s="152">
        <f>MAX(0,MIN(CD254-CE254,CL254-(AZ254+BD254+BH254+BL254+BP254+BT254+BX254+CB254)))</f>
        <v/>
      </c>
      <c r="CG254" s="152">
        <f>CD254-CE254-CF254</f>
        <v/>
      </c>
      <c r="CH254" s="152">
        <f>IF(CK253&lt;=0.005,0,CK253*(1+CH$6))</f>
        <v/>
      </c>
      <c r="CI254" s="152">
        <f>MIN(CH254,CH$7)</f>
        <v/>
      </c>
      <c r="CJ254" s="152">
        <f>MAX(0,MIN(CH254-CI254,CL254-(AZ254+BD254+BH254+BL254+BP254+BT254+BX254+CB254+CF254)))</f>
        <v/>
      </c>
      <c r="CK254" s="152">
        <f>CH254-CI254-CJ254</f>
        <v/>
      </c>
      <c r="CL254" s="152">
        <f>'Debt Payoff'!$C$8-SUM(AY254,BC254,BG254,BK254,BO254,BS254,BW254,CA254,CE254,CI254)</f>
        <v/>
      </c>
      <c r="CM254" s="152">
        <f>SUM(AY254,BC254,BG254,BK254,BO254,BS254,BW254,CA254,CE254,CI254)+SUM(AZ254,BD254,BH254,BL254,BP254,BT254,BX254,CB254,CF254,CJ254)</f>
        <v/>
      </c>
      <c r="CN254" s="152">
        <f>SUM(BA254,BE254,BI254,BM254,BQ254,BU254,BY254,CC254,CG254,CK254)</f>
        <v/>
      </c>
      <c r="CO254" s="152">
        <f>IF(AW254&gt;CN$6,NA(),AW254)</f>
        <v/>
      </c>
      <c r="CP254" s="152">
        <f>IF(AW254&gt;CN$6,NA(),CN254)</f>
        <v/>
      </c>
    </row>
    <row r="255">
      <c r="B255" s="152" t="n">
        <v>244</v>
      </c>
      <c r="C255" s="152">
        <f>IF(F254&lt;=0.005,0,F254*(1+C$6))</f>
        <v/>
      </c>
      <c r="D255" s="152">
        <f>MIN(C255,C$7)</f>
        <v/>
      </c>
      <c r="E255" s="152">
        <f>MAX(0,MIN(C255-D255,AQ255))</f>
        <v/>
      </c>
      <c r="F255" s="152">
        <f>C255-D255-E255</f>
        <v/>
      </c>
      <c r="G255" s="152">
        <f>IF(J254&lt;=0.005,0,J254*(1+G$6))</f>
        <v/>
      </c>
      <c r="H255" s="152">
        <f>MIN(G255,G$7)</f>
        <v/>
      </c>
      <c r="I255" s="152">
        <f>MAX(0,MIN(G255-H255,AQ255-(E255)))</f>
        <v/>
      </c>
      <c r="J255" s="152">
        <f>G255-H255-I255</f>
        <v/>
      </c>
      <c r="K255" s="152">
        <f>IF(N254&lt;=0.005,0,N254*(1+K$6))</f>
        <v/>
      </c>
      <c r="L255" s="152">
        <f>MIN(K255,K$7)</f>
        <v/>
      </c>
      <c r="M255" s="152">
        <f>MAX(0,MIN(K255-L255,AQ255-(E255+I255)))</f>
        <v/>
      </c>
      <c r="N255" s="152">
        <f>K255-L255-M255</f>
        <v/>
      </c>
      <c r="O255" s="152">
        <f>IF(R254&lt;=0.005,0,R254*(1+O$6))</f>
        <v/>
      </c>
      <c r="P255" s="152">
        <f>MIN(O255,O$7)</f>
        <v/>
      </c>
      <c r="Q255" s="152">
        <f>MAX(0,MIN(O255-P255,AQ255-(E255+I255+M255)))</f>
        <v/>
      </c>
      <c r="R255" s="152">
        <f>O255-P255-Q255</f>
        <v/>
      </c>
      <c r="S255" s="152">
        <f>IF(V254&lt;=0.005,0,V254*(1+S$6))</f>
        <v/>
      </c>
      <c r="T255" s="152">
        <f>MIN(S255,S$7)</f>
        <v/>
      </c>
      <c r="U255" s="152">
        <f>MAX(0,MIN(S255-T255,AQ255-(E255+I255+M255+Q255)))</f>
        <v/>
      </c>
      <c r="V255" s="152">
        <f>S255-T255-U255</f>
        <v/>
      </c>
      <c r="W255" s="152">
        <f>IF(Z254&lt;=0.005,0,Z254*(1+W$6))</f>
        <v/>
      </c>
      <c r="X255" s="152">
        <f>MIN(W255,W$7)</f>
        <v/>
      </c>
      <c r="Y255" s="152">
        <f>MAX(0,MIN(W255-X255,AQ255-(E255+I255+M255+Q255+U255)))</f>
        <v/>
      </c>
      <c r="Z255" s="152">
        <f>W255-X255-Y255</f>
        <v/>
      </c>
      <c r="AA255" s="152">
        <f>IF(AD254&lt;=0.005,0,AD254*(1+AA$6))</f>
        <v/>
      </c>
      <c r="AB255" s="152">
        <f>MIN(AA255,AA$7)</f>
        <v/>
      </c>
      <c r="AC255" s="152">
        <f>MAX(0,MIN(AA255-AB255,AQ255-(E255+I255+M255+Q255+U255+Y255)))</f>
        <v/>
      </c>
      <c r="AD255" s="152">
        <f>AA255-AB255-AC255</f>
        <v/>
      </c>
      <c r="AE255" s="152">
        <f>IF(AH254&lt;=0.005,0,AH254*(1+AE$6))</f>
        <v/>
      </c>
      <c r="AF255" s="152">
        <f>MIN(AE255,AE$7)</f>
        <v/>
      </c>
      <c r="AG255" s="152">
        <f>MAX(0,MIN(AE255-AF255,AQ255-(E255+I255+M255+Q255+U255+Y255+AC255)))</f>
        <v/>
      </c>
      <c r="AH255" s="152">
        <f>AE255-AF255-AG255</f>
        <v/>
      </c>
      <c r="AI255" s="152">
        <f>IF(AL254&lt;=0.005,0,AL254*(1+AI$6))</f>
        <v/>
      </c>
      <c r="AJ255" s="152">
        <f>MIN(AI255,AI$7)</f>
        <v/>
      </c>
      <c r="AK255" s="152">
        <f>MAX(0,MIN(AI255-AJ255,AQ255-(E255+I255+M255+Q255+U255+Y255+AC255+AG255)))</f>
        <v/>
      </c>
      <c r="AL255" s="152">
        <f>AI255-AJ255-AK255</f>
        <v/>
      </c>
      <c r="AM255" s="152">
        <f>IF(AP254&lt;=0.005,0,AP254*(1+AM$6))</f>
        <v/>
      </c>
      <c r="AN255" s="152">
        <f>MIN(AM255,AM$7)</f>
        <v/>
      </c>
      <c r="AO255" s="152">
        <f>MAX(0,MIN(AM255-AN255,AQ255-(E255+I255+M255+Q255+U255+Y255+AC255+AG255+AK255)))</f>
        <v/>
      </c>
      <c r="AP255" s="152">
        <f>AM255-AN255-AO255</f>
        <v/>
      </c>
      <c r="AQ255" s="152">
        <f>'Debt Payoff'!$C$8-SUM(D255,H255,L255,P255,T255,X255,AB255,AF255,AJ255,AN255)</f>
        <v/>
      </c>
      <c r="AR255" s="152">
        <f>SUM(D255,H255,L255,P255,T255,X255,AB255,AF255,AJ255,AN255)+SUM(E255,I255,M255,Q255,U255,Y255,AC255,AG255,AK255,AO255)</f>
        <v/>
      </c>
      <c r="AS255" s="152">
        <f>SUM(F255,J255,N255,R255,V255,Z255,AD255,AH255,AL255,AP255)</f>
        <v/>
      </c>
      <c r="AT255" s="152">
        <f>IF(B255&gt;AS$6,NA(),B255)</f>
        <v/>
      </c>
      <c r="AU255" s="152">
        <f>IF(B255&gt;AS$6,NA(),AS255)</f>
        <v/>
      </c>
      <c r="AV255" s="152" t="n"/>
      <c r="AW255" s="152" t="n">
        <v>244</v>
      </c>
      <c r="AX255" s="152">
        <f>IF(BA254&lt;=0.005,0,BA254*(1+AX$6))</f>
        <v/>
      </c>
      <c r="AY255" s="152">
        <f>MIN(AX255,AX$7)</f>
        <v/>
      </c>
      <c r="AZ255" s="152">
        <f>MAX(0,MIN(AX255-AY255,CL255))</f>
        <v/>
      </c>
      <c r="BA255" s="152">
        <f>AX255-AY255-AZ255</f>
        <v/>
      </c>
      <c r="BB255" s="152">
        <f>IF(BE254&lt;=0.005,0,BE254*(1+BB$6))</f>
        <v/>
      </c>
      <c r="BC255" s="152">
        <f>MIN(BB255,BB$7)</f>
        <v/>
      </c>
      <c r="BD255" s="152">
        <f>MAX(0,MIN(BB255-BC255,CL255-(AZ255)))</f>
        <v/>
      </c>
      <c r="BE255" s="152">
        <f>BB255-BC255-BD255</f>
        <v/>
      </c>
      <c r="BF255" s="152">
        <f>IF(BI254&lt;=0.005,0,BI254*(1+BF$6))</f>
        <v/>
      </c>
      <c r="BG255" s="152">
        <f>MIN(BF255,BF$7)</f>
        <v/>
      </c>
      <c r="BH255" s="152">
        <f>MAX(0,MIN(BF255-BG255,CL255-(AZ255+BD255)))</f>
        <v/>
      </c>
      <c r="BI255" s="152">
        <f>BF255-BG255-BH255</f>
        <v/>
      </c>
      <c r="BJ255" s="152">
        <f>IF(BM254&lt;=0.005,0,BM254*(1+BJ$6))</f>
        <v/>
      </c>
      <c r="BK255" s="152">
        <f>MIN(BJ255,BJ$7)</f>
        <v/>
      </c>
      <c r="BL255" s="152">
        <f>MAX(0,MIN(BJ255-BK255,CL255-(AZ255+BD255+BH255)))</f>
        <v/>
      </c>
      <c r="BM255" s="152">
        <f>BJ255-BK255-BL255</f>
        <v/>
      </c>
      <c r="BN255" s="152">
        <f>IF(BQ254&lt;=0.005,0,BQ254*(1+BN$6))</f>
        <v/>
      </c>
      <c r="BO255" s="152">
        <f>MIN(BN255,BN$7)</f>
        <v/>
      </c>
      <c r="BP255" s="152">
        <f>MAX(0,MIN(BN255-BO255,CL255-(AZ255+BD255+BH255+BL255)))</f>
        <v/>
      </c>
      <c r="BQ255" s="152">
        <f>BN255-BO255-BP255</f>
        <v/>
      </c>
      <c r="BR255" s="152">
        <f>IF(BU254&lt;=0.005,0,BU254*(1+BR$6))</f>
        <v/>
      </c>
      <c r="BS255" s="152">
        <f>MIN(BR255,BR$7)</f>
        <v/>
      </c>
      <c r="BT255" s="152">
        <f>MAX(0,MIN(BR255-BS255,CL255-(AZ255+BD255+BH255+BL255+BP255)))</f>
        <v/>
      </c>
      <c r="BU255" s="152">
        <f>BR255-BS255-BT255</f>
        <v/>
      </c>
      <c r="BV255" s="152">
        <f>IF(BY254&lt;=0.005,0,BY254*(1+BV$6))</f>
        <v/>
      </c>
      <c r="BW255" s="152">
        <f>MIN(BV255,BV$7)</f>
        <v/>
      </c>
      <c r="BX255" s="152">
        <f>MAX(0,MIN(BV255-BW255,CL255-(AZ255+BD255+BH255+BL255+BP255+BT255)))</f>
        <v/>
      </c>
      <c r="BY255" s="152">
        <f>BV255-BW255-BX255</f>
        <v/>
      </c>
      <c r="BZ255" s="152">
        <f>IF(CC254&lt;=0.005,0,CC254*(1+BZ$6))</f>
        <v/>
      </c>
      <c r="CA255" s="152">
        <f>MIN(BZ255,BZ$7)</f>
        <v/>
      </c>
      <c r="CB255" s="152">
        <f>MAX(0,MIN(BZ255-CA255,CL255-(AZ255+BD255+BH255+BL255+BP255+BT255+BX255)))</f>
        <v/>
      </c>
      <c r="CC255" s="152">
        <f>BZ255-CA255-CB255</f>
        <v/>
      </c>
      <c r="CD255" s="152">
        <f>IF(CG254&lt;=0.005,0,CG254*(1+CD$6))</f>
        <v/>
      </c>
      <c r="CE255" s="152">
        <f>MIN(CD255,CD$7)</f>
        <v/>
      </c>
      <c r="CF255" s="152">
        <f>MAX(0,MIN(CD255-CE255,CL255-(AZ255+BD255+BH255+BL255+BP255+BT255+BX255+CB255)))</f>
        <v/>
      </c>
      <c r="CG255" s="152">
        <f>CD255-CE255-CF255</f>
        <v/>
      </c>
      <c r="CH255" s="152">
        <f>IF(CK254&lt;=0.005,0,CK254*(1+CH$6))</f>
        <v/>
      </c>
      <c r="CI255" s="152">
        <f>MIN(CH255,CH$7)</f>
        <v/>
      </c>
      <c r="CJ255" s="152">
        <f>MAX(0,MIN(CH255-CI255,CL255-(AZ255+BD255+BH255+BL255+BP255+BT255+BX255+CB255+CF255)))</f>
        <v/>
      </c>
      <c r="CK255" s="152">
        <f>CH255-CI255-CJ255</f>
        <v/>
      </c>
      <c r="CL255" s="152">
        <f>'Debt Payoff'!$C$8-SUM(AY255,BC255,BG255,BK255,BO255,BS255,BW255,CA255,CE255,CI255)</f>
        <v/>
      </c>
      <c r="CM255" s="152">
        <f>SUM(AY255,BC255,BG255,BK255,BO255,BS255,BW255,CA255,CE255,CI255)+SUM(AZ255,BD255,BH255,BL255,BP255,BT255,BX255,CB255,CF255,CJ255)</f>
        <v/>
      </c>
      <c r="CN255" s="152">
        <f>SUM(BA255,BE255,BI255,BM255,BQ255,BU255,BY255,CC255,CG255,CK255)</f>
        <v/>
      </c>
      <c r="CO255" s="152">
        <f>IF(AW255&gt;CN$6,NA(),AW255)</f>
        <v/>
      </c>
      <c r="CP255" s="152">
        <f>IF(AW255&gt;CN$6,NA(),CN255)</f>
        <v/>
      </c>
    </row>
    <row r="256">
      <c r="B256" s="152" t="n">
        <v>245</v>
      </c>
      <c r="C256" s="152">
        <f>IF(F255&lt;=0.005,0,F255*(1+C$6))</f>
        <v/>
      </c>
      <c r="D256" s="152">
        <f>MIN(C256,C$7)</f>
        <v/>
      </c>
      <c r="E256" s="152">
        <f>MAX(0,MIN(C256-D256,AQ256))</f>
        <v/>
      </c>
      <c r="F256" s="152">
        <f>C256-D256-E256</f>
        <v/>
      </c>
      <c r="G256" s="152">
        <f>IF(J255&lt;=0.005,0,J255*(1+G$6))</f>
        <v/>
      </c>
      <c r="H256" s="152">
        <f>MIN(G256,G$7)</f>
        <v/>
      </c>
      <c r="I256" s="152">
        <f>MAX(0,MIN(G256-H256,AQ256-(E256)))</f>
        <v/>
      </c>
      <c r="J256" s="152">
        <f>G256-H256-I256</f>
        <v/>
      </c>
      <c r="K256" s="152">
        <f>IF(N255&lt;=0.005,0,N255*(1+K$6))</f>
        <v/>
      </c>
      <c r="L256" s="152">
        <f>MIN(K256,K$7)</f>
        <v/>
      </c>
      <c r="M256" s="152">
        <f>MAX(0,MIN(K256-L256,AQ256-(E256+I256)))</f>
        <v/>
      </c>
      <c r="N256" s="152">
        <f>K256-L256-M256</f>
        <v/>
      </c>
      <c r="O256" s="152">
        <f>IF(R255&lt;=0.005,0,R255*(1+O$6))</f>
        <v/>
      </c>
      <c r="P256" s="152">
        <f>MIN(O256,O$7)</f>
        <v/>
      </c>
      <c r="Q256" s="152">
        <f>MAX(0,MIN(O256-P256,AQ256-(E256+I256+M256)))</f>
        <v/>
      </c>
      <c r="R256" s="152">
        <f>O256-P256-Q256</f>
        <v/>
      </c>
      <c r="S256" s="152">
        <f>IF(V255&lt;=0.005,0,V255*(1+S$6))</f>
        <v/>
      </c>
      <c r="T256" s="152">
        <f>MIN(S256,S$7)</f>
        <v/>
      </c>
      <c r="U256" s="152">
        <f>MAX(0,MIN(S256-T256,AQ256-(E256+I256+M256+Q256)))</f>
        <v/>
      </c>
      <c r="V256" s="152">
        <f>S256-T256-U256</f>
        <v/>
      </c>
      <c r="W256" s="152">
        <f>IF(Z255&lt;=0.005,0,Z255*(1+W$6))</f>
        <v/>
      </c>
      <c r="X256" s="152">
        <f>MIN(W256,W$7)</f>
        <v/>
      </c>
      <c r="Y256" s="152">
        <f>MAX(0,MIN(W256-X256,AQ256-(E256+I256+M256+Q256+U256)))</f>
        <v/>
      </c>
      <c r="Z256" s="152">
        <f>W256-X256-Y256</f>
        <v/>
      </c>
      <c r="AA256" s="152">
        <f>IF(AD255&lt;=0.005,0,AD255*(1+AA$6))</f>
        <v/>
      </c>
      <c r="AB256" s="152">
        <f>MIN(AA256,AA$7)</f>
        <v/>
      </c>
      <c r="AC256" s="152">
        <f>MAX(0,MIN(AA256-AB256,AQ256-(E256+I256+M256+Q256+U256+Y256)))</f>
        <v/>
      </c>
      <c r="AD256" s="152">
        <f>AA256-AB256-AC256</f>
        <v/>
      </c>
      <c r="AE256" s="152">
        <f>IF(AH255&lt;=0.005,0,AH255*(1+AE$6))</f>
        <v/>
      </c>
      <c r="AF256" s="152">
        <f>MIN(AE256,AE$7)</f>
        <v/>
      </c>
      <c r="AG256" s="152">
        <f>MAX(0,MIN(AE256-AF256,AQ256-(E256+I256+M256+Q256+U256+Y256+AC256)))</f>
        <v/>
      </c>
      <c r="AH256" s="152">
        <f>AE256-AF256-AG256</f>
        <v/>
      </c>
      <c r="AI256" s="152">
        <f>IF(AL255&lt;=0.005,0,AL255*(1+AI$6))</f>
        <v/>
      </c>
      <c r="AJ256" s="152">
        <f>MIN(AI256,AI$7)</f>
        <v/>
      </c>
      <c r="AK256" s="152">
        <f>MAX(0,MIN(AI256-AJ256,AQ256-(E256+I256+M256+Q256+U256+Y256+AC256+AG256)))</f>
        <v/>
      </c>
      <c r="AL256" s="152">
        <f>AI256-AJ256-AK256</f>
        <v/>
      </c>
      <c r="AM256" s="152">
        <f>IF(AP255&lt;=0.005,0,AP255*(1+AM$6))</f>
        <v/>
      </c>
      <c r="AN256" s="152">
        <f>MIN(AM256,AM$7)</f>
        <v/>
      </c>
      <c r="AO256" s="152">
        <f>MAX(0,MIN(AM256-AN256,AQ256-(E256+I256+M256+Q256+U256+Y256+AC256+AG256+AK256)))</f>
        <v/>
      </c>
      <c r="AP256" s="152">
        <f>AM256-AN256-AO256</f>
        <v/>
      </c>
      <c r="AQ256" s="152">
        <f>'Debt Payoff'!$C$8-SUM(D256,H256,L256,P256,T256,X256,AB256,AF256,AJ256,AN256)</f>
        <v/>
      </c>
      <c r="AR256" s="152">
        <f>SUM(D256,H256,L256,P256,T256,X256,AB256,AF256,AJ256,AN256)+SUM(E256,I256,M256,Q256,U256,Y256,AC256,AG256,AK256,AO256)</f>
        <v/>
      </c>
      <c r="AS256" s="152">
        <f>SUM(F256,J256,N256,R256,V256,Z256,AD256,AH256,AL256,AP256)</f>
        <v/>
      </c>
      <c r="AT256" s="152">
        <f>IF(B256&gt;AS$6,NA(),B256)</f>
        <v/>
      </c>
      <c r="AU256" s="152">
        <f>IF(B256&gt;AS$6,NA(),AS256)</f>
        <v/>
      </c>
      <c r="AV256" s="152" t="n"/>
      <c r="AW256" s="152" t="n">
        <v>245</v>
      </c>
      <c r="AX256" s="152">
        <f>IF(BA255&lt;=0.005,0,BA255*(1+AX$6))</f>
        <v/>
      </c>
      <c r="AY256" s="152">
        <f>MIN(AX256,AX$7)</f>
        <v/>
      </c>
      <c r="AZ256" s="152">
        <f>MAX(0,MIN(AX256-AY256,CL256))</f>
        <v/>
      </c>
      <c r="BA256" s="152">
        <f>AX256-AY256-AZ256</f>
        <v/>
      </c>
      <c r="BB256" s="152">
        <f>IF(BE255&lt;=0.005,0,BE255*(1+BB$6))</f>
        <v/>
      </c>
      <c r="BC256" s="152">
        <f>MIN(BB256,BB$7)</f>
        <v/>
      </c>
      <c r="BD256" s="152">
        <f>MAX(0,MIN(BB256-BC256,CL256-(AZ256)))</f>
        <v/>
      </c>
      <c r="BE256" s="152">
        <f>BB256-BC256-BD256</f>
        <v/>
      </c>
      <c r="BF256" s="152">
        <f>IF(BI255&lt;=0.005,0,BI255*(1+BF$6))</f>
        <v/>
      </c>
      <c r="BG256" s="152">
        <f>MIN(BF256,BF$7)</f>
        <v/>
      </c>
      <c r="BH256" s="152">
        <f>MAX(0,MIN(BF256-BG256,CL256-(AZ256+BD256)))</f>
        <v/>
      </c>
      <c r="BI256" s="152">
        <f>BF256-BG256-BH256</f>
        <v/>
      </c>
      <c r="BJ256" s="152">
        <f>IF(BM255&lt;=0.005,0,BM255*(1+BJ$6))</f>
        <v/>
      </c>
      <c r="BK256" s="152">
        <f>MIN(BJ256,BJ$7)</f>
        <v/>
      </c>
      <c r="BL256" s="152">
        <f>MAX(0,MIN(BJ256-BK256,CL256-(AZ256+BD256+BH256)))</f>
        <v/>
      </c>
      <c r="BM256" s="152">
        <f>BJ256-BK256-BL256</f>
        <v/>
      </c>
      <c r="BN256" s="152">
        <f>IF(BQ255&lt;=0.005,0,BQ255*(1+BN$6))</f>
        <v/>
      </c>
      <c r="BO256" s="152">
        <f>MIN(BN256,BN$7)</f>
        <v/>
      </c>
      <c r="BP256" s="152">
        <f>MAX(0,MIN(BN256-BO256,CL256-(AZ256+BD256+BH256+BL256)))</f>
        <v/>
      </c>
      <c r="BQ256" s="152">
        <f>BN256-BO256-BP256</f>
        <v/>
      </c>
      <c r="BR256" s="152">
        <f>IF(BU255&lt;=0.005,0,BU255*(1+BR$6))</f>
        <v/>
      </c>
      <c r="BS256" s="152">
        <f>MIN(BR256,BR$7)</f>
        <v/>
      </c>
      <c r="BT256" s="152">
        <f>MAX(0,MIN(BR256-BS256,CL256-(AZ256+BD256+BH256+BL256+BP256)))</f>
        <v/>
      </c>
      <c r="BU256" s="152">
        <f>BR256-BS256-BT256</f>
        <v/>
      </c>
      <c r="BV256" s="152">
        <f>IF(BY255&lt;=0.005,0,BY255*(1+BV$6))</f>
        <v/>
      </c>
      <c r="BW256" s="152">
        <f>MIN(BV256,BV$7)</f>
        <v/>
      </c>
      <c r="BX256" s="152">
        <f>MAX(0,MIN(BV256-BW256,CL256-(AZ256+BD256+BH256+BL256+BP256+BT256)))</f>
        <v/>
      </c>
      <c r="BY256" s="152">
        <f>BV256-BW256-BX256</f>
        <v/>
      </c>
      <c r="BZ256" s="152">
        <f>IF(CC255&lt;=0.005,0,CC255*(1+BZ$6))</f>
        <v/>
      </c>
      <c r="CA256" s="152">
        <f>MIN(BZ256,BZ$7)</f>
        <v/>
      </c>
      <c r="CB256" s="152">
        <f>MAX(0,MIN(BZ256-CA256,CL256-(AZ256+BD256+BH256+BL256+BP256+BT256+BX256)))</f>
        <v/>
      </c>
      <c r="CC256" s="152">
        <f>BZ256-CA256-CB256</f>
        <v/>
      </c>
      <c r="CD256" s="152">
        <f>IF(CG255&lt;=0.005,0,CG255*(1+CD$6))</f>
        <v/>
      </c>
      <c r="CE256" s="152">
        <f>MIN(CD256,CD$7)</f>
        <v/>
      </c>
      <c r="CF256" s="152">
        <f>MAX(0,MIN(CD256-CE256,CL256-(AZ256+BD256+BH256+BL256+BP256+BT256+BX256+CB256)))</f>
        <v/>
      </c>
      <c r="CG256" s="152">
        <f>CD256-CE256-CF256</f>
        <v/>
      </c>
      <c r="CH256" s="152">
        <f>IF(CK255&lt;=0.005,0,CK255*(1+CH$6))</f>
        <v/>
      </c>
      <c r="CI256" s="152">
        <f>MIN(CH256,CH$7)</f>
        <v/>
      </c>
      <c r="CJ256" s="152">
        <f>MAX(0,MIN(CH256-CI256,CL256-(AZ256+BD256+BH256+BL256+BP256+BT256+BX256+CB256+CF256)))</f>
        <v/>
      </c>
      <c r="CK256" s="152">
        <f>CH256-CI256-CJ256</f>
        <v/>
      </c>
      <c r="CL256" s="152">
        <f>'Debt Payoff'!$C$8-SUM(AY256,BC256,BG256,BK256,BO256,BS256,BW256,CA256,CE256,CI256)</f>
        <v/>
      </c>
      <c r="CM256" s="152">
        <f>SUM(AY256,BC256,BG256,BK256,BO256,BS256,BW256,CA256,CE256,CI256)+SUM(AZ256,BD256,BH256,BL256,BP256,BT256,BX256,CB256,CF256,CJ256)</f>
        <v/>
      </c>
      <c r="CN256" s="152">
        <f>SUM(BA256,BE256,BI256,BM256,BQ256,BU256,BY256,CC256,CG256,CK256)</f>
        <v/>
      </c>
      <c r="CO256" s="152">
        <f>IF(AW256&gt;CN$6,NA(),AW256)</f>
        <v/>
      </c>
      <c r="CP256" s="152">
        <f>IF(AW256&gt;CN$6,NA(),CN256)</f>
        <v/>
      </c>
    </row>
    <row r="257">
      <c r="B257" s="152" t="n">
        <v>246</v>
      </c>
      <c r="C257" s="152">
        <f>IF(F256&lt;=0.005,0,F256*(1+C$6))</f>
        <v/>
      </c>
      <c r="D257" s="152">
        <f>MIN(C257,C$7)</f>
        <v/>
      </c>
      <c r="E257" s="152">
        <f>MAX(0,MIN(C257-D257,AQ257))</f>
        <v/>
      </c>
      <c r="F257" s="152">
        <f>C257-D257-E257</f>
        <v/>
      </c>
      <c r="G257" s="152">
        <f>IF(J256&lt;=0.005,0,J256*(1+G$6))</f>
        <v/>
      </c>
      <c r="H257" s="152">
        <f>MIN(G257,G$7)</f>
        <v/>
      </c>
      <c r="I257" s="152">
        <f>MAX(0,MIN(G257-H257,AQ257-(E257)))</f>
        <v/>
      </c>
      <c r="J257" s="152">
        <f>G257-H257-I257</f>
        <v/>
      </c>
      <c r="K257" s="152">
        <f>IF(N256&lt;=0.005,0,N256*(1+K$6))</f>
        <v/>
      </c>
      <c r="L257" s="152">
        <f>MIN(K257,K$7)</f>
        <v/>
      </c>
      <c r="M257" s="152">
        <f>MAX(0,MIN(K257-L257,AQ257-(E257+I257)))</f>
        <v/>
      </c>
      <c r="N257" s="152">
        <f>K257-L257-M257</f>
        <v/>
      </c>
      <c r="O257" s="152">
        <f>IF(R256&lt;=0.005,0,R256*(1+O$6))</f>
        <v/>
      </c>
      <c r="P257" s="152">
        <f>MIN(O257,O$7)</f>
        <v/>
      </c>
      <c r="Q257" s="152">
        <f>MAX(0,MIN(O257-P257,AQ257-(E257+I257+M257)))</f>
        <v/>
      </c>
      <c r="R257" s="152">
        <f>O257-P257-Q257</f>
        <v/>
      </c>
      <c r="S257" s="152">
        <f>IF(V256&lt;=0.005,0,V256*(1+S$6))</f>
        <v/>
      </c>
      <c r="T257" s="152">
        <f>MIN(S257,S$7)</f>
        <v/>
      </c>
      <c r="U257" s="152">
        <f>MAX(0,MIN(S257-T257,AQ257-(E257+I257+M257+Q257)))</f>
        <v/>
      </c>
      <c r="V257" s="152">
        <f>S257-T257-U257</f>
        <v/>
      </c>
      <c r="W257" s="152">
        <f>IF(Z256&lt;=0.005,0,Z256*(1+W$6))</f>
        <v/>
      </c>
      <c r="X257" s="152">
        <f>MIN(W257,W$7)</f>
        <v/>
      </c>
      <c r="Y257" s="152">
        <f>MAX(0,MIN(W257-X257,AQ257-(E257+I257+M257+Q257+U257)))</f>
        <v/>
      </c>
      <c r="Z257" s="152">
        <f>W257-X257-Y257</f>
        <v/>
      </c>
      <c r="AA257" s="152">
        <f>IF(AD256&lt;=0.005,0,AD256*(1+AA$6))</f>
        <v/>
      </c>
      <c r="AB257" s="152">
        <f>MIN(AA257,AA$7)</f>
        <v/>
      </c>
      <c r="AC257" s="152">
        <f>MAX(0,MIN(AA257-AB257,AQ257-(E257+I257+M257+Q257+U257+Y257)))</f>
        <v/>
      </c>
      <c r="AD257" s="152">
        <f>AA257-AB257-AC257</f>
        <v/>
      </c>
      <c r="AE257" s="152">
        <f>IF(AH256&lt;=0.005,0,AH256*(1+AE$6))</f>
        <v/>
      </c>
      <c r="AF257" s="152">
        <f>MIN(AE257,AE$7)</f>
        <v/>
      </c>
      <c r="AG257" s="152">
        <f>MAX(0,MIN(AE257-AF257,AQ257-(E257+I257+M257+Q257+U257+Y257+AC257)))</f>
        <v/>
      </c>
      <c r="AH257" s="152">
        <f>AE257-AF257-AG257</f>
        <v/>
      </c>
      <c r="AI257" s="152">
        <f>IF(AL256&lt;=0.005,0,AL256*(1+AI$6))</f>
        <v/>
      </c>
      <c r="AJ257" s="152">
        <f>MIN(AI257,AI$7)</f>
        <v/>
      </c>
      <c r="AK257" s="152">
        <f>MAX(0,MIN(AI257-AJ257,AQ257-(E257+I257+M257+Q257+U257+Y257+AC257+AG257)))</f>
        <v/>
      </c>
      <c r="AL257" s="152">
        <f>AI257-AJ257-AK257</f>
        <v/>
      </c>
      <c r="AM257" s="152">
        <f>IF(AP256&lt;=0.005,0,AP256*(1+AM$6))</f>
        <v/>
      </c>
      <c r="AN257" s="152">
        <f>MIN(AM257,AM$7)</f>
        <v/>
      </c>
      <c r="AO257" s="152">
        <f>MAX(0,MIN(AM257-AN257,AQ257-(E257+I257+M257+Q257+U257+Y257+AC257+AG257+AK257)))</f>
        <v/>
      </c>
      <c r="AP257" s="152">
        <f>AM257-AN257-AO257</f>
        <v/>
      </c>
      <c r="AQ257" s="152">
        <f>'Debt Payoff'!$C$8-SUM(D257,H257,L257,P257,T257,X257,AB257,AF257,AJ257,AN257)</f>
        <v/>
      </c>
      <c r="AR257" s="152">
        <f>SUM(D257,H257,L257,P257,T257,X257,AB257,AF257,AJ257,AN257)+SUM(E257,I257,M257,Q257,U257,Y257,AC257,AG257,AK257,AO257)</f>
        <v/>
      </c>
      <c r="AS257" s="152">
        <f>SUM(F257,J257,N257,R257,V257,Z257,AD257,AH257,AL257,AP257)</f>
        <v/>
      </c>
      <c r="AT257" s="152">
        <f>IF(B257&gt;AS$6,NA(),B257)</f>
        <v/>
      </c>
      <c r="AU257" s="152">
        <f>IF(B257&gt;AS$6,NA(),AS257)</f>
        <v/>
      </c>
      <c r="AV257" s="152" t="n"/>
      <c r="AW257" s="152" t="n">
        <v>246</v>
      </c>
      <c r="AX257" s="152">
        <f>IF(BA256&lt;=0.005,0,BA256*(1+AX$6))</f>
        <v/>
      </c>
      <c r="AY257" s="152">
        <f>MIN(AX257,AX$7)</f>
        <v/>
      </c>
      <c r="AZ257" s="152">
        <f>MAX(0,MIN(AX257-AY257,CL257))</f>
        <v/>
      </c>
      <c r="BA257" s="152">
        <f>AX257-AY257-AZ257</f>
        <v/>
      </c>
      <c r="BB257" s="152">
        <f>IF(BE256&lt;=0.005,0,BE256*(1+BB$6))</f>
        <v/>
      </c>
      <c r="BC257" s="152">
        <f>MIN(BB257,BB$7)</f>
        <v/>
      </c>
      <c r="BD257" s="152">
        <f>MAX(0,MIN(BB257-BC257,CL257-(AZ257)))</f>
        <v/>
      </c>
      <c r="BE257" s="152">
        <f>BB257-BC257-BD257</f>
        <v/>
      </c>
      <c r="BF257" s="152">
        <f>IF(BI256&lt;=0.005,0,BI256*(1+BF$6))</f>
        <v/>
      </c>
      <c r="BG257" s="152">
        <f>MIN(BF257,BF$7)</f>
        <v/>
      </c>
      <c r="BH257" s="152">
        <f>MAX(0,MIN(BF257-BG257,CL257-(AZ257+BD257)))</f>
        <v/>
      </c>
      <c r="BI257" s="152">
        <f>BF257-BG257-BH257</f>
        <v/>
      </c>
      <c r="BJ257" s="152">
        <f>IF(BM256&lt;=0.005,0,BM256*(1+BJ$6))</f>
        <v/>
      </c>
      <c r="BK257" s="152">
        <f>MIN(BJ257,BJ$7)</f>
        <v/>
      </c>
      <c r="BL257" s="152">
        <f>MAX(0,MIN(BJ257-BK257,CL257-(AZ257+BD257+BH257)))</f>
        <v/>
      </c>
      <c r="BM257" s="152">
        <f>BJ257-BK257-BL257</f>
        <v/>
      </c>
      <c r="BN257" s="152">
        <f>IF(BQ256&lt;=0.005,0,BQ256*(1+BN$6))</f>
        <v/>
      </c>
      <c r="BO257" s="152">
        <f>MIN(BN257,BN$7)</f>
        <v/>
      </c>
      <c r="BP257" s="152">
        <f>MAX(0,MIN(BN257-BO257,CL257-(AZ257+BD257+BH257+BL257)))</f>
        <v/>
      </c>
      <c r="BQ257" s="152">
        <f>BN257-BO257-BP257</f>
        <v/>
      </c>
      <c r="BR257" s="152">
        <f>IF(BU256&lt;=0.005,0,BU256*(1+BR$6))</f>
        <v/>
      </c>
      <c r="BS257" s="152">
        <f>MIN(BR257,BR$7)</f>
        <v/>
      </c>
      <c r="BT257" s="152">
        <f>MAX(0,MIN(BR257-BS257,CL257-(AZ257+BD257+BH257+BL257+BP257)))</f>
        <v/>
      </c>
      <c r="BU257" s="152">
        <f>BR257-BS257-BT257</f>
        <v/>
      </c>
      <c r="BV257" s="152">
        <f>IF(BY256&lt;=0.005,0,BY256*(1+BV$6))</f>
        <v/>
      </c>
      <c r="BW257" s="152">
        <f>MIN(BV257,BV$7)</f>
        <v/>
      </c>
      <c r="BX257" s="152">
        <f>MAX(0,MIN(BV257-BW257,CL257-(AZ257+BD257+BH257+BL257+BP257+BT257)))</f>
        <v/>
      </c>
      <c r="BY257" s="152">
        <f>BV257-BW257-BX257</f>
        <v/>
      </c>
      <c r="BZ257" s="152">
        <f>IF(CC256&lt;=0.005,0,CC256*(1+BZ$6))</f>
        <v/>
      </c>
      <c r="CA257" s="152">
        <f>MIN(BZ257,BZ$7)</f>
        <v/>
      </c>
      <c r="CB257" s="152">
        <f>MAX(0,MIN(BZ257-CA257,CL257-(AZ257+BD257+BH257+BL257+BP257+BT257+BX257)))</f>
        <v/>
      </c>
      <c r="CC257" s="152">
        <f>BZ257-CA257-CB257</f>
        <v/>
      </c>
      <c r="CD257" s="152">
        <f>IF(CG256&lt;=0.005,0,CG256*(1+CD$6))</f>
        <v/>
      </c>
      <c r="CE257" s="152">
        <f>MIN(CD257,CD$7)</f>
        <v/>
      </c>
      <c r="CF257" s="152">
        <f>MAX(0,MIN(CD257-CE257,CL257-(AZ257+BD257+BH257+BL257+BP257+BT257+BX257+CB257)))</f>
        <v/>
      </c>
      <c r="CG257" s="152">
        <f>CD257-CE257-CF257</f>
        <v/>
      </c>
      <c r="CH257" s="152">
        <f>IF(CK256&lt;=0.005,0,CK256*(1+CH$6))</f>
        <v/>
      </c>
      <c r="CI257" s="152">
        <f>MIN(CH257,CH$7)</f>
        <v/>
      </c>
      <c r="CJ257" s="152">
        <f>MAX(0,MIN(CH257-CI257,CL257-(AZ257+BD257+BH257+BL257+BP257+BT257+BX257+CB257+CF257)))</f>
        <v/>
      </c>
      <c r="CK257" s="152">
        <f>CH257-CI257-CJ257</f>
        <v/>
      </c>
      <c r="CL257" s="152">
        <f>'Debt Payoff'!$C$8-SUM(AY257,BC257,BG257,BK257,BO257,BS257,BW257,CA257,CE257,CI257)</f>
        <v/>
      </c>
      <c r="CM257" s="152">
        <f>SUM(AY257,BC257,BG257,BK257,BO257,BS257,BW257,CA257,CE257,CI257)+SUM(AZ257,BD257,BH257,BL257,BP257,BT257,BX257,CB257,CF257,CJ257)</f>
        <v/>
      </c>
      <c r="CN257" s="152">
        <f>SUM(BA257,BE257,BI257,BM257,BQ257,BU257,BY257,CC257,CG257,CK257)</f>
        <v/>
      </c>
      <c r="CO257" s="152">
        <f>IF(AW257&gt;CN$6,NA(),AW257)</f>
        <v/>
      </c>
      <c r="CP257" s="152">
        <f>IF(AW257&gt;CN$6,NA(),CN257)</f>
        <v/>
      </c>
    </row>
    <row r="258">
      <c r="B258" s="152" t="n">
        <v>247</v>
      </c>
      <c r="C258" s="152">
        <f>IF(F257&lt;=0.005,0,F257*(1+C$6))</f>
        <v/>
      </c>
      <c r="D258" s="152">
        <f>MIN(C258,C$7)</f>
        <v/>
      </c>
      <c r="E258" s="152">
        <f>MAX(0,MIN(C258-D258,AQ258))</f>
        <v/>
      </c>
      <c r="F258" s="152">
        <f>C258-D258-E258</f>
        <v/>
      </c>
      <c r="G258" s="152">
        <f>IF(J257&lt;=0.005,0,J257*(1+G$6))</f>
        <v/>
      </c>
      <c r="H258" s="152">
        <f>MIN(G258,G$7)</f>
        <v/>
      </c>
      <c r="I258" s="152">
        <f>MAX(0,MIN(G258-H258,AQ258-(E258)))</f>
        <v/>
      </c>
      <c r="J258" s="152">
        <f>G258-H258-I258</f>
        <v/>
      </c>
      <c r="K258" s="152">
        <f>IF(N257&lt;=0.005,0,N257*(1+K$6))</f>
        <v/>
      </c>
      <c r="L258" s="152">
        <f>MIN(K258,K$7)</f>
        <v/>
      </c>
      <c r="M258" s="152">
        <f>MAX(0,MIN(K258-L258,AQ258-(E258+I258)))</f>
        <v/>
      </c>
      <c r="N258" s="152">
        <f>K258-L258-M258</f>
        <v/>
      </c>
      <c r="O258" s="152">
        <f>IF(R257&lt;=0.005,0,R257*(1+O$6))</f>
        <v/>
      </c>
      <c r="P258" s="152">
        <f>MIN(O258,O$7)</f>
        <v/>
      </c>
      <c r="Q258" s="152">
        <f>MAX(0,MIN(O258-P258,AQ258-(E258+I258+M258)))</f>
        <v/>
      </c>
      <c r="R258" s="152">
        <f>O258-P258-Q258</f>
        <v/>
      </c>
      <c r="S258" s="152">
        <f>IF(V257&lt;=0.005,0,V257*(1+S$6))</f>
        <v/>
      </c>
      <c r="T258" s="152">
        <f>MIN(S258,S$7)</f>
        <v/>
      </c>
      <c r="U258" s="152">
        <f>MAX(0,MIN(S258-T258,AQ258-(E258+I258+M258+Q258)))</f>
        <v/>
      </c>
      <c r="V258" s="152">
        <f>S258-T258-U258</f>
        <v/>
      </c>
      <c r="W258" s="152">
        <f>IF(Z257&lt;=0.005,0,Z257*(1+W$6))</f>
        <v/>
      </c>
      <c r="X258" s="152">
        <f>MIN(W258,W$7)</f>
        <v/>
      </c>
      <c r="Y258" s="152">
        <f>MAX(0,MIN(W258-X258,AQ258-(E258+I258+M258+Q258+U258)))</f>
        <v/>
      </c>
      <c r="Z258" s="152">
        <f>W258-X258-Y258</f>
        <v/>
      </c>
      <c r="AA258" s="152">
        <f>IF(AD257&lt;=0.005,0,AD257*(1+AA$6))</f>
        <v/>
      </c>
      <c r="AB258" s="152">
        <f>MIN(AA258,AA$7)</f>
        <v/>
      </c>
      <c r="AC258" s="152">
        <f>MAX(0,MIN(AA258-AB258,AQ258-(E258+I258+M258+Q258+U258+Y258)))</f>
        <v/>
      </c>
      <c r="AD258" s="152">
        <f>AA258-AB258-AC258</f>
        <v/>
      </c>
      <c r="AE258" s="152">
        <f>IF(AH257&lt;=0.005,0,AH257*(1+AE$6))</f>
        <v/>
      </c>
      <c r="AF258" s="152">
        <f>MIN(AE258,AE$7)</f>
        <v/>
      </c>
      <c r="AG258" s="152">
        <f>MAX(0,MIN(AE258-AF258,AQ258-(E258+I258+M258+Q258+U258+Y258+AC258)))</f>
        <v/>
      </c>
      <c r="AH258" s="152">
        <f>AE258-AF258-AG258</f>
        <v/>
      </c>
      <c r="AI258" s="152">
        <f>IF(AL257&lt;=0.005,0,AL257*(1+AI$6))</f>
        <v/>
      </c>
      <c r="AJ258" s="152">
        <f>MIN(AI258,AI$7)</f>
        <v/>
      </c>
      <c r="AK258" s="152">
        <f>MAX(0,MIN(AI258-AJ258,AQ258-(E258+I258+M258+Q258+U258+Y258+AC258+AG258)))</f>
        <v/>
      </c>
      <c r="AL258" s="152">
        <f>AI258-AJ258-AK258</f>
        <v/>
      </c>
      <c r="AM258" s="152">
        <f>IF(AP257&lt;=0.005,0,AP257*(1+AM$6))</f>
        <v/>
      </c>
      <c r="AN258" s="152">
        <f>MIN(AM258,AM$7)</f>
        <v/>
      </c>
      <c r="AO258" s="152">
        <f>MAX(0,MIN(AM258-AN258,AQ258-(E258+I258+M258+Q258+U258+Y258+AC258+AG258+AK258)))</f>
        <v/>
      </c>
      <c r="AP258" s="152">
        <f>AM258-AN258-AO258</f>
        <v/>
      </c>
      <c r="AQ258" s="152">
        <f>'Debt Payoff'!$C$8-SUM(D258,H258,L258,P258,T258,X258,AB258,AF258,AJ258,AN258)</f>
        <v/>
      </c>
      <c r="AR258" s="152">
        <f>SUM(D258,H258,L258,P258,T258,X258,AB258,AF258,AJ258,AN258)+SUM(E258,I258,M258,Q258,U258,Y258,AC258,AG258,AK258,AO258)</f>
        <v/>
      </c>
      <c r="AS258" s="152">
        <f>SUM(F258,J258,N258,R258,V258,Z258,AD258,AH258,AL258,AP258)</f>
        <v/>
      </c>
      <c r="AT258" s="152">
        <f>IF(B258&gt;AS$6,NA(),B258)</f>
        <v/>
      </c>
      <c r="AU258" s="152">
        <f>IF(B258&gt;AS$6,NA(),AS258)</f>
        <v/>
      </c>
      <c r="AV258" s="152" t="n"/>
      <c r="AW258" s="152" t="n">
        <v>247</v>
      </c>
      <c r="AX258" s="152">
        <f>IF(BA257&lt;=0.005,0,BA257*(1+AX$6))</f>
        <v/>
      </c>
      <c r="AY258" s="152">
        <f>MIN(AX258,AX$7)</f>
        <v/>
      </c>
      <c r="AZ258" s="152">
        <f>MAX(0,MIN(AX258-AY258,CL258))</f>
        <v/>
      </c>
      <c r="BA258" s="152">
        <f>AX258-AY258-AZ258</f>
        <v/>
      </c>
      <c r="BB258" s="152">
        <f>IF(BE257&lt;=0.005,0,BE257*(1+BB$6))</f>
        <v/>
      </c>
      <c r="BC258" s="152">
        <f>MIN(BB258,BB$7)</f>
        <v/>
      </c>
      <c r="BD258" s="152">
        <f>MAX(0,MIN(BB258-BC258,CL258-(AZ258)))</f>
        <v/>
      </c>
      <c r="BE258" s="152">
        <f>BB258-BC258-BD258</f>
        <v/>
      </c>
      <c r="BF258" s="152">
        <f>IF(BI257&lt;=0.005,0,BI257*(1+BF$6))</f>
        <v/>
      </c>
      <c r="BG258" s="152">
        <f>MIN(BF258,BF$7)</f>
        <v/>
      </c>
      <c r="BH258" s="152">
        <f>MAX(0,MIN(BF258-BG258,CL258-(AZ258+BD258)))</f>
        <v/>
      </c>
      <c r="BI258" s="152">
        <f>BF258-BG258-BH258</f>
        <v/>
      </c>
      <c r="BJ258" s="152">
        <f>IF(BM257&lt;=0.005,0,BM257*(1+BJ$6))</f>
        <v/>
      </c>
      <c r="BK258" s="152">
        <f>MIN(BJ258,BJ$7)</f>
        <v/>
      </c>
      <c r="BL258" s="152">
        <f>MAX(0,MIN(BJ258-BK258,CL258-(AZ258+BD258+BH258)))</f>
        <v/>
      </c>
      <c r="BM258" s="152">
        <f>BJ258-BK258-BL258</f>
        <v/>
      </c>
      <c r="BN258" s="152">
        <f>IF(BQ257&lt;=0.005,0,BQ257*(1+BN$6))</f>
        <v/>
      </c>
      <c r="BO258" s="152">
        <f>MIN(BN258,BN$7)</f>
        <v/>
      </c>
      <c r="BP258" s="152">
        <f>MAX(0,MIN(BN258-BO258,CL258-(AZ258+BD258+BH258+BL258)))</f>
        <v/>
      </c>
      <c r="BQ258" s="152">
        <f>BN258-BO258-BP258</f>
        <v/>
      </c>
      <c r="BR258" s="152">
        <f>IF(BU257&lt;=0.005,0,BU257*(1+BR$6))</f>
        <v/>
      </c>
      <c r="BS258" s="152">
        <f>MIN(BR258,BR$7)</f>
        <v/>
      </c>
      <c r="BT258" s="152">
        <f>MAX(0,MIN(BR258-BS258,CL258-(AZ258+BD258+BH258+BL258+BP258)))</f>
        <v/>
      </c>
      <c r="BU258" s="152">
        <f>BR258-BS258-BT258</f>
        <v/>
      </c>
      <c r="BV258" s="152">
        <f>IF(BY257&lt;=0.005,0,BY257*(1+BV$6))</f>
        <v/>
      </c>
      <c r="BW258" s="152">
        <f>MIN(BV258,BV$7)</f>
        <v/>
      </c>
      <c r="BX258" s="152">
        <f>MAX(0,MIN(BV258-BW258,CL258-(AZ258+BD258+BH258+BL258+BP258+BT258)))</f>
        <v/>
      </c>
      <c r="BY258" s="152">
        <f>BV258-BW258-BX258</f>
        <v/>
      </c>
      <c r="BZ258" s="152">
        <f>IF(CC257&lt;=0.005,0,CC257*(1+BZ$6))</f>
        <v/>
      </c>
      <c r="CA258" s="152">
        <f>MIN(BZ258,BZ$7)</f>
        <v/>
      </c>
      <c r="CB258" s="152">
        <f>MAX(0,MIN(BZ258-CA258,CL258-(AZ258+BD258+BH258+BL258+BP258+BT258+BX258)))</f>
        <v/>
      </c>
      <c r="CC258" s="152">
        <f>BZ258-CA258-CB258</f>
        <v/>
      </c>
      <c r="CD258" s="152">
        <f>IF(CG257&lt;=0.005,0,CG257*(1+CD$6))</f>
        <v/>
      </c>
      <c r="CE258" s="152">
        <f>MIN(CD258,CD$7)</f>
        <v/>
      </c>
      <c r="CF258" s="152">
        <f>MAX(0,MIN(CD258-CE258,CL258-(AZ258+BD258+BH258+BL258+BP258+BT258+BX258+CB258)))</f>
        <v/>
      </c>
      <c r="CG258" s="152">
        <f>CD258-CE258-CF258</f>
        <v/>
      </c>
      <c r="CH258" s="152">
        <f>IF(CK257&lt;=0.005,0,CK257*(1+CH$6))</f>
        <v/>
      </c>
      <c r="CI258" s="152">
        <f>MIN(CH258,CH$7)</f>
        <v/>
      </c>
      <c r="CJ258" s="152">
        <f>MAX(0,MIN(CH258-CI258,CL258-(AZ258+BD258+BH258+BL258+BP258+BT258+BX258+CB258+CF258)))</f>
        <v/>
      </c>
      <c r="CK258" s="152">
        <f>CH258-CI258-CJ258</f>
        <v/>
      </c>
      <c r="CL258" s="152">
        <f>'Debt Payoff'!$C$8-SUM(AY258,BC258,BG258,BK258,BO258,BS258,BW258,CA258,CE258,CI258)</f>
        <v/>
      </c>
      <c r="CM258" s="152">
        <f>SUM(AY258,BC258,BG258,BK258,BO258,BS258,BW258,CA258,CE258,CI258)+SUM(AZ258,BD258,BH258,BL258,BP258,BT258,BX258,CB258,CF258,CJ258)</f>
        <v/>
      </c>
      <c r="CN258" s="152">
        <f>SUM(BA258,BE258,BI258,BM258,BQ258,BU258,BY258,CC258,CG258,CK258)</f>
        <v/>
      </c>
      <c r="CO258" s="152">
        <f>IF(AW258&gt;CN$6,NA(),AW258)</f>
        <v/>
      </c>
      <c r="CP258" s="152">
        <f>IF(AW258&gt;CN$6,NA(),CN258)</f>
        <v/>
      </c>
    </row>
    <row r="259">
      <c r="B259" s="152" t="n">
        <v>248</v>
      </c>
      <c r="C259" s="152">
        <f>IF(F258&lt;=0.005,0,F258*(1+C$6))</f>
        <v/>
      </c>
      <c r="D259" s="152">
        <f>MIN(C259,C$7)</f>
        <v/>
      </c>
      <c r="E259" s="152">
        <f>MAX(0,MIN(C259-D259,AQ259))</f>
        <v/>
      </c>
      <c r="F259" s="152">
        <f>C259-D259-E259</f>
        <v/>
      </c>
      <c r="G259" s="152">
        <f>IF(J258&lt;=0.005,0,J258*(1+G$6))</f>
        <v/>
      </c>
      <c r="H259" s="152">
        <f>MIN(G259,G$7)</f>
        <v/>
      </c>
      <c r="I259" s="152">
        <f>MAX(0,MIN(G259-H259,AQ259-(E259)))</f>
        <v/>
      </c>
      <c r="J259" s="152">
        <f>G259-H259-I259</f>
        <v/>
      </c>
      <c r="K259" s="152">
        <f>IF(N258&lt;=0.005,0,N258*(1+K$6))</f>
        <v/>
      </c>
      <c r="L259" s="152">
        <f>MIN(K259,K$7)</f>
        <v/>
      </c>
      <c r="M259" s="152">
        <f>MAX(0,MIN(K259-L259,AQ259-(E259+I259)))</f>
        <v/>
      </c>
      <c r="N259" s="152">
        <f>K259-L259-M259</f>
        <v/>
      </c>
      <c r="O259" s="152">
        <f>IF(R258&lt;=0.005,0,R258*(1+O$6))</f>
        <v/>
      </c>
      <c r="P259" s="152">
        <f>MIN(O259,O$7)</f>
        <v/>
      </c>
      <c r="Q259" s="152">
        <f>MAX(0,MIN(O259-P259,AQ259-(E259+I259+M259)))</f>
        <v/>
      </c>
      <c r="R259" s="152">
        <f>O259-P259-Q259</f>
        <v/>
      </c>
      <c r="S259" s="152">
        <f>IF(V258&lt;=0.005,0,V258*(1+S$6))</f>
        <v/>
      </c>
      <c r="T259" s="152">
        <f>MIN(S259,S$7)</f>
        <v/>
      </c>
      <c r="U259" s="152">
        <f>MAX(0,MIN(S259-T259,AQ259-(E259+I259+M259+Q259)))</f>
        <v/>
      </c>
      <c r="V259" s="152">
        <f>S259-T259-U259</f>
        <v/>
      </c>
      <c r="W259" s="152">
        <f>IF(Z258&lt;=0.005,0,Z258*(1+W$6))</f>
        <v/>
      </c>
      <c r="X259" s="152">
        <f>MIN(W259,W$7)</f>
        <v/>
      </c>
      <c r="Y259" s="152">
        <f>MAX(0,MIN(W259-X259,AQ259-(E259+I259+M259+Q259+U259)))</f>
        <v/>
      </c>
      <c r="Z259" s="152">
        <f>W259-X259-Y259</f>
        <v/>
      </c>
      <c r="AA259" s="152">
        <f>IF(AD258&lt;=0.005,0,AD258*(1+AA$6))</f>
        <v/>
      </c>
      <c r="AB259" s="152">
        <f>MIN(AA259,AA$7)</f>
        <v/>
      </c>
      <c r="AC259" s="152">
        <f>MAX(0,MIN(AA259-AB259,AQ259-(E259+I259+M259+Q259+U259+Y259)))</f>
        <v/>
      </c>
      <c r="AD259" s="152">
        <f>AA259-AB259-AC259</f>
        <v/>
      </c>
      <c r="AE259" s="152">
        <f>IF(AH258&lt;=0.005,0,AH258*(1+AE$6))</f>
        <v/>
      </c>
      <c r="AF259" s="152">
        <f>MIN(AE259,AE$7)</f>
        <v/>
      </c>
      <c r="AG259" s="152">
        <f>MAX(0,MIN(AE259-AF259,AQ259-(E259+I259+M259+Q259+U259+Y259+AC259)))</f>
        <v/>
      </c>
      <c r="AH259" s="152">
        <f>AE259-AF259-AG259</f>
        <v/>
      </c>
      <c r="AI259" s="152">
        <f>IF(AL258&lt;=0.005,0,AL258*(1+AI$6))</f>
        <v/>
      </c>
      <c r="AJ259" s="152">
        <f>MIN(AI259,AI$7)</f>
        <v/>
      </c>
      <c r="AK259" s="152">
        <f>MAX(0,MIN(AI259-AJ259,AQ259-(E259+I259+M259+Q259+U259+Y259+AC259+AG259)))</f>
        <v/>
      </c>
      <c r="AL259" s="152">
        <f>AI259-AJ259-AK259</f>
        <v/>
      </c>
      <c r="AM259" s="152">
        <f>IF(AP258&lt;=0.005,0,AP258*(1+AM$6))</f>
        <v/>
      </c>
      <c r="AN259" s="152">
        <f>MIN(AM259,AM$7)</f>
        <v/>
      </c>
      <c r="AO259" s="152">
        <f>MAX(0,MIN(AM259-AN259,AQ259-(E259+I259+M259+Q259+U259+Y259+AC259+AG259+AK259)))</f>
        <v/>
      </c>
      <c r="AP259" s="152">
        <f>AM259-AN259-AO259</f>
        <v/>
      </c>
      <c r="AQ259" s="152">
        <f>'Debt Payoff'!$C$8-SUM(D259,H259,L259,P259,T259,X259,AB259,AF259,AJ259,AN259)</f>
        <v/>
      </c>
      <c r="AR259" s="152">
        <f>SUM(D259,H259,L259,P259,T259,X259,AB259,AF259,AJ259,AN259)+SUM(E259,I259,M259,Q259,U259,Y259,AC259,AG259,AK259,AO259)</f>
        <v/>
      </c>
      <c r="AS259" s="152">
        <f>SUM(F259,J259,N259,R259,V259,Z259,AD259,AH259,AL259,AP259)</f>
        <v/>
      </c>
      <c r="AT259" s="152">
        <f>IF(B259&gt;AS$6,NA(),B259)</f>
        <v/>
      </c>
      <c r="AU259" s="152">
        <f>IF(B259&gt;AS$6,NA(),AS259)</f>
        <v/>
      </c>
      <c r="AV259" s="152" t="n"/>
      <c r="AW259" s="152" t="n">
        <v>248</v>
      </c>
      <c r="AX259" s="152">
        <f>IF(BA258&lt;=0.005,0,BA258*(1+AX$6))</f>
        <v/>
      </c>
      <c r="AY259" s="152">
        <f>MIN(AX259,AX$7)</f>
        <v/>
      </c>
      <c r="AZ259" s="152">
        <f>MAX(0,MIN(AX259-AY259,CL259))</f>
        <v/>
      </c>
      <c r="BA259" s="152">
        <f>AX259-AY259-AZ259</f>
        <v/>
      </c>
      <c r="BB259" s="152">
        <f>IF(BE258&lt;=0.005,0,BE258*(1+BB$6))</f>
        <v/>
      </c>
      <c r="BC259" s="152">
        <f>MIN(BB259,BB$7)</f>
        <v/>
      </c>
      <c r="BD259" s="152">
        <f>MAX(0,MIN(BB259-BC259,CL259-(AZ259)))</f>
        <v/>
      </c>
      <c r="BE259" s="152">
        <f>BB259-BC259-BD259</f>
        <v/>
      </c>
      <c r="BF259" s="152">
        <f>IF(BI258&lt;=0.005,0,BI258*(1+BF$6))</f>
        <v/>
      </c>
      <c r="BG259" s="152">
        <f>MIN(BF259,BF$7)</f>
        <v/>
      </c>
      <c r="BH259" s="152">
        <f>MAX(0,MIN(BF259-BG259,CL259-(AZ259+BD259)))</f>
        <v/>
      </c>
      <c r="BI259" s="152">
        <f>BF259-BG259-BH259</f>
        <v/>
      </c>
      <c r="BJ259" s="152">
        <f>IF(BM258&lt;=0.005,0,BM258*(1+BJ$6))</f>
        <v/>
      </c>
      <c r="BK259" s="152">
        <f>MIN(BJ259,BJ$7)</f>
        <v/>
      </c>
      <c r="BL259" s="152">
        <f>MAX(0,MIN(BJ259-BK259,CL259-(AZ259+BD259+BH259)))</f>
        <v/>
      </c>
      <c r="BM259" s="152">
        <f>BJ259-BK259-BL259</f>
        <v/>
      </c>
      <c r="BN259" s="152">
        <f>IF(BQ258&lt;=0.005,0,BQ258*(1+BN$6))</f>
        <v/>
      </c>
      <c r="BO259" s="152">
        <f>MIN(BN259,BN$7)</f>
        <v/>
      </c>
      <c r="BP259" s="152">
        <f>MAX(0,MIN(BN259-BO259,CL259-(AZ259+BD259+BH259+BL259)))</f>
        <v/>
      </c>
      <c r="BQ259" s="152">
        <f>BN259-BO259-BP259</f>
        <v/>
      </c>
      <c r="BR259" s="152">
        <f>IF(BU258&lt;=0.005,0,BU258*(1+BR$6))</f>
        <v/>
      </c>
      <c r="BS259" s="152">
        <f>MIN(BR259,BR$7)</f>
        <v/>
      </c>
      <c r="BT259" s="152">
        <f>MAX(0,MIN(BR259-BS259,CL259-(AZ259+BD259+BH259+BL259+BP259)))</f>
        <v/>
      </c>
      <c r="BU259" s="152">
        <f>BR259-BS259-BT259</f>
        <v/>
      </c>
      <c r="BV259" s="152">
        <f>IF(BY258&lt;=0.005,0,BY258*(1+BV$6))</f>
        <v/>
      </c>
      <c r="BW259" s="152">
        <f>MIN(BV259,BV$7)</f>
        <v/>
      </c>
      <c r="BX259" s="152">
        <f>MAX(0,MIN(BV259-BW259,CL259-(AZ259+BD259+BH259+BL259+BP259+BT259)))</f>
        <v/>
      </c>
      <c r="BY259" s="152">
        <f>BV259-BW259-BX259</f>
        <v/>
      </c>
      <c r="BZ259" s="152">
        <f>IF(CC258&lt;=0.005,0,CC258*(1+BZ$6))</f>
        <v/>
      </c>
      <c r="CA259" s="152">
        <f>MIN(BZ259,BZ$7)</f>
        <v/>
      </c>
      <c r="CB259" s="152">
        <f>MAX(0,MIN(BZ259-CA259,CL259-(AZ259+BD259+BH259+BL259+BP259+BT259+BX259)))</f>
        <v/>
      </c>
      <c r="CC259" s="152">
        <f>BZ259-CA259-CB259</f>
        <v/>
      </c>
      <c r="CD259" s="152">
        <f>IF(CG258&lt;=0.005,0,CG258*(1+CD$6))</f>
        <v/>
      </c>
      <c r="CE259" s="152">
        <f>MIN(CD259,CD$7)</f>
        <v/>
      </c>
      <c r="CF259" s="152">
        <f>MAX(0,MIN(CD259-CE259,CL259-(AZ259+BD259+BH259+BL259+BP259+BT259+BX259+CB259)))</f>
        <v/>
      </c>
      <c r="CG259" s="152">
        <f>CD259-CE259-CF259</f>
        <v/>
      </c>
      <c r="CH259" s="152">
        <f>IF(CK258&lt;=0.005,0,CK258*(1+CH$6))</f>
        <v/>
      </c>
      <c r="CI259" s="152">
        <f>MIN(CH259,CH$7)</f>
        <v/>
      </c>
      <c r="CJ259" s="152">
        <f>MAX(0,MIN(CH259-CI259,CL259-(AZ259+BD259+BH259+BL259+BP259+BT259+BX259+CB259+CF259)))</f>
        <v/>
      </c>
      <c r="CK259" s="152">
        <f>CH259-CI259-CJ259</f>
        <v/>
      </c>
      <c r="CL259" s="152">
        <f>'Debt Payoff'!$C$8-SUM(AY259,BC259,BG259,BK259,BO259,BS259,BW259,CA259,CE259,CI259)</f>
        <v/>
      </c>
      <c r="CM259" s="152">
        <f>SUM(AY259,BC259,BG259,BK259,BO259,BS259,BW259,CA259,CE259,CI259)+SUM(AZ259,BD259,BH259,BL259,BP259,BT259,BX259,CB259,CF259,CJ259)</f>
        <v/>
      </c>
      <c r="CN259" s="152">
        <f>SUM(BA259,BE259,BI259,BM259,BQ259,BU259,BY259,CC259,CG259,CK259)</f>
        <v/>
      </c>
      <c r="CO259" s="152">
        <f>IF(AW259&gt;CN$6,NA(),AW259)</f>
        <v/>
      </c>
      <c r="CP259" s="152">
        <f>IF(AW259&gt;CN$6,NA(),CN259)</f>
        <v/>
      </c>
    </row>
    <row r="260">
      <c r="B260" s="152" t="n">
        <v>249</v>
      </c>
      <c r="C260" s="152">
        <f>IF(F259&lt;=0.005,0,F259*(1+C$6))</f>
        <v/>
      </c>
      <c r="D260" s="152">
        <f>MIN(C260,C$7)</f>
        <v/>
      </c>
      <c r="E260" s="152">
        <f>MAX(0,MIN(C260-D260,AQ260))</f>
        <v/>
      </c>
      <c r="F260" s="152">
        <f>C260-D260-E260</f>
        <v/>
      </c>
      <c r="G260" s="152">
        <f>IF(J259&lt;=0.005,0,J259*(1+G$6))</f>
        <v/>
      </c>
      <c r="H260" s="152">
        <f>MIN(G260,G$7)</f>
        <v/>
      </c>
      <c r="I260" s="152">
        <f>MAX(0,MIN(G260-H260,AQ260-(E260)))</f>
        <v/>
      </c>
      <c r="J260" s="152">
        <f>G260-H260-I260</f>
        <v/>
      </c>
      <c r="K260" s="152">
        <f>IF(N259&lt;=0.005,0,N259*(1+K$6))</f>
        <v/>
      </c>
      <c r="L260" s="152">
        <f>MIN(K260,K$7)</f>
        <v/>
      </c>
      <c r="M260" s="152">
        <f>MAX(0,MIN(K260-L260,AQ260-(E260+I260)))</f>
        <v/>
      </c>
      <c r="N260" s="152">
        <f>K260-L260-M260</f>
        <v/>
      </c>
      <c r="O260" s="152">
        <f>IF(R259&lt;=0.005,0,R259*(1+O$6))</f>
        <v/>
      </c>
      <c r="P260" s="152">
        <f>MIN(O260,O$7)</f>
        <v/>
      </c>
      <c r="Q260" s="152">
        <f>MAX(0,MIN(O260-P260,AQ260-(E260+I260+M260)))</f>
        <v/>
      </c>
      <c r="R260" s="152">
        <f>O260-P260-Q260</f>
        <v/>
      </c>
      <c r="S260" s="152">
        <f>IF(V259&lt;=0.005,0,V259*(1+S$6))</f>
        <v/>
      </c>
      <c r="T260" s="152">
        <f>MIN(S260,S$7)</f>
        <v/>
      </c>
      <c r="U260" s="152">
        <f>MAX(0,MIN(S260-T260,AQ260-(E260+I260+M260+Q260)))</f>
        <v/>
      </c>
      <c r="V260" s="152">
        <f>S260-T260-U260</f>
        <v/>
      </c>
      <c r="W260" s="152">
        <f>IF(Z259&lt;=0.005,0,Z259*(1+W$6))</f>
        <v/>
      </c>
      <c r="X260" s="152">
        <f>MIN(W260,W$7)</f>
        <v/>
      </c>
      <c r="Y260" s="152">
        <f>MAX(0,MIN(W260-X260,AQ260-(E260+I260+M260+Q260+U260)))</f>
        <v/>
      </c>
      <c r="Z260" s="152">
        <f>W260-X260-Y260</f>
        <v/>
      </c>
      <c r="AA260" s="152">
        <f>IF(AD259&lt;=0.005,0,AD259*(1+AA$6))</f>
        <v/>
      </c>
      <c r="AB260" s="152">
        <f>MIN(AA260,AA$7)</f>
        <v/>
      </c>
      <c r="AC260" s="152">
        <f>MAX(0,MIN(AA260-AB260,AQ260-(E260+I260+M260+Q260+U260+Y260)))</f>
        <v/>
      </c>
      <c r="AD260" s="152">
        <f>AA260-AB260-AC260</f>
        <v/>
      </c>
      <c r="AE260" s="152">
        <f>IF(AH259&lt;=0.005,0,AH259*(1+AE$6))</f>
        <v/>
      </c>
      <c r="AF260" s="152">
        <f>MIN(AE260,AE$7)</f>
        <v/>
      </c>
      <c r="AG260" s="152">
        <f>MAX(0,MIN(AE260-AF260,AQ260-(E260+I260+M260+Q260+U260+Y260+AC260)))</f>
        <v/>
      </c>
      <c r="AH260" s="152">
        <f>AE260-AF260-AG260</f>
        <v/>
      </c>
      <c r="AI260" s="152">
        <f>IF(AL259&lt;=0.005,0,AL259*(1+AI$6))</f>
        <v/>
      </c>
      <c r="AJ260" s="152">
        <f>MIN(AI260,AI$7)</f>
        <v/>
      </c>
      <c r="AK260" s="152">
        <f>MAX(0,MIN(AI260-AJ260,AQ260-(E260+I260+M260+Q260+U260+Y260+AC260+AG260)))</f>
        <v/>
      </c>
      <c r="AL260" s="152">
        <f>AI260-AJ260-AK260</f>
        <v/>
      </c>
      <c r="AM260" s="152">
        <f>IF(AP259&lt;=0.005,0,AP259*(1+AM$6))</f>
        <v/>
      </c>
      <c r="AN260" s="152">
        <f>MIN(AM260,AM$7)</f>
        <v/>
      </c>
      <c r="AO260" s="152">
        <f>MAX(0,MIN(AM260-AN260,AQ260-(E260+I260+M260+Q260+U260+Y260+AC260+AG260+AK260)))</f>
        <v/>
      </c>
      <c r="AP260" s="152">
        <f>AM260-AN260-AO260</f>
        <v/>
      </c>
      <c r="AQ260" s="152">
        <f>'Debt Payoff'!$C$8-SUM(D260,H260,L260,P260,T260,X260,AB260,AF260,AJ260,AN260)</f>
        <v/>
      </c>
      <c r="AR260" s="152">
        <f>SUM(D260,H260,L260,P260,T260,X260,AB260,AF260,AJ260,AN260)+SUM(E260,I260,M260,Q260,U260,Y260,AC260,AG260,AK260,AO260)</f>
        <v/>
      </c>
      <c r="AS260" s="152">
        <f>SUM(F260,J260,N260,R260,V260,Z260,AD260,AH260,AL260,AP260)</f>
        <v/>
      </c>
      <c r="AT260" s="152">
        <f>IF(B260&gt;AS$6,NA(),B260)</f>
        <v/>
      </c>
      <c r="AU260" s="152">
        <f>IF(B260&gt;AS$6,NA(),AS260)</f>
        <v/>
      </c>
      <c r="AV260" s="152" t="n"/>
      <c r="AW260" s="152" t="n">
        <v>249</v>
      </c>
      <c r="AX260" s="152">
        <f>IF(BA259&lt;=0.005,0,BA259*(1+AX$6))</f>
        <v/>
      </c>
      <c r="AY260" s="152">
        <f>MIN(AX260,AX$7)</f>
        <v/>
      </c>
      <c r="AZ260" s="152">
        <f>MAX(0,MIN(AX260-AY260,CL260))</f>
        <v/>
      </c>
      <c r="BA260" s="152">
        <f>AX260-AY260-AZ260</f>
        <v/>
      </c>
      <c r="BB260" s="152">
        <f>IF(BE259&lt;=0.005,0,BE259*(1+BB$6))</f>
        <v/>
      </c>
      <c r="BC260" s="152">
        <f>MIN(BB260,BB$7)</f>
        <v/>
      </c>
      <c r="BD260" s="152">
        <f>MAX(0,MIN(BB260-BC260,CL260-(AZ260)))</f>
        <v/>
      </c>
      <c r="BE260" s="152">
        <f>BB260-BC260-BD260</f>
        <v/>
      </c>
      <c r="BF260" s="152">
        <f>IF(BI259&lt;=0.005,0,BI259*(1+BF$6))</f>
        <v/>
      </c>
      <c r="BG260" s="152">
        <f>MIN(BF260,BF$7)</f>
        <v/>
      </c>
      <c r="BH260" s="152">
        <f>MAX(0,MIN(BF260-BG260,CL260-(AZ260+BD260)))</f>
        <v/>
      </c>
      <c r="BI260" s="152">
        <f>BF260-BG260-BH260</f>
        <v/>
      </c>
      <c r="BJ260" s="152">
        <f>IF(BM259&lt;=0.005,0,BM259*(1+BJ$6))</f>
        <v/>
      </c>
      <c r="BK260" s="152">
        <f>MIN(BJ260,BJ$7)</f>
        <v/>
      </c>
      <c r="BL260" s="152">
        <f>MAX(0,MIN(BJ260-BK260,CL260-(AZ260+BD260+BH260)))</f>
        <v/>
      </c>
      <c r="BM260" s="152">
        <f>BJ260-BK260-BL260</f>
        <v/>
      </c>
      <c r="BN260" s="152">
        <f>IF(BQ259&lt;=0.005,0,BQ259*(1+BN$6))</f>
        <v/>
      </c>
      <c r="BO260" s="152">
        <f>MIN(BN260,BN$7)</f>
        <v/>
      </c>
      <c r="BP260" s="152">
        <f>MAX(0,MIN(BN260-BO260,CL260-(AZ260+BD260+BH260+BL260)))</f>
        <v/>
      </c>
      <c r="BQ260" s="152">
        <f>BN260-BO260-BP260</f>
        <v/>
      </c>
      <c r="BR260" s="152">
        <f>IF(BU259&lt;=0.005,0,BU259*(1+BR$6))</f>
        <v/>
      </c>
      <c r="BS260" s="152">
        <f>MIN(BR260,BR$7)</f>
        <v/>
      </c>
      <c r="BT260" s="152">
        <f>MAX(0,MIN(BR260-BS260,CL260-(AZ260+BD260+BH260+BL260+BP260)))</f>
        <v/>
      </c>
      <c r="BU260" s="152">
        <f>BR260-BS260-BT260</f>
        <v/>
      </c>
      <c r="BV260" s="152">
        <f>IF(BY259&lt;=0.005,0,BY259*(1+BV$6))</f>
        <v/>
      </c>
      <c r="BW260" s="152">
        <f>MIN(BV260,BV$7)</f>
        <v/>
      </c>
      <c r="BX260" s="152">
        <f>MAX(0,MIN(BV260-BW260,CL260-(AZ260+BD260+BH260+BL260+BP260+BT260)))</f>
        <v/>
      </c>
      <c r="BY260" s="152">
        <f>BV260-BW260-BX260</f>
        <v/>
      </c>
      <c r="BZ260" s="152">
        <f>IF(CC259&lt;=0.005,0,CC259*(1+BZ$6))</f>
        <v/>
      </c>
      <c r="CA260" s="152">
        <f>MIN(BZ260,BZ$7)</f>
        <v/>
      </c>
      <c r="CB260" s="152">
        <f>MAX(0,MIN(BZ260-CA260,CL260-(AZ260+BD260+BH260+BL260+BP260+BT260+BX260)))</f>
        <v/>
      </c>
      <c r="CC260" s="152">
        <f>BZ260-CA260-CB260</f>
        <v/>
      </c>
      <c r="CD260" s="152">
        <f>IF(CG259&lt;=0.005,0,CG259*(1+CD$6))</f>
        <v/>
      </c>
      <c r="CE260" s="152">
        <f>MIN(CD260,CD$7)</f>
        <v/>
      </c>
      <c r="CF260" s="152">
        <f>MAX(0,MIN(CD260-CE260,CL260-(AZ260+BD260+BH260+BL260+BP260+BT260+BX260+CB260)))</f>
        <v/>
      </c>
      <c r="CG260" s="152">
        <f>CD260-CE260-CF260</f>
        <v/>
      </c>
      <c r="CH260" s="152">
        <f>IF(CK259&lt;=0.005,0,CK259*(1+CH$6))</f>
        <v/>
      </c>
      <c r="CI260" s="152">
        <f>MIN(CH260,CH$7)</f>
        <v/>
      </c>
      <c r="CJ260" s="152">
        <f>MAX(0,MIN(CH260-CI260,CL260-(AZ260+BD260+BH260+BL260+BP260+BT260+BX260+CB260+CF260)))</f>
        <v/>
      </c>
      <c r="CK260" s="152">
        <f>CH260-CI260-CJ260</f>
        <v/>
      </c>
      <c r="CL260" s="152">
        <f>'Debt Payoff'!$C$8-SUM(AY260,BC260,BG260,BK260,BO260,BS260,BW260,CA260,CE260,CI260)</f>
        <v/>
      </c>
      <c r="CM260" s="152">
        <f>SUM(AY260,BC260,BG260,BK260,BO260,BS260,BW260,CA260,CE260,CI260)+SUM(AZ260,BD260,BH260,BL260,BP260,BT260,BX260,CB260,CF260,CJ260)</f>
        <v/>
      </c>
      <c r="CN260" s="152">
        <f>SUM(BA260,BE260,BI260,BM260,BQ260,BU260,BY260,CC260,CG260,CK260)</f>
        <v/>
      </c>
      <c r="CO260" s="152">
        <f>IF(AW260&gt;CN$6,NA(),AW260)</f>
        <v/>
      </c>
      <c r="CP260" s="152">
        <f>IF(AW260&gt;CN$6,NA(),CN260)</f>
        <v/>
      </c>
    </row>
    <row r="261">
      <c r="B261" s="152" t="n">
        <v>250</v>
      </c>
      <c r="C261" s="152">
        <f>IF(F260&lt;=0.005,0,F260*(1+C$6))</f>
        <v/>
      </c>
      <c r="D261" s="152">
        <f>MIN(C261,C$7)</f>
        <v/>
      </c>
      <c r="E261" s="152">
        <f>MAX(0,MIN(C261-D261,AQ261))</f>
        <v/>
      </c>
      <c r="F261" s="152">
        <f>C261-D261-E261</f>
        <v/>
      </c>
      <c r="G261" s="152">
        <f>IF(J260&lt;=0.005,0,J260*(1+G$6))</f>
        <v/>
      </c>
      <c r="H261" s="152">
        <f>MIN(G261,G$7)</f>
        <v/>
      </c>
      <c r="I261" s="152">
        <f>MAX(0,MIN(G261-H261,AQ261-(E261)))</f>
        <v/>
      </c>
      <c r="J261" s="152">
        <f>G261-H261-I261</f>
        <v/>
      </c>
      <c r="K261" s="152">
        <f>IF(N260&lt;=0.005,0,N260*(1+K$6))</f>
        <v/>
      </c>
      <c r="L261" s="152">
        <f>MIN(K261,K$7)</f>
        <v/>
      </c>
      <c r="M261" s="152">
        <f>MAX(0,MIN(K261-L261,AQ261-(E261+I261)))</f>
        <v/>
      </c>
      <c r="N261" s="152">
        <f>K261-L261-M261</f>
        <v/>
      </c>
      <c r="O261" s="152">
        <f>IF(R260&lt;=0.005,0,R260*(1+O$6))</f>
        <v/>
      </c>
      <c r="P261" s="152">
        <f>MIN(O261,O$7)</f>
        <v/>
      </c>
      <c r="Q261" s="152">
        <f>MAX(0,MIN(O261-P261,AQ261-(E261+I261+M261)))</f>
        <v/>
      </c>
      <c r="R261" s="152">
        <f>O261-P261-Q261</f>
        <v/>
      </c>
      <c r="S261" s="152">
        <f>IF(V260&lt;=0.005,0,V260*(1+S$6))</f>
        <v/>
      </c>
      <c r="T261" s="152">
        <f>MIN(S261,S$7)</f>
        <v/>
      </c>
      <c r="U261" s="152">
        <f>MAX(0,MIN(S261-T261,AQ261-(E261+I261+M261+Q261)))</f>
        <v/>
      </c>
      <c r="V261" s="152">
        <f>S261-T261-U261</f>
        <v/>
      </c>
      <c r="W261" s="152">
        <f>IF(Z260&lt;=0.005,0,Z260*(1+W$6))</f>
        <v/>
      </c>
      <c r="X261" s="152">
        <f>MIN(W261,W$7)</f>
        <v/>
      </c>
      <c r="Y261" s="152">
        <f>MAX(0,MIN(W261-X261,AQ261-(E261+I261+M261+Q261+U261)))</f>
        <v/>
      </c>
      <c r="Z261" s="152">
        <f>W261-X261-Y261</f>
        <v/>
      </c>
      <c r="AA261" s="152">
        <f>IF(AD260&lt;=0.005,0,AD260*(1+AA$6))</f>
        <v/>
      </c>
      <c r="AB261" s="152">
        <f>MIN(AA261,AA$7)</f>
        <v/>
      </c>
      <c r="AC261" s="152">
        <f>MAX(0,MIN(AA261-AB261,AQ261-(E261+I261+M261+Q261+U261+Y261)))</f>
        <v/>
      </c>
      <c r="AD261" s="152">
        <f>AA261-AB261-AC261</f>
        <v/>
      </c>
      <c r="AE261" s="152">
        <f>IF(AH260&lt;=0.005,0,AH260*(1+AE$6))</f>
        <v/>
      </c>
      <c r="AF261" s="152">
        <f>MIN(AE261,AE$7)</f>
        <v/>
      </c>
      <c r="AG261" s="152">
        <f>MAX(0,MIN(AE261-AF261,AQ261-(E261+I261+M261+Q261+U261+Y261+AC261)))</f>
        <v/>
      </c>
      <c r="AH261" s="152">
        <f>AE261-AF261-AG261</f>
        <v/>
      </c>
      <c r="AI261" s="152">
        <f>IF(AL260&lt;=0.005,0,AL260*(1+AI$6))</f>
        <v/>
      </c>
      <c r="AJ261" s="152">
        <f>MIN(AI261,AI$7)</f>
        <v/>
      </c>
      <c r="AK261" s="152">
        <f>MAX(0,MIN(AI261-AJ261,AQ261-(E261+I261+M261+Q261+U261+Y261+AC261+AG261)))</f>
        <v/>
      </c>
      <c r="AL261" s="152">
        <f>AI261-AJ261-AK261</f>
        <v/>
      </c>
      <c r="AM261" s="152">
        <f>IF(AP260&lt;=0.005,0,AP260*(1+AM$6))</f>
        <v/>
      </c>
      <c r="AN261" s="152">
        <f>MIN(AM261,AM$7)</f>
        <v/>
      </c>
      <c r="AO261" s="152">
        <f>MAX(0,MIN(AM261-AN261,AQ261-(E261+I261+M261+Q261+U261+Y261+AC261+AG261+AK261)))</f>
        <v/>
      </c>
      <c r="AP261" s="152">
        <f>AM261-AN261-AO261</f>
        <v/>
      </c>
      <c r="AQ261" s="152">
        <f>'Debt Payoff'!$C$8-SUM(D261,H261,L261,P261,T261,X261,AB261,AF261,AJ261,AN261)</f>
        <v/>
      </c>
      <c r="AR261" s="152">
        <f>SUM(D261,H261,L261,P261,T261,X261,AB261,AF261,AJ261,AN261)+SUM(E261,I261,M261,Q261,U261,Y261,AC261,AG261,AK261,AO261)</f>
        <v/>
      </c>
      <c r="AS261" s="152">
        <f>SUM(F261,J261,N261,R261,V261,Z261,AD261,AH261,AL261,AP261)</f>
        <v/>
      </c>
      <c r="AT261" s="152">
        <f>IF(B261&gt;AS$6,NA(),B261)</f>
        <v/>
      </c>
      <c r="AU261" s="152">
        <f>IF(B261&gt;AS$6,NA(),AS261)</f>
        <v/>
      </c>
      <c r="AV261" s="152" t="n"/>
      <c r="AW261" s="152" t="n">
        <v>250</v>
      </c>
      <c r="AX261" s="152">
        <f>IF(BA260&lt;=0.005,0,BA260*(1+AX$6))</f>
        <v/>
      </c>
      <c r="AY261" s="152">
        <f>MIN(AX261,AX$7)</f>
        <v/>
      </c>
      <c r="AZ261" s="152">
        <f>MAX(0,MIN(AX261-AY261,CL261))</f>
        <v/>
      </c>
      <c r="BA261" s="152">
        <f>AX261-AY261-AZ261</f>
        <v/>
      </c>
      <c r="BB261" s="152">
        <f>IF(BE260&lt;=0.005,0,BE260*(1+BB$6))</f>
        <v/>
      </c>
      <c r="BC261" s="152">
        <f>MIN(BB261,BB$7)</f>
        <v/>
      </c>
      <c r="BD261" s="152">
        <f>MAX(0,MIN(BB261-BC261,CL261-(AZ261)))</f>
        <v/>
      </c>
      <c r="BE261" s="152">
        <f>BB261-BC261-BD261</f>
        <v/>
      </c>
      <c r="BF261" s="152">
        <f>IF(BI260&lt;=0.005,0,BI260*(1+BF$6))</f>
        <v/>
      </c>
      <c r="BG261" s="152">
        <f>MIN(BF261,BF$7)</f>
        <v/>
      </c>
      <c r="BH261" s="152">
        <f>MAX(0,MIN(BF261-BG261,CL261-(AZ261+BD261)))</f>
        <v/>
      </c>
      <c r="BI261" s="152">
        <f>BF261-BG261-BH261</f>
        <v/>
      </c>
      <c r="BJ261" s="152">
        <f>IF(BM260&lt;=0.005,0,BM260*(1+BJ$6))</f>
        <v/>
      </c>
      <c r="BK261" s="152">
        <f>MIN(BJ261,BJ$7)</f>
        <v/>
      </c>
      <c r="BL261" s="152">
        <f>MAX(0,MIN(BJ261-BK261,CL261-(AZ261+BD261+BH261)))</f>
        <v/>
      </c>
      <c r="BM261" s="152">
        <f>BJ261-BK261-BL261</f>
        <v/>
      </c>
      <c r="BN261" s="152">
        <f>IF(BQ260&lt;=0.005,0,BQ260*(1+BN$6))</f>
        <v/>
      </c>
      <c r="BO261" s="152">
        <f>MIN(BN261,BN$7)</f>
        <v/>
      </c>
      <c r="BP261" s="152">
        <f>MAX(0,MIN(BN261-BO261,CL261-(AZ261+BD261+BH261+BL261)))</f>
        <v/>
      </c>
      <c r="BQ261" s="152">
        <f>BN261-BO261-BP261</f>
        <v/>
      </c>
      <c r="BR261" s="152">
        <f>IF(BU260&lt;=0.005,0,BU260*(1+BR$6))</f>
        <v/>
      </c>
      <c r="BS261" s="152">
        <f>MIN(BR261,BR$7)</f>
        <v/>
      </c>
      <c r="BT261" s="152">
        <f>MAX(0,MIN(BR261-BS261,CL261-(AZ261+BD261+BH261+BL261+BP261)))</f>
        <v/>
      </c>
      <c r="BU261" s="152">
        <f>BR261-BS261-BT261</f>
        <v/>
      </c>
      <c r="BV261" s="152">
        <f>IF(BY260&lt;=0.005,0,BY260*(1+BV$6))</f>
        <v/>
      </c>
      <c r="BW261" s="152">
        <f>MIN(BV261,BV$7)</f>
        <v/>
      </c>
      <c r="BX261" s="152">
        <f>MAX(0,MIN(BV261-BW261,CL261-(AZ261+BD261+BH261+BL261+BP261+BT261)))</f>
        <v/>
      </c>
      <c r="BY261" s="152">
        <f>BV261-BW261-BX261</f>
        <v/>
      </c>
      <c r="BZ261" s="152">
        <f>IF(CC260&lt;=0.005,0,CC260*(1+BZ$6))</f>
        <v/>
      </c>
      <c r="CA261" s="152">
        <f>MIN(BZ261,BZ$7)</f>
        <v/>
      </c>
      <c r="CB261" s="152">
        <f>MAX(0,MIN(BZ261-CA261,CL261-(AZ261+BD261+BH261+BL261+BP261+BT261+BX261)))</f>
        <v/>
      </c>
      <c r="CC261" s="152">
        <f>BZ261-CA261-CB261</f>
        <v/>
      </c>
      <c r="CD261" s="152">
        <f>IF(CG260&lt;=0.005,0,CG260*(1+CD$6))</f>
        <v/>
      </c>
      <c r="CE261" s="152">
        <f>MIN(CD261,CD$7)</f>
        <v/>
      </c>
      <c r="CF261" s="152">
        <f>MAX(0,MIN(CD261-CE261,CL261-(AZ261+BD261+BH261+BL261+BP261+BT261+BX261+CB261)))</f>
        <v/>
      </c>
      <c r="CG261" s="152">
        <f>CD261-CE261-CF261</f>
        <v/>
      </c>
      <c r="CH261" s="152">
        <f>IF(CK260&lt;=0.005,0,CK260*(1+CH$6))</f>
        <v/>
      </c>
      <c r="CI261" s="152">
        <f>MIN(CH261,CH$7)</f>
        <v/>
      </c>
      <c r="CJ261" s="152">
        <f>MAX(0,MIN(CH261-CI261,CL261-(AZ261+BD261+BH261+BL261+BP261+BT261+BX261+CB261+CF261)))</f>
        <v/>
      </c>
      <c r="CK261" s="152">
        <f>CH261-CI261-CJ261</f>
        <v/>
      </c>
      <c r="CL261" s="152">
        <f>'Debt Payoff'!$C$8-SUM(AY261,BC261,BG261,BK261,BO261,BS261,BW261,CA261,CE261,CI261)</f>
        <v/>
      </c>
      <c r="CM261" s="152">
        <f>SUM(AY261,BC261,BG261,BK261,BO261,BS261,BW261,CA261,CE261,CI261)+SUM(AZ261,BD261,BH261,BL261,BP261,BT261,BX261,CB261,CF261,CJ261)</f>
        <v/>
      </c>
      <c r="CN261" s="152">
        <f>SUM(BA261,BE261,BI261,BM261,BQ261,BU261,BY261,CC261,CG261,CK261)</f>
        <v/>
      </c>
      <c r="CO261" s="152">
        <f>IF(AW261&gt;CN$6,NA(),AW261)</f>
        <v/>
      </c>
      <c r="CP261" s="152">
        <f>IF(AW261&gt;CN$6,NA(),CN261)</f>
        <v/>
      </c>
    </row>
    <row r="262">
      <c r="B262" s="152" t="n">
        <v>251</v>
      </c>
      <c r="C262" s="152">
        <f>IF(F261&lt;=0.005,0,F261*(1+C$6))</f>
        <v/>
      </c>
      <c r="D262" s="152">
        <f>MIN(C262,C$7)</f>
        <v/>
      </c>
      <c r="E262" s="152">
        <f>MAX(0,MIN(C262-D262,AQ262))</f>
        <v/>
      </c>
      <c r="F262" s="152">
        <f>C262-D262-E262</f>
        <v/>
      </c>
      <c r="G262" s="152">
        <f>IF(J261&lt;=0.005,0,J261*(1+G$6))</f>
        <v/>
      </c>
      <c r="H262" s="152">
        <f>MIN(G262,G$7)</f>
        <v/>
      </c>
      <c r="I262" s="152">
        <f>MAX(0,MIN(G262-H262,AQ262-(E262)))</f>
        <v/>
      </c>
      <c r="J262" s="152">
        <f>G262-H262-I262</f>
        <v/>
      </c>
      <c r="K262" s="152">
        <f>IF(N261&lt;=0.005,0,N261*(1+K$6))</f>
        <v/>
      </c>
      <c r="L262" s="152">
        <f>MIN(K262,K$7)</f>
        <v/>
      </c>
      <c r="M262" s="152">
        <f>MAX(0,MIN(K262-L262,AQ262-(E262+I262)))</f>
        <v/>
      </c>
      <c r="N262" s="152">
        <f>K262-L262-M262</f>
        <v/>
      </c>
      <c r="O262" s="152">
        <f>IF(R261&lt;=0.005,0,R261*(1+O$6))</f>
        <v/>
      </c>
      <c r="P262" s="152">
        <f>MIN(O262,O$7)</f>
        <v/>
      </c>
      <c r="Q262" s="152">
        <f>MAX(0,MIN(O262-P262,AQ262-(E262+I262+M262)))</f>
        <v/>
      </c>
      <c r="R262" s="152">
        <f>O262-P262-Q262</f>
        <v/>
      </c>
      <c r="S262" s="152">
        <f>IF(V261&lt;=0.005,0,V261*(1+S$6))</f>
        <v/>
      </c>
      <c r="T262" s="152">
        <f>MIN(S262,S$7)</f>
        <v/>
      </c>
      <c r="U262" s="152">
        <f>MAX(0,MIN(S262-T262,AQ262-(E262+I262+M262+Q262)))</f>
        <v/>
      </c>
      <c r="V262" s="152">
        <f>S262-T262-U262</f>
        <v/>
      </c>
      <c r="W262" s="152">
        <f>IF(Z261&lt;=0.005,0,Z261*(1+W$6))</f>
        <v/>
      </c>
      <c r="X262" s="152">
        <f>MIN(W262,W$7)</f>
        <v/>
      </c>
      <c r="Y262" s="152">
        <f>MAX(0,MIN(W262-X262,AQ262-(E262+I262+M262+Q262+U262)))</f>
        <v/>
      </c>
      <c r="Z262" s="152">
        <f>W262-X262-Y262</f>
        <v/>
      </c>
      <c r="AA262" s="152">
        <f>IF(AD261&lt;=0.005,0,AD261*(1+AA$6))</f>
        <v/>
      </c>
      <c r="AB262" s="152">
        <f>MIN(AA262,AA$7)</f>
        <v/>
      </c>
      <c r="AC262" s="152">
        <f>MAX(0,MIN(AA262-AB262,AQ262-(E262+I262+M262+Q262+U262+Y262)))</f>
        <v/>
      </c>
      <c r="AD262" s="152">
        <f>AA262-AB262-AC262</f>
        <v/>
      </c>
      <c r="AE262" s="152">
        <f>IF(AH261&lt;=0.005,0,AH261*(1+AE$6))</f>
        <v/>
      </c>
      <c r="AF262" s="152">
        <f>MIN(AE262,AE$7)</f>
        <v/>
      </c>
      <c r="AG262" s="152">
        <f>MAX(0,MIN(AE262-AF262,AQ262-(E262+I262+M262+Q262+U262+Y262+AC262)))</f>
        <v/>
      </c>
      <c r="AH262" s="152">
        <f>AE262-AF262-AG262</f>
        <v/>
      </c>
      <c r="AI262" s="152">
        <f>IF(AL261&lt;=0.005,0,AL261*(1+AI$6))</f>
        <v/>
      </c>
      <c r="AJ262" s="152">
        <f>MIN(AI262,AI$7)</f>
        <v/>
      </c>
      <c r="AK262" s="152">
        <f>MAX(0,MIN(AI262-AJ262,AQ262-(E262+I262+M262+Q262+U262+Y262+AC262+AG262)))</f>
        <v/>
      </c>
      <c r="AL262" s="152">
        <f>AI262-AJ262-AK262</f>
        <v/>
      </c>
      <c r="AM262" s="152">
        <f>IF(AP261&lt;=0.005,0,AP261*(1+AM$6))</f>
        <v/>
      </c>
      <c r="AN262" s="152">
        <f>MIN(AM262,AM$7)</f>
        <v/>
      </c>
      <c r="AO262" s="152">
        <f>MAX(0,MIN(AM262-AN262,AQ262-(E262+I262+M262+Q262+U262+Y262+AC262+AG262+AK262)))</f>
        <v/>
      </c>
      <c r="AP262" s="152">
        <f>AM262-AN262-AO262</f>
        <v/>
      </c>
      <c r="AQ262" s="152">
        <f>'Debt Payoff'!$C$8-SUM(D262,H262,L262,P262,T262,X262,AB262,AF262,AJ262,AN262)</f>
        <v/>
      </c>
      <c r="AR262" s="152">
        <f>SUM(D262,H262,L262,P262,T262,X262,AB262,AF262,AJ262,AN262)+SUM(E262,I262,M262,Q262,U262,Y262,AC262,AG262,AK262,AO262)</f>
        <v/>
      </c>
      <c r="AS262" s="152">
        <f>SUM(F262,J262,N262,R262,V262,Z262,AD262,AH262,AL262,AP262)</f>
        <v/>
      </c>
      <c r="AT262" s="152">
        <f>IF(B262&gt;AS$6,NA(),B262)</f>
        <v/>
      </c>
      <c r="AU262" s="152">
        <f>IF(B262&gt;AS$6,NA(),AS262)</f>
        <v/>
      </c>
      <c r="AV262" s="152" t="n"/>
      <c r="AW262" s="152" t="n">
        <v>251</v>
      </c>
      <c r="AX262" s="152">
        <f>IF(BA261&lt;=0.005,0,BA261*(1+AX$6))</f>
        <v/>
      </c>
      <c r="AY262" s="152">
        <f>MIN(AX262,AX$7)</f>
        <v/>
      </c>
      <c r="AZ262" s="152">
        <f>MAX(0,MIN(AX262-AY262,CL262))</f>
        <v/>
      </c>
      <c r="BA262" s="152">
        <f>AX262-AY262-AZ262</f>
        <v/>
      </c>
      <c r="BB262" s="152">
        <f>IF(BE261&lt;=0.005,0,BE261*(1+BB$6))</f>
        <v/>
      </c>
      <c r="BC262" s="152">
        <f>MIN(BB262,BB$7)</f>
        <v/>
      </c>
      <c r="BD262" s="152">
        <f>MAX(0,MIN(BB262-BC262,CL262-(AZ262)))</f>
        <v/>
      </c>
      <c r="BE262" s="152">
        <f>BB262-BC262-BD262</f>
        <v/>
      </c>
      <c r="BF262" s="152">
        <f>IF(BI261&lt;=0.005,0,BI261*(1+BF$6))</f>
        <v/>
      </c>
      <c r="BG262" s="152">
        <f>MIN(BF262,BF$7)</f>
        <v/>
      </c>
      <c r="BH262" s="152">
        <f>MAX(0,MIN(BF262-BG262,CL262-(AZ262+BD262)))</f>
        <v/>
      </c>
      <c r="BI262" s="152">
        <f>BF262-BG262-BH262</f>
        <v/>
      </c>
      <c r="BJ262" s="152">
        <f>IF(BM261&lt;=0.005,0,BM261*(1+BJ$6))</f>
        <v/>
      </c>
      <c r="BK262" s="152">
        <f>MIN(BJ262,BJ$7)</f>
        <v/>
      </c>
      <c r="BL262" s="152">
        <f>MAX(0,MIN(BJ262-BK262,CL262-(AZ262+BD262+BH262)))</f>
        <v/>
      </c>
      <c r="BM262" s="152">
        <f>BJ262-BK262-BL262</f>
        <v/>
      </c>
      <c r="BN262" s="152">
        <f>IF(BQ261&lt;=0.005,0,BQ261*(1+BN$6))</f>
        <v/>
      </c>
      <c r="BO262" s="152">
        <f>MIN(BN262,BN$7)</f>
        <v/>
      </c>
      <c r="BP262" s="152">
        <f>MAX(0,MIN(BN262-BO262,CL262-(AZ262+BD262+BH262+BL262)))</f>
        <v/>
      </c>
      <c r="BQ262" s="152">
        <f>BN262-BO262-BP262</f>
        <v/>
      </c>
      <c r="BR262" s="152">
        <f>IF(BU261&lt;=0.005,0,BU261*(1+BR$6))</f>
        <v/>
      </c>
      <c r="BS262" s="152">
        <f>MIN(BR262,BR$7)</f>
        <v/>
      </c>
      <c r="BT262" s="152">
        <f>MAX(0,MIN(BR262-BS262,CL262-(AZ262+BD262+BH262+BL262+BP262)))</f>
        <v/>
      </c>
      <c r="BU262" s="152">
        <f>BR262-BS262-BT262</f>
        <v/>
      </c>
      <c r="BV262" s="152">
        <f>IF(BY261&lt;=0.005,0,BY261*(1+BV$6))</f>
        <v/>
      </c>
      <c r="BW262" s="152">
        <f>MIN(BV262,BV$7)</f>
        <v/>
      </c>
      <c r="BX262" s="152">
        <f>MAX(0,MIN(BV262-BW262,CL262-(AZ262+BD262+BH262+BL262+BP262+BT262)))</f>
        <v/>
      </c>
      <c r="BY262" s="152">
        <f>BV262-BW262-BX262</f>
        <v/>
      </c>
      <c r="BZ262" s="152">
        <f>IF(CC261&lt;=0.005,0,CC261*(1+BZ$6))</f>
        <v/>
      </c>
      <c r="CA262" s="152">
        <f>MIN(BZ262,BZ$7)</f>
        <v/>
      </c>
      <c r="CB262" s="152">
        <f>MAX(0,MIN(BZ262-CA262,CL262-(AZ262+BD262+BH262+BL262+BP262+BT262+BX262)))</f>
        <v/>
      </c>
      <c r="CC262" s="152">
        <f>BZ262-CA262-CB262</f>
        <v/>
      </c>
      <c r="CD262" s="152">
        <f>IF(CG261&lt;=0.005,0,CG261*(1+CD$6))</f>
        <v/>
      </c>
      <c r="CE262" s="152">
        <f>MIN(CD262,CD$7)</f>
        <v/>
      </c>
      <c r="CF262" s="152">
        <f>MAX(0,MIN(CD262-CE262,CL262-(AZ262+BD262+BH262+BL262+BP262+BT262+BX262+CB262)))</f>
        <v/>
      </c>
      <c r="CG262" s="152">
        <f>CD262-CE262-CF262</f>
        <v/>
      </c>
      <c r="CH262" s="152">
        <f>IF(CK261&lt;=0.005,0,CK261*(1+CH$6))</f>
        <v/>
      </c>
      <c r="CI262" s="152">
        <f>MIN(CH262,CH$7)</f>
        <v/>
      </c>
      <c r="CJ262" s="152">
        <f>MAX(0,MIN(CH262-CI262,CL262-(AZ262+BD262+BH262+BL262+BP262+BT262+BX262+CB262+CF262)))</f>
        <v/>
      </c>
      <c r="CK262" s="152">
        <f>CH262-CI262-CJ262</f>
        <v/>
      </c>
      <c r="CL262" s="152">
        <f>'Debt Payoff'!$C$8-SUM(AY262,BC262,BG262,BK262,BO262,BS262,BW262,CA262,CE262,CI262)</f>
        <v/>
      </c>
      <c r="CM262" s="152">
        <f>SUM(AY262,BC262,BG262,BK262,BO262,BS262,BW262,CA262,CE262,CI262)+SUM(AZ262,BD262,BH262,BL262,BP262,BT262,BX262,CB262,CF262,CJ262)</f>
        <v/>
      </c>
      <c r="CN262" s="152">
        <f>SUM(BA262,BE262,BI262,BM262,BQ262,BU262,BY262,CC262,CG262,CK262)</f>
        <v/>
      </c>
      <c r="CO262" s="152">
        <f>IF(AW262&gt;CN$6,NA(),AW262)</f>
        <v/>
      </c>
      <c r="CP262" s="152">
        <f>IF(AW262&gt;CN$6,NA(),CN262)</f>
        <v/>
      </c>
    </row>
    <row r="263">
      <c r="B263" s="152" t="n">
        <v>252</v>
      </c>
      <c r="C263" s="152">
        <f>IF(F262&lt;=0.005,0,F262*(1+C$6))</f>
        <v/>
      </c>
      <c r="D263" s="152">
        <f>MIN(C263,C$7)</f>
        <v/>
      </c>
      <c r="E263" s="152">
        <f>MAX(0,MIN(C263-D263,AQ263))</f>
        <v/>
      </c>
      <c r="F263" s="152">
        <f>C263-D263-E263</f>
        <v/>
      </c>
      <c r="G263" s="152">
        <f>IF(J262&lt;=0.005,0,J262*(1+G$6))</f>
        <v/>
      </c>
      <c r="H263" s="152">
        <f>MIN(G263,G$7)</f>
        <v/>
      </c>
      <c r="I263" s="152">
        <f>MAX(0,MIN(G263-H263,AQ263-(E263)))</f>
        <v/>
      </c>
      <c r="J263" s="152">
        <f>G263-H263-I263</f>
        <v/>
      </c>
      <c r="K263" s="152">
        <f>IF(N262&lt;=0.005,0,N262*(1+K$6))</f>
        <v/>
      </c>
      <c r="L263" s="152">
        <f>MIN(K263,K$7)</f>
        <v/>
      </c>
      <c r="M263" s="152">
        <f>MAX(0,MIN(K263-L263,AQ263-(E263+I263)))</f>
        <v/>
      </c>
      <c r="N263" s="152">
        <f>K263-L263-M263</f>
        <v/>
      </c>
      <c r="O263" s="152">
        <f>IF(R262&lt;=0.005,0,R262*(1+O$6))</f>
        <v/>
      </c>
      <c r="P263" s="152">
        <f>MIN(O263,O$7)</f>
        <v/>
      </c>
      <c r="Q263" s="152">
        <f>MAX(0,MIN(O263-P263,AQ263-(E263+I263+M263)))</f>
        <v/>
      </c>
      <c r="R263" s="152">
        <f>O263-P263-Q263</f>
        <v/>
      </c>
      <c r="S263" s="152">
        <f>IF(V262&lt;=0.005,0,V262*(1+S$6))</f>
        <v/>
      </c>
      <c r="T263" s="152">
        <f>MIN(S263,S$7)</f>
        <v/>
      </c>
      <c r="U263" s="152">
        <f>MAX(0,MIN(S263-T263,AQ263-(E263+I263+M263+Q263)))</f>
        <v/>
      </c>
      <c r="V263" s="152">
        <f>S263-T263-U263</f>
        <v/>
      </c>
      <c r="W263" s="152">
        <f>IF(Z262&lt;=0.005,0,Z262*(1+W$6))</f>
        <v/>
      </c>
      <c r="X263" s="152">
        <f>MIN(W263,W$7)</f>
        <v/>
      </c>
      <c r="Y263" s="152">
        <f>MAX(0,MIN(W263-X263,AQ263-(E263+I263+M263+Q263+U263)))</f>
        <v/>
      </c>
      <c r="Z263" s="152">
        <f>W263-X263-Y263</f>
        <v/>
      </c>
      <c r="AA263" s="152">
        <f>IF(AD262&lt;=0.005,0,AD262*(1+AA$6))</f>
        <v/>
      </c>
      <c r="AB263" s="152">
        <f>MIN(AA263,AA$7)</f>
        <v/>
      </c>
      <c r="AC263" s="152">
        <f>MAX(0,MIN(AA263-AB263,AQ263-(E263+I263+M263+Q263+U263+Y263)))</f>
        <v/>
      </c>
      <c r="AD263" s="152">
        <f>AA263-AB263-AC263</f>
        <v/>
      </c>
      <c r="AE263" s="152">
        <f>IF(AH262&lt;=0.005,0,AH262*(1+AE$6))</f>
        <v/>
      </c>
      <c r="AF263" s="152">
        <f>MIN(AE263,AE$7)</f>
        <v/>
      </c>
      <c r="AG263" s="152">
        <f>MAX(0,MIN(AE263-AF263,AQ263-(E263+I263+M263+Q263+U263+Y263+AC263)))</f>
        <v/>
      </c>
      <c r="AH263" s="152">
        <f>AE263-AF263-AG263</f>
        <v/>
      </c>
      <c r="AI263" s="152">
        <f>IF(AL262&lt;=0.005,0,AL262*(1+AI$6))</f>
        <v/>
      </c>
      <c r="AJ263" s="152">
        <f>MIN(AI263,AI$7)</f>
        <v/>
      </c>
      <c r="AK263" s="152">
        <f>MAX(0,MIN(AI263-AJ263,AQ263-(E263+I263+M263+Q263+U263+Y263+AC263+AG263)))</f>
        <v/>
      </c>
      <c r="AL263" s="152">
        <f>AI263-AJ263-AK263</f>
        <v/>
      </c>
      <c r="AM263" s="152">
        <f>IF(AP262&lt;=0.005,0,AP262*(1+AM$6))</f>
        <v/>
      </c>
      <c r="AN263" s="152">
        <f>MIN(AM263,AM$7)</f>
        <v/>
      </c>
      <c r="AO263" s="152">
        <f>MAX(0,MIN(AM263-AN263,AQ263-(E263+I263+M263+Q263+U263+Y263+AC263+AG263+AK263)))</f>
        <v/>
      </c>
      <c r="AP263" s="152">
        <f>AM263-AN263-AO263</f>
        <v/>
      </c>
      <c r="AQ263" s="152">
        <f>'Debt Payoff'!$C$8-SUM(D263,H263,L263,P263,T263,X263,AB263,AF263,AJ263,AN263)</f>
        <v/>
      </c>
      <c r="AR263" s="152">
        <f>SUM(D263,H263,L263,P263,T263,X263,AB263,AF263,AJ263,AN263)+SUM(E263,I263,M263,Q263,U263,Y263,AC263,AG263,AK263,AO263)</f>
        <v/>
      </c>
      <c r="AS263" s="152">
        <f>SUM(F263,J263,N263,R263,V263,Z263,AD263,AH263,AL263,AP263)</f>
        <v/>
      </c>
      <c r="AT263" s="152">
        <f>IF(B263&gt;AS$6,NA(),B263)</f>
        <v/>
      </c>
      <c r="AU263" s="152">
        <f>IF(B263&gt;AS$6,NA(),AS263)</f>
        <v/>
      </c>
      <c r="AV263" s="152" t="n"/>
      <c r="AW263" s="152" t="n">
        <v>252</v>
      </c>
      <c r="AX263" s="152">
        <f>IF(BA262&lt;=0.005,0,BA262*(1+AX$6))</f>
        <v/>
      </c>
      <c r="AY263" s="152">
        <f>MIN(AX263,AX$7)</f>
        <v/>
      </c>
      <c r="AZ263" s="152">
        <f>MAX(0,MIN(AX263-AY263,CL263))</f>
        <v/>
      </c>
      <c r="BA263" s="152">
        <f>AX263-AY263-AZ263</f>
        <v/>
      </c>
      <c r="BB263" s="152">
        <f>IF(BE262&lt;=0.005,0,BE262*(1+BB$6))</f>
        <v/>
      </c>
      <c r="BC263" s="152">
        <f>MIN(BB263,BB$7)</f>
        <v/>
      </c>
      <c r="BD263" s="152">
        <f>MAX(0,MIN(BB263-BC263,CL263-(AZ263)))</f>
        <v/>
      </c>
      <c r="BE263" s="152">
        <f>BB263-BC263-BD263</f>
        <v/>
      </c>
      <c r="BF263" s="152">
        <f>IF(BI262&lt;=0.005,0,BI262*(1+BF$6))</f>
        <v/>
      </c>
      <c r="BG263" s="152">
        <f>MIN(BF263,BF$7)</f>
        <v/>
      </c>
      <c r="BH263" s="152">
        <f>MAX(0,MIN(BF263-BG263,CL263-(AZ263+BD263)))</f>
        <v/>
      </c>
      <c r="BI263" s="152">
        <f>BF263-BG263-BH263</f>
        <v/>
      </c>
      <c r="BJ263" s="152">
        <f>IF(BM262&lt;=0.005,0,BM262*(1+BJ$6))</f>
        <v/>
      </c>
      <c r="BK263" s="152">
        <f>MIN(BJ263,BJ$7)</f>
        <v/>
      </c>
      <c r="BL263" s="152">
        <f>MAX(0,MIN(BJ263-BK263,CL263-(AZ263+BD263+BH263)))</f>
        <v/>
      </c>
      <c r="BM263" s="152">
        <f>BJ263-BK263-BL263</f>
        <v/>
      </c>
      <c r="BN263" s="152">
        <f>IF(BQ262&lt;=0.005,0,BQ262*(1+BN$6))</f>
        <v/>
      </c>
      <c r="BO263" s="152">
        <f>MIN(BN263,BN$7)</f>
        <v/>
      </c>
      <c r="BP263" s="152">
        <f>MAX(0,MIN(BN263-BO263,CL263-(AZ263+BD263+BH263+BL263)))</f>
        <v/>
      </c>
      <c r="BQ263" s="152">
        <f>BN263-BO263-BP263</f>
        <v/>
      </c>
      <c r="BR263" s="152">
        <f>IF(BU262&lt;=0.005,0,BU262*(1+BR$6))</f>
        <v/>
      </c>
      <c r="BS263" s="152">
        <f>MIN(BR263,BR$7)</f>
        <v/>
      </c>
      <c r="BT263" s="152">
        <f>MAX(0,MIN(BR263-BS263,CL263-(AZ263+BD263+BH263+BL263+BP263)))</f>
        <v/>
      </c>
      <c r="BU263" s="152">
        <f>BR263-BS263-BT263</f>
        <v/>
      </c>
      <c r="BV263" s="152">
        <f>IF(BY262&lt;=0.005,0,BY262*(1+BV$6))</f>
        <v/>
      </c>
      <c r="BW263" s="152">
        <f>MIN(BV263,BV$7)</f>
        <v/>
      </c>
      <c r="BX263" s="152">
        <f>MAX(0,MIN(BV263-BW263,CL263-(AZ263+BD263+BH263+BL263+BP263+BT263)))</f>
        <v/>
      </c>
      <c r="BY263" s="152">
        <f>BV263-BW263-BX263</f>
        <v/>
      </c>
      <c r="BZ263" s="152">
        <f>IF(CC262&lt;=0.005,0,CC262*(1+BZ$6))</f>
        <v/>
      </c>
      <c r="CA263" s="152">
        <f>MIN(BZ263,BZ$7)</f>
        <v/>
      </c>
      <c r="CB263" s="152">
        <f>MAX(0,MIN(BZ263-CA263,CL263-(AZ263+BD263+BH263+BL263+BP263+BT263+BX263)))</f>
        <v/>
      </c>
      <c r="CC263" s="152">
        <f>BZ263-CA263-CB263</f>
        <v/>
      </c>
      <c r="CD263" s="152">
        <f>IF(CG262&lt;=0.005,0,CG262*(1+CD$6))</f>
        <v/>
      </c>
      <c r="CE263" s="152">
        <f>MIN(CD263,CD$7)</f>
        <v/>
      </c>
      <c r="CF263" s="152">
        <f>MAX(0,MIN(CD263-CE263,CL263-(AZ263+BD263+BH263+BL263+BP263+BT263+BX263+CB263)))</f>
        <v/>
      </c>
      <c r="CG263" s="152">
        <f>CD263-CE263-CF263</f>
        <v/>
      </c>
      <c r="CH263" s="152">
        <f>IF(CK262&lt;=0.005,0,CK262*(1+CH$6))</f>
        <v/>
      </c>
      <c r="CI263" s="152">
        <f>MIN(CH263,CH$7)</f>
        <v/>
      </c>
      <c r="CJ263" s="152">
        <f>MAX(0,MIN(CH263-CI263,CL263-(AZ263+BD263+BH263+BL263+BP263+BT263+BX263+CB263+CF263)))</f>
        <v/>
      </c>
      <c r="CK263" s="152">
        <f>CH263-CI263-CJ263</f>
        <v/>
      </c>
      <c r="CL263" s="152">
        <f>'Debt Payoff'!$C$8-SUM(AY263,BC263,BG263,BK263,BO263,BS263,BW263,CA263,CE263,CI263)</f>
        <v/>
      </c>
      <c r="CM263" s="152">
        <f>SUM(AY263,BC263,BG263,BK263,BO263,BS263,BW263,CA263,CE263,CI263)+SUM(AZ263,BD263,BH263,BL263,BP263,BT263,BX263,CB263,CF263,CJ263)</f>
        <v/>
      </c>
      <c r="CN263" s="152">
        <f>SUM(BA263,BE263,BI263,BM263,BQ263,BU263,BY263,CC263,CG263,CK263)</f>
        <v/>
      </c>
      <c r="CO263" s="152">
        <f>IF(AW263&gt;CN$6,NA(),AW263)</f>
        <v/>
      </c>
      <c r="CP263" s="152">
        <f>IF(AW263&gt;CN$6,NA(),CN263)</f>
        <v/>
      </c>
    </row>
    <row r="264">
      <c r="B264" s="152" t="n">
        <v>253</v>
      </c>
      <c r="C264" s="152">
        <f>IF(F263&lt;=0.005,0,F263*(1+C$6))</f>
        <v/>
      </c>
      <c r="D264" s="152">
        <f>MIN(C264,C$7)</f>
        <v/>
      </c>
      <c r="E264" s="152">
        <f>MAX(0,MIN(C264-D264,AQ264))</f>
        <v/>
      </c>
      <c r="F264" s="152">
        <f>C264-D264-E264</f>
        <v/>
      </c>
      <c r="G264" s="152">
        <f>IF(J263&lt;=0.005,0,J263*(1+G$6))</f>
        <v/>
      </c>
      <c r="H264" s="152">
        <f>MIN(G264,G$7)</f>
        <v/>
      </c>
      <c r="I264" s="152">
        <f>MAX(0,MIN(G264-H264,AQ264-(E264)))</f>
        <v/>
      </c>
      <c r="J264" s="152">
        <f>G264-H264-I264</f>
        <v/>
      </c>
      <c r="K264" s="152">
        <f>IF(N263&lt;=0.005,0,N263*(1+K$6))</f>
        <v/>
      </c>
      <c r="L264" s="152">
        <f>MIN(K264,K$7)</f>
        <v/>
      </c>
      <c r="M264" s="152">
        <f>MAX(0,MIN(K264-L264,AQ264-(E264+I264)))</f>
        <v/>
      </c>
      <c r="N264" s="152">
        <f>K264-L264-M264</f>
        <v/>
      </c>
      <c r="O264" s="152">
        <f>IF(R263&lt;=0.005,0,R263*(1+O$6))</f>
        <v/>
      </c>
      <c r="P264" s="152">
        <f>MIN(O264,O$7)</f>
        <v/>
      </c>
      <c r="Q264" s="152">
        <f>MAX(0,MIN(O264-P264,AQ264-(E264+I264+M264)))</f>
        <v/>
      </c>
      <c r="R264" s="152">
        <f>O264-P264-Q264</f>
        <v/>
      </c>
      <c r="S264" s="152">
        <f>IF(V263&lt;=0.005,0,V263*(1+S$6))</f>
        <v/>
      </c>
      <c r="T264" s="152">
        <f>MIN(S264,S$7)</f>
        <v/>
      </c>
      <c r="U264" s="152">
        <f>MAX(0,MIN(S264-T264,AQ264-(E264+I264+M264+Q264)))</f>
        <v/>
      </c>
      <c r="V264" s="152">
        <f>S264-T264-U264</f>
        <v/>
      </c>
      <c r="W264" s="152">
        <f>IF(Z263&lt;=0.005,0,Z263*(1+W$6))</f>
        <v/>
      </c>
      <c r="X264" s="152">
        <f>MIN(W264,W$7)</f>
        <v/>
      </c>
      <c r="Y264" s="152">
        <f>MAX(0,MIN(W264-X264,AQ264-(E264+I264+M264+Q264+U264)))</f>
        <v/>
      </c>
      <c r="Z264" s="152">
        <f>W264-X264-Y264</f>
        <v/>
      </c>
      <c r="AA264" s="152">
        <f>IF(AD263&lt;=0.005,0,AD263*(1+AA$6))</f>
        <v/>
      </c>
      <c r="AB264" s="152">
        <f>MIN(AA264,AA$7)</f>
        <v/>
      </c>
      <c r="AC264" s="152">
        <f>MAX(0,MIN(AA264-AB264,AQ264-(E264+I264+M264+Q264+U264+Y264)))</f>
        <v/>
      </c>
      <c r="AD264" s="152">
        <f>AA264-AB264-AC264</f>
        <v/>
      </c>
      <c r="AE264" s="152">
        <f>IF(AH263&lt;=0.005,0,AH263*(1+AE$6))</f>
        <v/>
      </c>
      <c r="AF264" s="152">
        <f>MIN(AE264,AE$7)</f>
        <v/>
      </c>
      <c r="AG264" s="152">
        <f>MAX(0,MIN(AE264-AF264,AQ264-(E264+I264+M264+Q264+U264+Y264+AC264)))</f>
        <v/>
      </c>
      <c r="AH264" s="152">
        <f>AE264-AF264-AG264</f>
        <v/>
      </c>
      <c r="AI264" s="152">
        <f>IF(AL263&lt;=0.005,0,AL263*(1+AI$6))</f>
        <v/>
      </c>
      <c r="AJ264" s="152">
        <f>MIN(AI264,AI$7)</f>
        <v/>
      </c>
      <c r="AK264" s="152">
        <f>MAX(0,MIN(AI264-AJ264,AQ264-(E264+I264+M264+Q264+U264+Y264+AC264+AG264)))</f>
        <v/>
      </c>
      <c r="AL264" s="152">
        <f>AI264-AJ264-AK264</f>
        <v/>
      </c>
      <c r="AM264" s="152">
        <f>IF(AP263&lt;=0.005,0,AP263*(1+AM$6))</f>
        <v/>
      </c>
      <c r="AN264" s="152">
        <f>MIN(AM264,AM$7)</f>
        <v/>
      </c>
      <c r="AO264" s="152">
        <f>MAX(0,MIN(AM264-AN264,AQ264-(E264+I264+M264+Q264+U264+Y264+AC264+AG264+AK264)))</f>
        <v/>
      </c>
      <c r="AP264" s="152">
        <f>AM264-AN264-AO264</f>
        <v/>
      </c>
      <c r="AQ264" s="152">
        <f>'Debt Payoff'!$C$8-SUM(D264,H264,L264,P264,T264,X264,AB264,AF264,AJ264,AN264)</f>
        <v/>
      </c>
      <c r="AR264" s="152">
        <f>SUM(D264,H264,L264,P264,T264,X264,AB264,AF264,AJ264,AN264)+SUM(E264,I264,M264,Q264,U264,Y264,AC264,AG264,AK264,AO264)</f>
        <v/>
      </c>
      <c r="AS264" s="152">
        <f>SUM(F264,J264,N264,R264,V264,Z264,AD264,AH264,AL264,AP264)</f>
        <v/>
      </c>
      <c r="AT264" s="152">
        <f>IF(B264&gt;AS$6,NA(),B264)</f>
        <v/>
      </c>
      <c r="AU264" s="152">
        <f>IF(B264&gt;AS$6,NA(),AS264)</f>
        <v/>
      </c>
      <c r="AV264" s="152" t="n"/>
      <c r="AW264" s="152" t="n">
        <v>253</v>
      </c>
      <c r="AX264" s="152">
        <f>IF(BA263&lt;=0.005,0,BA263*(1+AX$6))</f>
        <v/>
      </c>
      <c r="AY264" s="152">
        <f>MIN(AX264,AX$7)</f>
        <v/>
      </c>
      <c r="AZ264" s="152">
        <f>MAX(0,MIN(AX264-AY264,CL264))</f>
        <v/>
      </c>
      <c r="BA264" s="152">
        <f>AX264-AY264-AZ264</f>
        <v/>
      </c>
      <c r="BB264" s="152">
        <f>IF(BE263&lt;=0.005,0,BE263*(1+BB$6))</f>
        <v/>
      </c>
      <c r="BC264" s="152">
        <f>MIN(BB264,BB$7)</f>
        <v/>
      </c>
      <c r="BD264" s="152">
        <f>MAX(0,MIN(BB264-BC264,CL264-(AZ264)))</f>
        <v/>
      </c>
      <c r="BE264" s="152">
        <f>BB264-BC264-BD264</f>
        <v/>
      </c>
      <c r="BF264" s="152">
        <f>IF(BI263&lt;=0.005,0,BI263*(1+BF$6))</f>
        <v/>
      </c>
      <c r="BG264" s="152">
        <f>MIN(BF264,BF$7)</f>
        <v/>
      </c>
      <c r="BH264" s="152">
        <f>MAX(0,MIN(BF264-BG264,CL264-(AZ264+BD264)))</f>
        <v/>
      </c>
      <c r="BI264" s="152">
        <f>BF264-BG264-BH264</f>
        <v/>
      </c>
      <c r="BJ264" s="152">
        <f>IF(BM263&lt;=0.005,0,BM263*(1+BJ$6))</f>
        <v/>
      </c>
      <c r="BK264" s="152">
        <f>MIN(BJ264,BJ$7)</f>
        <v/>
      </c>
      <c r="BL264" s="152">
        <f>MAX(0,MIN(BJ264-BK264,CL264-(AZ264+BD264+BH264)))</f>
        <v/>
      </c>
      <c r="BM264" s="152">
        <f>BJ264-BK264-BL264</f>
        <v/>
      </c>
      <c r="BN264" s="152">
        <f>IF(BQ263&lt;=0.005,0,BQ263*(1+BN$6))</f>
        <v/>
      </c>
      <c r="BO264" s="152">
        <f>MIN(BN264,BN$7)</f>
        <v/>
      </c>
      <c r="BP264" s="152">
        <f>MAX(0,MIN(BN264-BO264,CL264-(AZ264+BD264+BH264+BL264)))</f>
        <v/>
      </c>
      <c r="BQ264" s="152">
        <f>BN264-BO264-BP264</f>
        <v/>
      </c>
      <c r="BR264" s="152">
        <f>IF(BU263&lt;=0.005,0,BU263*(1+BR$6))</f>
        <v/>
      </c>
      <c r="BS264" s="152">
        <f>MIN(BR264,BR$7)</f>
        <v/>
      </c>
      <c r="BT264" s="152">
        <f>MAX(0,MIN(BR264-BS264,CL264-(AZ264+BD264+BH264+BL264+BP264)))</f>
        <v/>
      </c>
      <c r="BU264" s="152">
        <f>BR264-BS264-BT264</f>
        <v/>
      </c>
      <c r="BV264" s="152">
        <f>IF(BY263&lt;=0.005,0,BY263*(1+BV$6))</f>
        <v/>
      </c>
      <c r="BW264" s="152">
        <f>MIN(BV264,BV$7)</f>
        <v/>
      </c>
      <c r="BX264" s="152">
        <f>MAX(0,MIN(BV264-BW264,CL264-(AZ264+BD264+BH264+BL264+BP264+BT264)))</f>
        <v/>
      </c>
      <c r="BY264" s="152">
        <f>BV264-BW264-BX264</f>
        <v/>
      </c>
      <c r="BZ264" s="152">
        <f>IF(CC263&lt;=0.005,0,CC263*(1+BZ$6))</f>
        <v/>
      </c>
      <c r="CA264" s="152">
        <f>MIN(BZ264,BZ$7)</f>
        <v/>
      </c>
      <c r="CB264" s="152">
        <f>MAX(0,MIN(BZ264-CA264,CL264-(AZ264+BD264+BH264+BL264+BP264+BT264+BX264)))</f>
        <v/>
      </c>
      <c r="CC264" s="152">
        <f>BZ264-CA264-CB264</f>
        <v/>
      </c>
      <c r="CD264" s="152">
        <f>IF(CG263&lt;=0.005,0,CG263*(1+CD$6))</f>
        <v/>
      </c>
      <c r="CE264" s="152">
        <f>MIN(CD264,CD$7)</f>
        <v/>
      </c>
      <c r="CF264" s="152">
        <f>MAX(0,MIN(CD264-CE264,CL264-(AZ264+BD264+BH264+BL264+BP264+BT264+BX264+CB264)))</f>
        <v/>
      </c>
      <c r="CG264" s="152">
        <f>CD264-CE264-CF264</f>
        <v/>
      </c>
      <c r="CH264" s="152">
        <f>IF(CK263&lt;=0.005,0,CK263*(1+CH$6))</f>
        <v/>
      </c>
      <c r="CI264" s="152">
        <f>MIN(CH264,CH$7)</f>
        <v/>
      </c>
      <c r="CJ264" s="152">
        <f>MAX(0,MIN(CH264-CI264,CL264-(AZ264+BD264+BH264+BL264+BP264+BT264+BX264+CB264+CF264)))</f>
        <v/>
      </c>
      <c r="CK264" s="152">
        <f>CH264-CI264-CJ264</f>
        <v/>
      </c>
      <c r="CL264" s="152">
        <f>'Debt Payoff'!$C$8-SUM(AY264,BC264,BG264,BK264,BO264,BS264,BW264,CA264,CE264,CI264)</f>
        <v/>
      </c>
      <c r="CM264" s="152">
        <f>SUM(AY264,BC264,BG264,BK264,BO264,BS264,BW264,CA264,CE264,CI264)+SUM(AZ264,BD264,BH264,BL264,BP264,BT264,BX264,CB264,CF264,CJ264)</f>
        <v/>
      </c>
      <c r="CN264" s="152">
        <f>SUM(BA264,BE264,BI264,BM264,BQ264,BU264,BY264,CC264,CG264,CK264)</f>
        <v/>
      </c>
      <c r="CO264" s="152">
        <f>IF(AW264&gt;CN$6,NA(),AW264)</f>
        <v/>
      </c>
      <c r="CP264" s="152">
        <f>IF(AW264&gt;CN$6,NA(),CN264)</f>
        <v/>
      </c>
    </row>
    <row r="265">
      <c r="B265" s="152" t="n">
        <v>254</v>
      </c>
      <c r="C265" s="152">
        <f>IF(F264&lt;=0.005,0,F264*(1+C$6))</f>
        <v/>
      </c>
      <c r="D265" s="152">
        <f>MIN(C265,C$7)</f>
        <v/>
      </c>
      <c r="E265" s="152">
        <f>MAX(0,MIN(C265-D265,AQ265))</f>
        <v/>
      </c>
      <c r="F265" s="152">
        <f>C265-D265-E265</f>
        <v/>
      </c>
      <c r="G265" s="152">
        <f>IF(J264&lt;=0.005,0,J264*(1+G$6))</f>
        <v/>
      </c>
      <c r="H265" s="152">
        <f>MIN(G265,G$7)</f>
        <v/>
      </c>
      <c r="I265" s="152">
        <f>MAX(0,MIN(G265-H265,AQ265-(E265)))</f>
        <v/>
      </c>
      <c r="J265" s="152">
        <f>G265-H265-I265</f>
        <v/>
      </c>
      <c r="K265" s="152">
        <f>IF(N264&lt;=0.005,0,N264*(1+K$6))</f>
        <v/>
      </c>
      <c r="L265" s="152">
        <f>MIN(K265,K$7)</f>
        <v/>
      </c>
      <c r="M265" s="152">
        <f>MAX(0,MIN(K265-L265,AQ265-(E265+I265)))</f>
        <v/>
      </c>
      <c r="N265" s="152">
        <f>K265-L265-M265</f>
        <v/>
      </c>
      <c r="O265" s="152">
        <f>IF(R264&lt;=0.005,0,R264*(1+O$6))</f>
        <v/>
      </c>
      <c r="P265" s="152">
        <f>MIN(O265,O$7)</f>
        <v/>
      </c>
      <c r="Q265" s="152">
        <f>MAX(0,MIN(O265-P265,AQ265-(E265+I265+M265)))</f>
        <v/>
      </c>
      <c r="R265" s="152">
        <f>O265-P265-Q265</f>
        <v/>
      </c>
      <c r="S265" s="152">
        <f>IF(V264&lt;=0.005,0,V264*(1+S$6))</f>
        <v/>
      </c>
      <c r="T265" s="152">
        <f>MIN(S265,S$7)</f>
        <v/>
      </c>
      <c r="U265" s="152">
        <f>MAX(0,MIN(S265-T265,AQ265-(E265+I265+M265+Q265)))</f>
        <v/>
      </c>
      <c r="V265" s="152">
        <f>S265-T265-U265</f>
        <v/>
      </c>
      <c r="W265" s="152">
        <f>IF(Z264&lt;=0.005,0,Z264*(1+W$6))</f>
        <v/>
      </c>
      <c r="X265" s="152">
        <f>MIN(W265,W$7)</f>
        <v/>
      </c>
      <c r="Y265" s="152">
        <f>MAX(0,MIN(W265-X265,AQ265-(E265+I265+M265+Q265+U265)))</f>
        <v/>
      </c>
      <c r="Z265" s="152">
        <f>W265-X265-Y265</f>
        <v/>
      </c>
      <c r="AA265" s="152">
        <f>IF(AD264&lt;=0.005,0,AD264*(1+AA$6))</f>
        <v/>
      </c>
      <c r="AB265" s="152">
        <f>MIN(AA265,AA$7)</f>
        <v/>
      </c>
      <c r="AC265" s="152">
        <f>MAX(0,MIN(AA265-AB265,AQ265-(E265+I265+M265+Q265+U265+Y265)))</f>
        <v/>
      </c>
      <c r="AD265" s="152">
        <f>AA265-AB265-AC265</f>
        <v/>
      </c>
      <c r="AE265" s="152">
        <f>IF(AH264&lt;=0.005,0,AH264*(1+AE$6))</f>
        <v/>
      </c>
      <c r="AF265" s="152">
        <f>MIN(AE265,AE$7)</f>
        <v/>
      </c>
      <c r="AG265" s="152">
        <f>MAX(0,MIN(AE265-AF265,AQ265-(E265+I265+M265+Q265+U265+Y265+AC265)))</f>
        <v/>
      </c>
      <c r="AH265" s="152">
        <f>AE265-AF265-AG265</f>
        <v/>
      </c>
      <c r="AI265" s="152">
        <f>IF(AL264&lt;=0.005,0,AL264*(1+AI$6))</f>
        <v/>
      </c>
      <c r="AJ265" s="152">
        <f>MIN(AI265,AI$7)</f>
        <v/>
      </c>
      <c r="AK265" s="152">
        <f>MAX(0,MIN(AI265-AJ265,AQ265-(E265+I265+M265+Q265+U265+Y265+AC265+AG265)))</f>
        <v/>
      </c>
      <c r="AL265" s="152">
        <f>AI265-AJ265-AK265</f>
        <v/>
      </c>
      <c r="AM265" s="152">
        <f>IF(AP264&lt;=0.005,0,AP264*(1+AM$6))</f>
        <v/>
      </c>
      <c r="AN265" s="152">
        <f>MIN(AM265,AM$7)</f>
        <v/>
      </c>
      <c r="AO265" s="152">
        <f>MAX(0,MIN(AM265-AN265,AQ265-(E265+I265+M265+Q265+U265+Y265+AC265+AG265+AK265)))</f>
        <v/>
      </c>
      <c r="AP265" s="152">
        <f>AM265-AN265-AO265</f>
        <v/>
      </c>
      <c r="AQ265" s="152">
        <f>'Debt Payoff'!$C$8-SUM(D265,H265,L265,P265,T265,X265,AB265,AF265,AJ265,AN265)</f>
        <v/>
      </c>
      <c r="AR265" s="152">
        <f>SUM(D265,H265,L265,P265,T265,X265,AB265,AF265,AJ265,AN265)+SUM(E265,I265,M265,Q265,U265,Y265,AC265,AG265,AK265,AO265)</f>
        <v/>
      </c>
      <c r="AS265" s="152">
        <f>SUM(F265,J265,N265,R265,V265,Z265,AD265,AH265,AL265,AP265)</f>
        <v/>
      </c>
      <c r="AT265" s="152">
        <f>IF(B265&gt;AS$6,NA(),B265)</f>
        <v/>
      </c>
      <c r="AU265" s="152">
        <f>IF(B265&gt;AS$6,NA(),AS265)</f>
        <v/>
      </c>
      <c r="AV265" s="152" t="n"/>
      <c r="AW265" s="152" t="n">
        <v>254</v>
      </c>
      <c r="AX265" s="152">
        <f>IF(BA264&lt;=0.005,0,BA264*(1+AX$6))</f>
        <v/>
      </c>
      <c r="AY265" s="152">
        <f>MIN(AX265,AX$7)</f>
        <v/>
      </c>
      <c r="AZ265" s="152">
        <f>MAX(0,MIN(AX265-AY265,CL265))</f>
        <v/>
      </c>
      <c r="BA265" s="152">
        <f>AX265-AY265-AZ265</f>
        <v/>
      </c>
      <c r="BB265" s="152">
        <f>IF(BE264&lt;=0.005,0,BE264*(1+BB$6))</f>
        <v/>
      </c>
      <c r="BC265" s="152">
        <f>MIN(BB265,BB$7)</f>
        <v/>
      </c>
      <c r="BD265" s="152">
        <f>MAX(0,MIN(BB265-BC265,CL265-(AZ265)))</f>
        <v/>
      </c>
      <c r="BE265" s="152">
        <f>BB265-BC265-BD265</f>
        <v/>
      </c>
      <c r="BF265" s="152">
        <f>IF(BI264&lt;=0.005,0,BI264*(1+BF$6))</f>
        <v/>
      </c>
      <c r="BG265" s="152">
        <f>MIN(BF265,BF$7)</f>
        <v/>
      </c>
      <c r="BH265" s="152">
        <f>MAX(0,MIN(BF265-BG265,CL265-(AZ265+BD265)))</f>
        <v/>
      </c>
      <c r="BI265" s="152">
        <f>BF265-BG265-BH265</f>
        <v/>
      </c>
      <c r="BJ265" s="152">
        <f>IF(BM264&lt;=0.005,0,BM264*(1+BJ$6))</f>
        <v/>
      </c>
      <c r="BK265" s="152">
        <f>MIN(BJ265,BJ$7)</f>
        <v/>
      </c>
      <c r="BL265" s="152">
        <f>MAX(0,MIN(BJ265-BK265,CL265-(AZ265+BD265+BH265)))</f>
        <v/>
      </c>
      <c r="BM265" s="152">
        <f>BJ265-BK265-BL265</f>
        <v/>
      </c>
      <c r="BN265" s="152">
        <f>IF(BQ264&lt;=0.005,0,BQ264*(1+BN$6))</f>
        <v/>
      </c>
      <c r="BO265" s="152">
        <f>MIN(BN265,BN$7)</f>
        <v/>
      </c>
      <c r="BP265" s="152">
        <f>MAX(0,MIN(BN265-BO265,CL265-(AZ265+BD265+BH265+BL265)))</f>
        <v/>
      </c>
      <c r="BQ265" s="152">
        <f>BN265-BO265-BP265</f>
        <v/>
      </c>
      <c r="BR265" s="152">
        <f>IF(BU264&lt;=0.005,0,BU264*(1+BR$6))</f>
        <v/>
      </c>
      <c r="BS265" s="152">
        <f>MIN(BR265,BR$7)</f>
        <v/>
      </c>
      <c r="BT265" s="152">
        <f>MAX(0,MIN(BR265-BS265,CL265-(AZ265+BD265+BH265+BL265+BP265)))</f>
        <v/>
      </c>
      <c r="BU265" s="152">
        <f>BR265-BS265-BT265</f>
        <v/>
      </c>
      <c r="BV265" s="152">
        <f>IF(BY264&lt;=0.005,0,BY264*(1+BV$6))</f>
        <v/>
      </c>
      <c r="BW265" s="152">
        <f>MIN(BV265,BV$7)</f>
        <v/>
      </c>
      <c r="BX265" s="152">
        <f>MAX(0,MIN(BV265-BW265,CL265-(AZ265+BD265+BH265+BL265+BP265+BT265)))</f>
        <v/>
      </c>
      <c r="BY265" s="152">
        <f>BV265-BW265-BX265</f>
        <v/>
      </c>
      <c r="BZ265" s="152">
        <f>IF(CC264&lt;=0.005,0,CC264*(1+BZ$6))</f>
        <v/>
      </c>
      <c r="CA265" s="152">
        <f>MIN(BZ265,BZ$7)</f>
        <v/>
      </c>
      <c r="CB265" s="152">
        <f>MAX(0,MIN(BZ265-CA265,CL265-(AZ265+BD265+BH265+BL265+BP265+BT265+BX265)))</f>
        <v/>
      </c>
      <c r="CC265" s="152">
        <f>BZ265-CA265-CB265</f>
        <v/>
      </c>
      <c r="CD265" s="152">
        <f>IF(CG264&lt;=0.005,0,CG264*(1+CD$6))</f>
        <v/>
      </c>
      <c r="CE265" s="152">
        <f>MIN(CD265,CD$7)</f>
        <v/>
      </c>
      <c r="CF265" s="152">
        <f>MAX(0,MIN(CD265-CE265,CL265-(AZ265+BD265+BH265+BL265+BP265+BT265+BX265+CB265)))</f>
        <v/>
      </c>
      <c r="CG265" s="152">
        <f>CD265-CE265-CF265</f>
        <v/>
      </c>
      <c r="CH265" s="152">
        <f>IF(CK264&lt;=0.005,0,CK264*(1+CH$6))</f>
        <v/>
      </c>
      <c r="CI265" s="152">
        <f>MIN(CH265,CH$7)</f>
        <v/>
      </c>
      <c r="CJ265" s="152">
        <f>MAX(0,MIN(CH265-CI265,CL265-(AZ265+BD265+BH265+BL265+BP265+BT265+BX265+CB265+CF265)))</f>
        <v/>
      </c>
      <c r="CK265" s="152">
        <f>CH265-CI265-CJ265</f>
        <v/>
      </c>
      <c r="CL265" s="152">
        <f>'Debt Payoff'!$C$8-SUM(AY265,BC265,BG265,BK265,BO265,BS265,BW265,CA265,CE265,CI265)</f>
        <v/>
      </c>
      <c r="CM265" s="152">
        <f>SUM(AY265,BC265,BG265,BK265,BO265,BS265,BW265,CA265,CE265,CI265)+SUM(AZ265,BD265,BH265,BL265,BP265,BT265,BX265,CB265,CF265,CJ265)</f>
        <v/>
      </c>
      <c r="CN265" s="152">
        <f>SUM(BA265,BE265,BI265,BM265,BQ265,BU265,BY265,CC265,CG265,CK265)</f>
        <v/>
      </c>
      <c r="CO265" s="152">
        <f>IF(AW265&gt;CN$6,NA(),AW265)</f>
        <v/>
      </c>
      <c r="CP265" s="152">
        <f>IF(AW265&gt;CN$6,NA(),CN265)</f>
        <v/>
      </c>
    </row>
    <row r="266">
      <c r="B266" s="152" t="n">
        <v>255</v>
      </c>
      <c r="C266" s="152">
        <f>IF(F265&lt;=0.005,0,F265*(1+C$6))</f>
        <v/>
      </c>
      <c r="D266" s="152">
        <f>MIN(C266,C$7)</f>
        <v/>
      </c>
      <c r="E266" s="152">
        <f>MAX(0,MIN(C266-D266,AQ266))</f>
        <v/>
      </c>
      <c r="F266" s="152">
        <f>C266-D266-E266</f>
        <v/>
      </c>
      <c r="G266" s="152">
        <f>IF(J265&lt;=0.005,0,J265*(1+G$6))</f>
        <v/>
      </c>
      <c r="H266" s="152">
        <f>MIN(G266,G$7)</f>
        <v/>
      </c>
      <c r="I266" s="152">
        <f>MAX(0,MIN(G266-H266,AQ266-(E266)))</f>
        <v/>
      </c>
      <c r="J266" s="152">
        <f>G266-H266-I266</f>
        <v/>
      </c>
      <c r="K266" s="152">
        <f>IF(N265&lt;=0.005,0,N265*(1+K$6))</f>
        <v/>
      </c>
      <c r="L266" s="152">
        <f>MIN(K266,K$7)</f>
        <v/>
      </c>
      <c r="M266" s="152">
        <f>MAX(0,MIN(K266-L266,AQ266-(E266+I266)))</f>
        <v/>
      </c>
      <c r="N266" s="152">
        <f>K266-L266-M266</f>
        <v/>
      </c>
      <c r="O266" s="152">
        <f>IF(R265&lt;=0.005,0,R265*(1+O$6))</f>
        <v/>
      </c>
      <c r="P266" s="152">
        <f>MIN(O266,O$7)</f>
        <v/>
      </c>
      <c r="Q266" s="152">
        <f>MAX(0,MIN(O266-P266,AQ266-(E266+I266+M266)))</f>
        <v/>
      </c>
      <c r="R266" s="152">
        <f>O266-P266-Q266</f>
        <v/>
      </c>
      <c r="S266" s="152">
        <f>IF(V265&lt;=0.005,0,V265*(1+S$6))</f>
        <v/>
      </c>
      <c r="T266" s="152">
        <f>MIN(S266,S$7)</f>
        <v/>
      </c>
      <c r="U266" s="152">
        <f>MAX(0,MIN(S266-T266,AQ266-(E266+I266+M266+Q266)))</f>
        <v/>
      </c>
      <c r="V266" s="152">
        <f>S266-T266-U266</f>
        <v/>
      </c>
      <c r="W266" s="152">
        <f>IF(Z265&lt;=0.005,0,Z265*(1+W$6))</f>
        <v/>
      </c>
      <c r="X266" s="152">
        <f>MIN(W266,W$7)</f>
        <v/>
      </c>
      <c r="Y266" s="152">
        <f>MAX(0,MIN(W266-X266,AQ266-(E266+I266+M266+Q266+U266)))</f>
        <v/>
      </c>
      <c r="Z266" s="152">
        <f>W266-X266-Y266</f>
        <v/>
      </c>
      <c r="AA266" s="152">
        <f>IF(AD265&lt;=0.005,0,AD265*(1+AA$6))</f>
        <v/>
      </c>
      <c r="AB266" s="152">
        <f>MIN(AA266,AA$7)</f>
        <v/>
      </c>
      <c r="AC266" s="152">
        <f>MAX(0,MIN(AA266-AB266,AQ266-(E266+I266+M266+Q266+U266+Y266)))</f>
        <v/>
      </c>
      <c r="AD266" s="152">
        <f>AA266-AB266-AC266</f>
        <v/>
      </c>
      <c r="AE266" s="152">
        <f>IF(AH265&lt;=0.005,0,AH265*(1+AE$6))</f>
        <v/>
      </c>
      <c r="AF266" s="152">
        <f>MIN(AE266,AE$7)</f>
        <v/>
      </c>
      <c r="AG266" s="152">
        <f>MAX(0,MIN(AE266-AF266,AQ266-(E266+I266+M266+Q266+U266+Y266+AC266)))</f>
        <v/>
      </c>
      <c r="AH266" s="152">
        <f>AE266-AF266-AG266</f>
        <v/>
      </c>
      <c r="AI266" s="152">
        <f>IF(AL265&lt;=0.005,0,AL265*(1+AI$6))</f>
        <v/>
      </c>
      <c r="AJ266" s="152">
        <f>MIN(AI266,AI$7)</f>
        <v/>
      </c>
      <c r="AK266" s="152">
        <f>MAX(0,MIN(AI266-AJ266,AQ266-(E266+I266+M266+Q266+U266+Y266+AC266+AG266)))</f>
        <v/>
      </c>
      <c r="AL266" s="152">
        <f>AI266-AJ266-AK266</f>
        <v/>
      </c>
      <c r="AM266" s="152">
        <f>IF(AP265&lt;=0.005,0,AP265*(1+AM$6))</f>
        <v/>
      </c>
      <c r="AN266" s="152">
        <f>MIN(AM266,AM$7)</f>
        <v/>
      </c>
      <c r="AO266" s="152">
        <f>MAX(0,MIN(AM266-AN266,AQ266-(E266+I266+M266+Q266+U266+Y266+AC266+AG266+AK266)))</f>
        <v/>
      </c>
      <c r="AP266" s="152">
        <f>AM266-AN266-AO266</f>
        <v/>
      </c>
      <c r="AQ266" s="152">
        <f>'Debt Payoff'!$C$8-SUM(D266,H266,L266,P266,T266,X266,AB266,AF266,AJ266,AN266)</f>
        <v/>
      </c>
      <c r="AR266" s="152">
        <f>SUM(D266,H266,L266,P266,T266,X266,AB266,AF266,AJ266,AN266)+SUM(E266,I266,M266,Q266,U266,Y266,AC266,AG266,AK266,AO266)</f>
        <v/>
      </c>
      <c r="AS266" s="152">
        <f>SUM(F266,J266,N266,R266,V266,Z266,AD266,AH266,AL266,AP266)</f>
        <v/>
      </c>
      <c r="AT266" s="152">
        <f>IF(B266&gt;AS$6,NA(),B266)</f>
        <v/>
      </c>
      <c r="AU266" s="152">
        <f>IF(B266&gt;AS$6,NA(),AS266)</f>
        <v/>
      </c>
      <c r="AV266" s="152" t="n"/>
      <c r="AW266" s="152" t="n">
        <v>255</v>
      </c>
      <c r="AX266" s="152">
        <f>IF(BA265&lt;=0.005,0,BA265*(1+AX$6))</f>
        <v/>
      </c>
      <c r="AY266" s="152">
        <f>MIN(AX266,AX$7)</f>
        <v/>
      </c>
      <c r="AZ266" s="152">
        <f>MAX(0,MIN(AX266-AY266,CL266))</f>
        <v/>
      </c>
      <c r="BA266" s="152">
        <f>AX266-AY266-AZ266</f>
        <v/>
      </c>
      <c r="BB266" s="152">
        <f>IF(BE265&lt;=0.005,0,BE265*(1+BB$6))</f>
        <v/>
      </c>
      <c r="BC266" s="152">
        <f>MIN(BB266,BB$7)</f>
        <v/>
      </c>
      <c r="BD266" s="152">
        <f>MAX(0,MIN(BB266-BC266,CL266-(AZ266)))</f>
        <v/>
      </c>
      <c r="BE266" s="152">
        <f>BB266-BC266-BD266</f>
        <v/>
      </c>
      <c r="BF266" s="152">
        <f>IF(BI265&lt;=0.005,0,BI265*(1+BF$6))</f>
        <v/>
      </c>
      <c r="BG266" s="152">
        <f>MIN(BF266,BF$7)</f>
        <v/>
      </c>
      <c r="BH266" s="152">
        <f>MAX(0,MIN(BF266-BG266,CL266-(AZ266+BD266)))</f>
        <v/>
      </c>
      <c r="BI266" s="152">
        <f>BF266-BG266-BH266</f>
        <v/>
      </c>
      <c r="BJ266" s="152">
        <f>IF(BM265&lt;=0.005,0,BM265*(1+BJ$6))</f>
        <v/>
      </c>
      <c r="BK266" s="152">
        <f>MIN(BJ266,BJ$7)</f>
        <v/>
      </c>
      <c r="BL266" s="152">
        <f>MAX(0,MIN(BJ266-BK266,CL266-(AZ266+BD266+BH266)))</f>
        <v/>
      </c>
      <c r="BM266" s="152">
        <f>BJ266-BK266-BL266</f>
        <v/>
      </c>
      <c r="BN266" s="152">
        <f>IF(BQ265&lt;=0.005,0,BQ265*(1+BN$6))</f>
        <v/>
      </c>
      <c r="BO266" s="152">
        <f>MIN(BN266,BN$7)</f>
        <v/>
      </c>
      <c r="BP266" s="152">
        <f>MAX(0,MIN(BN266-BO266,CL266-(AZ266+BD266+BH266+BL266)))</f>
        <v/>
      </c>
      <c r="BQ266" s="152">
        <f>BN266-BO266-BP266</f>
        <v/>
      </c>
      <c r="BR266" s="152">
        <f>IF(BU265&lt;=0.005,0,BU265*(1+BR$6))</f>
        <v/>
      </c>
      <c r="BS266" s="152">
        <f>MIN(BR266,BR$7)</f>
        <v/>
      </c>
      <c r="BT266" s="152">
        <f>MAX(0,MIN(BR266-BS266,CL266-(AZ266+BD266+BH266+BL266+BP266)))</f>
        <v/>
      </c>
      <c r="BU266" s="152">
        <f>BR266-BS266-BT266</f>
        <v/>
      </c>
      <c r="BV266" s="152">
        <f>IF(BY265&lt;=0.005,0,BY265*(1+BV$6))</f>
        <v/>
      </c>
      <c r="BW266" s="152">
        <f>MIN(BV266,BV$7)</f>
        <v/>
      </c>
      <c r="BX266" s="152">
        <f>MAX(0,MIN(BV266-BW266,CL266-(AZ266+BD266+BH266+BL266+BP266+BT266)))</f>
        <v/>
      </c>
      <c r="BY266" s="152">
        <f>BV266-BW266-BX266</f>
        <v/>
      </c>
      <c r="BZ266" s="152">
        <f>IF(CC265&lt;=0.005,0,CC265*(1+BZ$6))</f>
        <v/>
      </c>
      <c r="CA266" s="152">
        <f>MIN(BZ266,BZ$7)</f>
        <v/>
      </c>
      <c r="CB266" s="152">
        <f>MAX(0,MIN(BZ266-CA266,CL266-(AZ266+BD266+BH266+BL266+BP266+BT266+BX266)))</f>
        <v/>
      </c>
      <c r="CC266" s="152">
        <f>BZ266-CA266-CB266</f>
        <v/>
      </c>
      <c r="CD266" s="152">
        <f>IF(CG265&lt;=0.005,0,CG265*(1+CD$6))</f>
        <v/>
      </c>
      <c r="CE266" s="152">
        <f>MIN(CD266,CD$7)</f>
        <v/>
      </c>
      <c r="CF266" s="152">
        <f>MAX(0,MIN(CD266-CE266,CL266-(AZ266+BD266+BH266+BL266+BP266+BT266+BX266+CB266)))</f>
        <v/>
      </c>
      <c r="CG266" s="152">
        <f>CD266-CE266-CF266</f>
        <v/>
      </c>
      <c r="CH266" s="152">
        <f>IF(CK265&lt;=0.005,0,CK265*(1+CH$6))</f>
        <v/>
      </c>
      <c r="CI266" s="152">
        <f>MIN(CH266,CH$7)</f>
        <v/>
      </c>
      <c r="CJ266" s="152">
        <f>MAX(0,MIN(CH266-CI266,CL266-(AZ266+BD266+BH266+BL266+BP266+BT266+BX266+CB266+CF266)))</f>
        <v/>
      </c>
      <c r="CK266" s="152">
        <f>CH266-CI266-CJ266</f>
        <v/>
      </c>
      <c r="CL266" s="152">
        <f>'Debt Payoff'!$C$8-SUM(AY266,BC266,BG266,BK266,BO266,BS266,BW266,CA266,CE266,CI266)</f>
        <v/>
      </c>
      <c r="CM266" s="152">
        <f>SUM(AY266,BC266,BG266,BK266,BO266,BS266,BW266,CA266,CE266,CI266)+SUM(AZ266,BD266,BH266,BL266,BP266,BT266,BX266,CB266,CF266,CJ266)</f>
        <v/>
      </c>
      <c r="CN266" s="152">
        <f>SUM(BA266,BE266,BI266,BM266,BQ266,BU266,BY266,CC266,CG266,CK266)</f>
        <v/>
      </c>
      <c r="CO266" s="152">
        <f>IF(AW266&gt;CN$6,NA(),AW266)</f>
        <v/>
      </c>
      <c r="CP266" s="152">
        <f>IF(AW266&gt;CN$6,NA(),CN266)</f>
        <v/>
      </c>
    </row>
    <row r="267">
      <c r="B267" s="152" t="n">
        <v>256</v>
      </c>
      <c r="C267" s="152">
        <f>IF(F266&lt;=0.005,0,F266*(1+C$6))</f>
        <v/>
      </c>
      <c r="D267" s="152">
        <f>MIN(C267,C$7)</f>
        <v/>
      </c>
      <c r="E267" s="152">
        <f>MAX(0,MIN(C267-D267,AQ267))</f>
        <v/>
      </c>
      <c r="F267" s="152">
        <f>C267-D267-E267</f>
        <v/>
      </c>
      <c r="G267" s="152">
        <f>IF(J266&lt;=0.005,0,J266*(1+G$6))</f>
        <v/>
      </c>
      <c r="H267" s="152">
        <f>MIN(G267,G$7)</f>
        <v/>
      </c>
      <c r="I267" s="152">
        <f>MAX(0,MIN(G267-H267,AQ267-(E267)))</f>
        <v/>
      </c>
      <c r="J267" s="152">
        <f>G267-H267-I267</f>
        <v/>
      </c>
      <c r="K267" s="152">
        <f>IF(N266&lt;=0.005,0,N266*(1+K$6))</f>
        <v/>
      </c>
      <c r="L267" s="152">
        <f>MIN(K267,K$7)</f>
        <v/>
      </c>
      <c r="M267" s="152">
        <f>MAX(0,MIN(K267-L267,AQ267-(E267+I267)))</f>
        <v/>
      </c>
      <c r="N267" s="152">
        <f>K267-L267-M267</f>
        <v/>
      </c>
      <c r="O267" s="152">
        <f>IF(R266&lt;=0.005,0,R266*(1+O$6))</f>
        <v/>
      </c>
      <c r="P267" s="152">
        <f>MIN(O267,O$7)</f>
        <v/>
      </c>
      <c r="Q267" s="152">
        <f>MAX(0,MIN(O267-P267,AQ267-(E267+I267+M267)))</f>
        <v/>
      </c>
      <c r="R267" s="152">
        <f>O267-P267-Q267</f>
        <v/>
      </c>
      <c r="S267" s="152">
        <f>IF(V266&lt;=0.005,0,V266*(1+S$6))</f>
        <v/>
      </c>
      <c r="T267" s="152">
        <f>MIN(S267,S$7)</f>
        <v/>
      </c>
      <c r="U267" s="152">
        <f>MAX(0,MIN(S267-T267,AQ267-(E267+I267+M267+Q267)))</f>
        <v/>
      </c>
      <c r="V267" s="152">
        <f>S267-T267-U267</f>
        <v/>
      </c>
      <c r="W267" s="152">
        <f>IF(Z266&lt;=0.005,0,Z266*(1+W$6))</f>
        <v/>
      </c>
      <c r="X267" s="152">
        <f>MIN(W267,W$7)</f>
        <v/>
      </c>
      <c r="Y267" s="152">
        <f>MAX(0,MIN(W267-X267,AQ267-(E267+I267+M267+Q267+U267)))</f>
        <v/>
      </c>
      <c r="Z267" s="152">
        <f>W267-X267-Y267</f>
        <v/>
      </c>
      <c r="AA267" s="152">
        <f>IF(AD266&lt;=0.005,0,AD266*(1+AA$6))</f>
        <v/>
      </c>
      <c r="AB267" s="152">
        <f>MIN(AA267,AA$7)</f>
        <v/>
      </c>
      <c r="AC267" s="152">
        <f>MAX(0,MIN(AA267-AB267,AQ267-(E267+I267+M267+Q267+U267+Y267)))</f>
        <v/>
      </c>
      <c r="AD267" s="152">
        <f>AA267-AB267-AC267</f>
        <v/>
      </c>
      <c r="AE267" s="152">
        <f>IF(AH266&lt;=0.005,0,AH266*(1+AE$6))</f>
        <v/>
      </c>
      <c r="AF267" s="152">
        <f>MIN(AE267,AE$7)</f>
        <v/>
      </c>
      <c r="AG267" s="152">
        <f>MAX(0,MIN(AE267-AF267,AQ267-(E267+I267+M267+Q267+U267+Y267+AC267)))</f>
        <v/>
      </c>
      <c r="AH267" s="152">
        <f>AE267-AF267-AG267</f>
        <v/>
      </c>
      <c r="AI267" s="152">
        <f>IF(AL266&lt;=0.005,0,AL266*(1+AI$6))</f>
        <v/>
      </c>
      <c r="AJ267" s="152">
        <f>MIN(AI267,AI$7)</f>
        <v/>
      </c>
      <c r="AK267" s="152">
        <f>MAX(0,MIN(AI267-AJ267,AQ267-(E267+I267+M267+Q267+U267+Y267+AC267+AG267)))</f>
        <v/>
      </c>
      <c r="AL267" s="152">
        <f>AI267-AJ267-AK267</f>
        <v/>
      </c>
      <c r="AM267" s="152">
        <f>IF(AP266&lt;=0.005,0,AP266*(1+AM$6))</f>
        <v/>
      </c>
      <c r="AN267" s="152">
        <f>MIN(AM267,AM$7)</f>
        <v/>
      </c>
      <c r="AO267" s="152">
        <f>MAX(0,MIN(AM267-AN267,AQ267-(E267+I267+M267+Q267+U267+Y267+AC267+AG267+AK267)))</f>
        <v/>
      </c>
      <c r="AP267" s="152">
        <f>AM267-AN267-AO267</f>
        <v/>
      </c>
      <c r="AQ267" s="152">
        <f>'Debt Payoff'!$C$8-SUM(D267,H267,L267,P267,T267,X267,AB267,AF267,AJ267,AN267)</f>
        <v/>
      </c>
      <c r="AR267" s="152">
        <f>SUM(D267,H267,L267,P267,T267,X267,AB267,AF267,AJ267,AN267)+SUM(E267,I267,M267,Q267,U267,Y267,AC267,AG267,AK267,AO267)</f>
        <v/>
      </c>
      <c r="AS267" s="152">
        <f>SUM(F267,J267,N267,R267,V267,Z267,AD267,AH267,AL267,AP267)</f>
        <v/>
      </c>
      <c r="AT267" s="152">
        <f>IF(B267&gt;AS$6,NA(),B267)</f>
        <v/>
      </c>
      <c r="AU267" s="152">
        <f>IF(B267&gt;AS$6,NA(),AS267)</f>
        <v/>
      </c>
      <c r="AV267" s="152" t="n"/>
      <c r="AW267" s="152" t="n">
        <v>256</v>
      </c>
      <c r="AX267" s="152">
        <f>IF(BA266&lt;=0.005,0,BA266*(1+AX$6))</f>
        <v/>
      </c>
      <c r="AY267" s="152">
        <f>MIN(AX267,AX$7)</f>
        <v/>
      </c>
      <c r="AZ267" s="152">
        <f>MAX(0,MIN(AX267-AY267,CL267))</f>
        <v/>
      </c>
      <c r="BA267" s="152">
        <f>AX267-AY267-AZ267</f>
        <v/>
      </c>
      <c r="BB267" s="152">
        <f>IF(BE266&lt;=0.005,0,BE266*(1+BB$6))</f>
        <v/>
      </c>
      <c r="BC267" s="152">
        <f>MIN(BB267,BB$7)</f>
        <v/>
      </c>
      <c r="BD267" s="152">
        <f>MAX(0,MIN(BB267-BC267,CL267-(AZ267)))</f>
        <v/>
      </c>
      <c r="BE267" s="152">
        <f>BB267-BC267-BD267</f>
        <v/>
      </c>
      <c r="BF267" s="152">
        <f>IF(BI266&lt;=0.005,0,BI266*(1+BF$6))</f>
        <v/>
      </c>
      <c r="BG267" s="152">
        <f>MIN(BF267,BF$7)</f>
        <v/>
      </c>
      <c r="BH267" s="152">
        <f>MAX(0,MIN(BF267-BG267,CL267-(AZ267+BD267)))</f>
        <v/>
      </c>
      <c r="BI267" s="152">
        <f>BF267-BG267-BH267</f>
        <v/>
      </c>
      <c r="BJ267" s="152">
        <f>IF(BM266&lt;=0.005,0,BM266*(1+BJ$6))</f>
        <v/>
      </c>
      <c r="BK267" s="152">
        <f>MIN(BJ267,BJ$7)</f>
        <v/>
      </c>
      <c r="BL267" s="152">
        <f>MAX(0,MIN(BJ267-BK267,CL267-(AZ267+BD267+BH267)))</f>
        <v/>
      </c>
      <c r="BM267" s="152">
        <f>BJ267-BK267-BL267</f>
        <v/>
      </c>
      <c r="BN267" s="152">
        <f>IF(BQ266&lt;=0.005,0,BQ266*(1+BN$6))</f>
        <v/>
      </c>
      <c r="BO267" s="152">
        <f>MIN(BN267,BN$7)</f>
        <v/>
      </c>
      <c r="BP267" s="152">
        <f>MAX(0,MIN(BN267-BO267,CL267-(AZ267+BD267+BH267+BL267)))</f>
        <v/>
      </c>
      <c r="BQ267" s="152">
        <f>BN267-BO267-BP267</f>
        <v/>
      </c>
      <c r="BR267" s="152">
        <f>IF(BU266&lt;=0.005,0,BU266*(1+BR$6))</f>
        <v/>
      </c>
      <c r="BS267" s="152">
        <f>MIN(BR267,BR$7)</f>
        <v/>
      </c>
      <c r="BT267" s="152">
        <f>MAX(0,MIN(BR267-BS267,CL267-(AZ267+BD267+BH267+BL267+BP267)))</f>
        <v/>
      </c>
      <c r="BU267" s="152">
        <f>BR267-BS267-BT267</f>
        <v/>
      </c>
      <c r="BV267" s="152">
        <f>IF(BY266&lt;=0.005,0,BY266*(1+BV$6))</f>
        <v/>
      </c>
      <c r="BW267" s="152">
        <f>MIN(BV267,BV$7)</f>
        <v/>
      </c>
      <c r="BX267" s="152">
        <f>MAX(0,MIN(BV267-BW267,CL267-(AZ267+BD267+BH267+BL267+BP267+BT267)))</f>
        <v/>
      </c>
      <c r="BY267" s="152">
        <f>BV267-BW267-BX267</f>
        <v/>
      </c>
      <c r="BZ267" s="152">
        <f>IF(CC266&lt;=0.005,0,CC266*(1+BZ$6))</f>
        <v/>
      </c>
      <c r="CA267" s="152">
        <f>MIN(BZ267,BZ$7)</f>
        <v/>
      </c>
      <c r="CB267" s="152">
        <f>MAX(0,MIN(BZ267-CA267,CL267-(AZ267+BD267+BH267+BL267+BP267+BT267+BX267)))</f>
        <v/>
      </c>
      <c r="CC267" s="152">
        <f>BZ267-CA267-CB267</f>
        <v/>
      </c>
      <c r="CD267" s="152">
        <f>IF(CG266&lt;=0.005,0,CG266*(1+CD$6))</f>
        <v/>
      </c>
      <c r="CE267" s="152">
        <f>MIN(CD267,CD$7)</f>
        <v/>
      </c>
      <c r="CF267" s="152">
        <f>MAX(0,MIN(CD267-CE267,CL267-(AZ267+BD267+BH267+BL267+BP267+BT267+BX267+CB267)))</f>
        <v/>
      </c>
      <c r="CG267" s="152">
        <f>CD267-CE267-CF267</f>
        <v/>
      </c>
      <c r="CH267" s="152">
        <f>IF(CK266&lt;=0.005,0,CK266*(1+CH$6))</f>
        <v/>
      </c>
      <c r="CI267" s="152">
        <f>MIN(CH267,CH$7)</f>
        <v/>
      </c>
      <c r="CJ267" s="152">
        <f>MAX(0,MIN(CH267-CI267,CL267-(AZ267+BD267+BH267+BL267+BP267+BT267+BX267+CB267+CF267)))</f>
        <v/>
      </c>
      <c r="CK267" s="152">
        <f>CH267-CI267-CJ267</f>
        <v/>
      </c>
      <c r="CL267" s="152">
        <f>'Debt Payoff'!$C$8-SUM(AY267,BC267,BG267,BK267,BO267,BS267,BW267,CA267,CE267,CI267)</f>
        <v/>
      </c>
      <c r="CM267" s="152">
        <f>SUM(AY267,BC267,BG267,BK267,BO267,BS267,BW267,CA267,CE267,CI267)+SUM(AZ267,BD267,BH267,BL267,BP267,BT267,BX267,CB267,CF267,CJ267)</f>
        <v/>
      </c>
      <c r="CN267" s="152">
        <f>SUM(BA267,BE267,BI267,BM267,BQ267,BU267,BY267,CC267,CG267,CK267)</f>
        <v/>
      </c>
      <c r="CO267" s="152">
        <f>IF(AW267&gt;CN$6,NA(),AW267)</f>
        <v/>
      </c>
      <c r="CP267" s="152">
        <f>IF(AW267&gt;CN$6,NA(),CN267)</f>
        <v/>
      </c>
    </row>
    <row r="268">
      <c r="B268" s="152" t="n">
        <v>257</v>
      </c>
      <c r="C268" s="152">
        <f>IF(F267&lt;=0.005,0,F267*(1+C$6))</f>
        <v/>
      </c>
      <c r="D268" s="152">
        <f>MIN(C268,C$7)</f>
        <v/>
      </c>
      <c r="E268" s="152">
        <f>MAX(0,MIN(C268-D268,AQ268))</f>
        <v/>
      </c>
      <c r="F268" s="152">
        <f>C268-D268-E268</f>
        <v/>
      </c>
      <c r="G268" s="152">
        <f>IF(J267&lt;=0.005,0,J267*(1+G$6))</f>
        <v/>
      </c>
      <c r="H268" s="152">
        <f>MIN(G268,G$7)</f>
        <v/>
      </c>
      <c r="I268" s="152">
        <f>MAX(0,MIN(G268-H268,AQ268-(E268)))</f>
        <v/>
      </c>
      <c r="J268" s="152">
        <f>G268-H268-I268</f>
        <v/>
      </c>
      <c r="K268" s="152">
        <f>IF(N267&lt;=0.005,0,N267*(1+K$6))</f>
        <v/>
      </c>
      <c r="L268" s="152">
        <f>MIN(K268,K$7)</f>
        <v/>
      </c>
      <c r="M268" s="152">
        <f>MAX(0,MIN(K268-L268,AQ268-(E268+I268)))</f>
        <v/>
      </c>
      <c r="N268" s="152">
        <f>K268-L268-M268</f>
        <v/>
      </c>
      <c r="O268" s="152">
        <f>IF(R267&lt;=0.005,0,R267*(1+O$6))</f>
        <v/>
      </c>
      <c r="P268" s="152">
        <f>MIN(O268,O$7)</f>
        <v/>
      </c>
      <c r="Q268" s="152">
        <f>MAX(0,MIN(O268-P268,AQ268-(E268+I268+M268)))</f>
        <v/>
      </c>
      <c r="R268" s="152">
        <f>O268-P268-Q268</f>
        <v/>
      </c>
      <c r="S268" s="152">
        <f>IF(V267&lt;=0.005,0,V267*(1+S$6))</f>
        <v/>
      </c>
      <c r="T268" s="152">
        <f>MIN(S268,S$7)</f>
        <v/>
      </c>
      <c r="U268" s="152">
        <f>MAX(0,MIN(S268-T268,AQ268-(E268+I268+M268+Q268)))</f>
        <v/>
      </c>
      <c r="V268" s="152">
        <f>S268-T268-U268</f>
        <v/>
      </c>
      <c r="W268" s="152">
        <f>IF(Z267&lt;=0.005,0,Z267*(1+W$6))</f>
        <v/>
      </c>
      <c r="X268" s="152">
        <f>MIN(W268,W$7)</f>
        <v/>
      </c>
      <c r="Y268" s="152">
        <f>MAX(0,MIN(W268-X268,AQ268-(E268+I268+M268+Q268+U268)))</f>
        <v/>
      </c>
      <c r="Z268" s="152">
        <f>W268-X268-Y268</f>
        <v/>
      </c>
      <c r="AA268" s="152">
        <f>IF(AD267&lt;=0.005,0,AD267*(1+AA$6))</f>
        <v/>
      </c>
      <c r="AB268" s="152">
        <f>MIN(AA268,AA$7)</f>
        <v/>
      </c>
      <c r="AC268" s="152">
        <f>MAX(0,MIN(AA268-AB268,AQ268-(E268+I268+M268+Q268+U268+Y268)))</f>
        <v/>
      </c>
      <c r="AD268" s="152">
        <f>AA268-AB268-AC268</f>
        <v/>
      </c>
      <c r="AE268" s="152">
        <f>IF(AH267&lt;=0.005,0,AH267*(1+AE$6))</f>
        <v/>
      </c>
      <c r="AF268" s="152">
        <f>MIN(AE268,AE$7)</f>
        <v/>
      </c>
      <c r="AG268" s="152">
        <f>MAX(0,MIN(AE268-AF268,AQ268-(E268+I268+M268+Q268+U268+Y268+AC268)))</f>
        <v/>
      </c>
      <c r="AH268" s="152">
        <f>AE268-AF268-AG268</f>
        <v/>
      </c>
      <c r="AI268" s="152">
        <f>IF(AL267&lt;=0.005,0,AL267*(1+AI$6))</f>
        <v/>
      </c>
      <c r="AJ268" s="152">
        <f>MIN(AI268,AI$7)</f>
        <v/>
      </c>
      <c r="AK268" s="152">
        <f>MAX(0,MIN(AI268-AJ268,AQ268-(E268+I268+M268+Q268+U268+Y268+AC268+AG268)))</f>
        <v/>
      </c>
      <c r="AL268" s="152">
        <f>AI268-AJ268-AK268</f>
        <v/>
      </c>
      <c r="AM268" s="152">
        <f>IF(AP267&lt;=0.005,0,AP267*(1+AM$6))</f>
        <v/>
      </c>
      <c r="AN268" s="152">
        <f>MIN(AM268,AM$7)</f>
        <v/>
      </c>
      <c r="AO268" s="152">
        <f>MAX(0,MIN(AM268-AN268,AQ268-(E268+I268+M268+Q268+U268+Y268+AC268+AG268+AK268)))</f>
        <v/>
      </c>
      <c r="AP268" s="152">
        <f>AM268-AN268-AO268</f>
        <v/>
      </c>
      <c r="AQ268" s="152">
        <f>'Debt Payoff'!$C$8-SUM(D268,H268,L268,P268,T268,X268,AB268,AF268,AJ268,AN268)</f>
        <v/>
      </c>
      <c r="AR268" s="152">
        <f>SUM(D268,H268,L268,P268,T268,X268,AB268,AF268,AJ268,AN268)+SUM(E268,I268,M268,Q268,U268,Y268,AC268,AG268,AK268,AO268)</f>
        <v/>
      </c>
      <c r="AS268" s="152">
        <f>SUM(F268,J268,N268,R268,V268,Z268,AD268,AH268,AL268,AP268)</f>
        <v/>
      </c>
      <c r="AT268" s="152">
        <f>IF(B268&gt;AS$6,NA(),B268)</f>
        <v/>
      </c>
      <c r="AU268" s="152">
        <f>IF(B268&gt;AS$6,NA(),AS268)</f>
        <v/>
      </c>
      <c r="AV268" s="152" t="n"/>
      <c r="AW268" s="152" t="n">
        <v>257</v>
      </c>
      <c r="AX268" s="152">
        <f>IF(BA267&lt;=0.005,0,BA267*(1+AX$6))</f>
        <v/>
      </c>
      <c r="AY268" s="152">
        <f>MIN(AX268,AX$7)</f>
        <v/>
      </c>
      <c r="AZ268" s="152">
        <f>MAX(0,MIN(AX268-AY268,CL268))</f>
        <v/>
      </c>
      <c r="BA268" s="152">
        <f>AX268-AY268-AZ268</f>
        <v/>
      </c>
      <c r="BB268" s="152">
        <f>IF(BE267&lt;=0.005,0,BE267*(1+BB$6))</f>
        <v/>
      </c>
      <c r="BC268" s="152">
        <f>MIN(BB268,BB$7)</f>
        <v/>
      </c>
      <c r="BD268" s="152">
        <f>MAX(0,MIN(BB268-BC268,CL268-(AZ268)))</f>
        <v/>
      </c>
      <c r="BE268" s="152">
        <f>BB268-BC268-BD268</f>
        <v/>
      </c>
      <c r="BF268" s="152">
        <f>IF(BI267&lt;=0.005,0,BI267*(1+BF$6))</f>
        <v/>
      </c>
      <c r="BG268" s="152">
        <f>MIN(BF268,BF$7)</f>
        <v/>
      </c>
      <c r="BH268" s="152">
        <f>MAX(0,MIN(BF268-BG268,CL268-(AZ268+BD268)))</f>
        <v/>
      </c>
      <c r="BI268" s="152">
        <f>BF268-BG268-BH268</f>
        <v/>
      </c>
      <c r="BJ268" s="152">
        <f>IF(BM267&lt;=0.005,0,BM267*(1+BJ$6))</f>
        <v/>
      </c>
      <c r="BK268" s="152">
        <f>MIN(BJ268,BJ$7)</f>
        <v/>
      </c>
      <c r="BL268" s="152">
        <f>MAX(0,MIN(BJ268-BK268,CL268-(AZ268+BD268+BH268)))</f>
        <v/>
      </c>
      <c r="BM268" s="152">
        <f>BJ268-BK268-BL268</f>
        <v/>
      </c>
      <c r="BN268" s="152">
        <f>IF(BQ267&lt;=0.005,0,BQ267*(1+BN$6))</f>
        <v/>
      </c>
      <c r="BO268" s="152">
        <f>MIN(BN268,BN$7)</f>
        <v/>
      </c>
      <c r="BP268" s="152">
        <f>MAX(0,MIN(BN268-BO268,CL268-(AZ268+BD268+BH268+BL268)))</f>
        <v/>
      </c>
      <c r="BQ268" s="152">
        <f>BN268-BO268-BP268</f>
        <v/>
      </c>
      <c r="BR268" s="152">
        <f>IF(BU267&lt;=0.005,0,BU267*(1+BR$6))</f>
        <v/>
      </c>
      <c r="BS268" s="152">
        <f>MIN(BR268,BR$7)</f>
        <v/>
      </c>
      <c r="BT268" s="152">
        <f>MAX(0,MIN(BR268-BS268,CL268-(AZ268+BD268+BH268+BL268+BP268)))</f>
        <v/>
      </c>
      <c r="BU268" s="152">
        <f>BR268-BS268-BT268</f>
        <v/>
      </c>
      <c r="BV268" s="152">
        <f>IF(BY267&lt;=0.005,0,BY267*(1+BV$6))</f>
        <v/>
      </c>
      <c r="BW268" s="152">
        <f>MIN(BV268,BV$7)</f>
        <v/>
      </c>
      <c r="BX268" s="152">
        <f>MAX(0,MIN(BV268-BW268,CL268-(AZ268+BD268+BH268+BL268+BP268+BT268)))</f>
        <v/>
      </c>
      <c r="BY268" s="152">
        <f>BV268-BW268-BX268</f>
        <v/>
      </c>
      <c r="BZ268" s="152">
        <f>IF(CC267&lt;=0.005,0,CC267*(1+BZ$6))</f>
        <v/>
      </c>
      <c r="CA268" s="152">
        <f>MIN(BZ268,BZ$7)</f>
        <v/>
      </c>
      <c r="CB268" s="152">
        <f>MAX(0,MIN(BZ268-CA268,CL268-(AZ268+BD268+BH268+BL268+BP268+BT268+BX268)))</f>
        <v/>
      </c>
      <c r="CC268" s="152">
        <f>BZ268-CA268-CB268</f>
        <v/>
      </c>
      <c r="CD268" s="152">
        <f>IF(CG267&lt;=0.005,0,CG267*(1+CD$6))</f>
        <v/>
      </c>
      <c r="CE268" s="152">
        <f>MIN(CD268,CD$7)</f>
        <v/>
      </c>
      <c r="CF268" s="152">
        <f>MAX(0,MIN(CD268-CE268,CL268-(AZ268+BD268+BH268+BL268+BP268+BT268+BX268+CB268)))</f>
        <v/>
      </c>
      <c r="CG268" s="152">
        <f>CD268-CE268-CF268</f>
        <v/>
      </c>
      <c r="CH268" s="152">
        <f>IF(CK267&lt;=0.005,0,CK267*(1+CH$6))</f>
        <v/>
      </c>
      <c r="CI268" s="152">
        <f>MIN(CH268,CH$7)</f>
        <v/>
      </c>
      <c r="CJ268" s="152">
        <f>MAX(0,MIN(CH268-CI268,CL268-(AZ268+BD268+BH268+BL268+BP268+BT268+BX268+CB268+CF268)))</f>
        <v/>
      </c>
      <c r="CK268" s="152">
        <f>CH268-CI268-CJ268</f>
        <v/>
      </c>
      <c r="CL268" s="152">
        <f>'Debt Payoff'!$C$8-SUM(AY268,BC268,BG268,BK268,BO268,BS268,BW268,CA268,CE268,CI268)</f>
        <v/>
      </c>
      <c r="CM268" s="152">
        <f>SUM(AY268,BC268,BG268,BK268,BO268,BS268,BW268,CA268,CE268,CI268)+SUM(AZ268,BD268,BH268,BL268,BP268,BT268,BX268,CB268,CF268,CJ268)</f>
        <v/>
      </c>
      <c r="CN268" s="152">
        <f>SUM(BA268,BE268,BI268,BM268,BQ268,BU268,BY268,CC268,CG268,CK268)</f>
        <v/>
      </c>
      <c r="CO268" s="152">
        <f>IF(AW268&gt;CN$6,NA(),AW268)</f>
        <v/>
      </c>
      <c r="CP268" s="152">
        <f>IF(AW268&gt;CN$6,NA(),CN268)</f>
        <v/>
      </c>
    </row>
    <row r="269">
      <c r="B269" s="152" t="n">
        <v>258</v>
      </c>
      <c r="C269" s="152">
        <f>IF(F268&lt;=0.005,0,F268*(1+C$6))</f>
        <v/>
      </c>
      <c r="D269" s="152">
        <f>MIN(C269,C$7)</f>
        <v/>
      </c>
      <c r="E269" s="152">
        <f>MAX(0,MIN(C269-D269,AQ269))</f>
        <v/>
      </c>
      <c r="F269" s="152">
        <f>C269-D269-E269</f>
        <v/>
      </c>
      <c r="G269" s="152">
        <f>IF(J268&lt;=0.005,0,J268*(1+G$6))</f>
        <v/>
      </c>
      <c r="H269" s="152">
        <f>MIN(G269,G$7)</f>
        <v/>
      </c>
      <c r="I269" s="152">
        <f>MAX(0,MIN(G269-H269,AQ269-(E269)))</f>
        <v/>
      </c>
      <c r="J269" s="152">
        <f>G269-H269-I269</f>
        <v/>
      </c>
      <c r="K269" s="152">
        <f>IF(N268&lt;=0.005,0,N268*(1+K$6))</f>
        <v/>
      </c>
      <c r="L269" s="152">
        <f>MIN(K269,K$7)</f>
        <v/>
      </c>
      <c r="M269" s="152">
        <f>MAX(0,MIN(K269-L269,AQ269-(E269+I269)))</f>
        <v/>
      </c>
      <c r="N269" s="152">
        <f>K269-L269-M269</f>
        <v/>
      </c>
      <c r="O269" s="152">
        <f>IF(R268&lt;=0.005,0,R268*(1+O$6))</f>
        <v/>
      </c>
      <c r="P269" s="152">
        <f>MIN(O269,O$7)</f>
        <v/>
      </c>
      <c r="Q269" s="152">
        <f>MAX(0,MIN(O269-P269,AQ269-(E269+I269+M269)))</f>
        <v/>
      </c>
      <c r="R269" s="152">
        <f>O269-P269-Q269</f>
        <v/>
      </c>
      <c r="S269" s="152">
        <f>IF(V268&lt;=0.005,0,V268*(1+S$6))</f>
        <v/>
      </c>
      <c r="T269" s="152">
        <f>MIN(S269,S$7)</f>
        <v/>
      </c>
      <c r="U269" s="152">
        <f>MAX(0,MIN(S269-T269,AQ269-(E269+I269+M269+Q269)))</f>
        <v/>
      </c>
      <c r="V269" s="152">
        <f>S269-T269-U269</f>
        <v/>
      </c>
      <c r="W269" s="152">
        <f>IF(Z268&lt;=0.005,0,Z268*(1+W$6))</f>
        <v/>
      </c>
      <c r="X269" s="152">
        <f>MIN(W269,W$7)</f>
        <v/>
      </c>
      <c r="Y269" s="152">
        <f>MAX(0,MIN(W269-X269,AQ269-(E269+I269+M269+Q269+U269)))</f>
        <v/>
      </c>
      <c r="Z269" s="152">
        <f>W269-X269-Y269</f>
        <v/>
      </c>
      <c r="AA269" s="152">
        <f>IF(AD268&lt;=0.005,0,AD268*(1+AA$6))</f>
        <v/>
      </c>
      <c r="AB269" s="152">
        <f>MIN(AA269,AA$7)</f>
        <v/>
      </c>
      <c r="AC269" s="152">
        <f>MAX(0,MIN(AA269-AB269,AQ269-(E269+I269+M269+Q269+U269+Y269)))</f>
        <v/>
      </c>
      <c r="AD269" s="152">
        <f>AA269-AB269-AC269</f>
        <v/>
      </c>
      <c r="AE269" s="152">
        <f>IF(AH268&lt;=0.005,0,AH268*(1+AE$6))</f>
        <v/>
      </c>
      <c r="AF269" s="152">
        <f>MIN(AE269,AE$7)</f>
        <v/>
      </c>
      <c r="AG269" s="152">
        <f>MAX(0,MIN(AE269-AF269,AQ269-(E269+I269+M269+Q269+U269+Y269+AC269)))</f>
        <v/>
      </c>
      <c r="AH269" s="152">
        <f>AE269-AF269-AG269</f>
        <v/>
      </c>
      <c r="AI269" s="152">
        <f>IF(AL268&lt;=0.005,0,AL268*(1+AI$6))</f>
        <v/>
      </c>
      <c r="AJ269" s="152">
        <f>MIN(AI269,AI$7)</f>
        <v/>
      </c>
      <c r="AK269" s="152">
        <f>MAX(0,MIN(AI269-AJ269,AQ269-(E269+I269+M269+Q269+U269+Y269+AC269+AG269)))</f>
        <v/>
      </c>
      <c r="AL269" s="152">
        <f>AI269-AJ269-AK269</f>
        <v/>
      </c>
      <c r="AM269" s="152">
        <f>IF(AP268&lt;=0.005,0,AP268*(1+AM$6))</f>
        <v/>
      </c>
      <c r="AN269" s="152">
        <f>MIN(AM269,AM$7)</f>
        <v/>
      </c>
      <c r="AO269" s="152">
        <f>MAX(0,MIN(AM269-AN269,AQ269-(E269+I269+M269+Q269+U269+Y269+AC269+AG269+AK269)))</f>
        <v/>
      </c>
      <c r="AP269" s="152">
        <f>AM269-AN269-AO269</f>
        <v/>
      </c>
      <c r="AQ269" s="152">
        <f>'Debt Payoff'!$C$8-SUM(D269,H269,L269,P269,T269,X269,AB269,AF269,AJ269,AN269)</f>
        <v/>
      </c>
      <c r="AR269" s="152">
        <f>SUM(D269,H269,L269,P269,T269,X269,AB269,AF269,AJ269,AN269)+SUM(E269,I269,M269,Q269,U269,Y269,AC269,AG269,AK269,AO269)</f>
        <v/>
      </c>
      <c r="AS269" s="152">
        <f>SUM(F269,J269,N269,R269,V269,Z269,AD269,AH269,AL269,AP269)</f>
        <v/>
      </c>
      <c r="AT269" s="152">
        <f>IF(B269&gt;AS$6,NA(),B269)</f>
        <v/>
      </c>
      <c r="AU269" s="152">
        <f>IF(B269&gt;AS$6,NA(),AS269)</f>
        <v/>
      </c>
      <c r="AV269" s="152" t="n"/>
      <c r="AW269" s="152" t="n">
        <v>258</v>
      </c>
      <c r="AX269" s="152">
        <f>IF(BA268&lt;=0.005,0,BA268*(1+AX$6))</f>
        <v/>
      </c>
      <c r="AY269" s="152">
        <f>MIN(AX269,AX$7)</f>
        <v/>
      </c>
      <c r="AZ269" s="152">
        <f>MAX(0,MIN(AX269-AY269,CL269))</f>
        <v/>
      </c>
      <c r="BA269" s="152">
        <f>AX269-AY269-AZ269</f>
        <v/>
      </c>
      <c r="BB269" s="152">
        <f>IF(BE268&lt;=0.005,0,BE268*(1+BB$6))</f>
        <v/>
      </c>
      <c r="BC269" s="152">
        <f>MIN(BB269,BB$7)</f>
        <v/>
      </c>
      <c r="BD269" s="152">
        <f>MAX(0,MIN(BB269-BC269,CL269-(AZ269)))</f>
        <v/>
      </c>
      <c r="BE269" s="152">
        <f>BB269-BC269-BD269</f>
        <v/>
      </c>
      <c r="BF269" s="152">
        <f>IF(BI268&lt;=0.005,0,BI268*(1+BF$6))</f>
        <v/>
      </c>
      <c r="BG269" s="152">
        <f>MIN(BF269,BF$7)</f>
        <v/>
      </c>
      <c r="BH269" s="152">
        <f>MAX(0,MIN(BF269-BG269,CL269-(AZ269+BD269)))</f>
        <v/>
      </c>
      <c r="BI269" s="152">
        <f>BF269-BG269-BH269</f>
        <v/>
      </c>
      <c r="BJ269" s="152">
        <f>IF(BM268&lt;=0.005,0,BM268*(1+BJ$6))</f>
        <v/>
      </c>
      <c r="BK269" s="152">
        <f>MIN(BJ269,BJ$7)</f>
        <v/>
      </c>
      <c r="BL269" s="152">
        <f>MAX(0,MIN(BJ269-BK269,CL269-(AZ269+BD269+BH269)))</f>
        <v/>
      </c>
      <c r="BM269" s="152">
        <f>BJ269-BK269-BL269</f>
        <v/>
      </c>
      <c r="BN269" s="152">
        <f>IF(BQ268&lt;=0.005,0,BQ268*(1+BN$6))</f>
        <v/>
      </c>
      <c r="BO269" s="152">
        <f>MIN(BN269,BN$7)</f>
        <v/>
      </c>
      <c r="BP269" s="152">
        <f>MAX(0,MIN(BN269-BO269,CL269-(AZ269+BD269+BH269+BL269)))</f>
        <v/>
      </c>
      <c r="BQ269" s="152">
        <f>BN269-BO269-BP269</f>
        <v/>
      </c>
      <c r="BR269" s="152">
        <f>IF(BU268&lt;=0.005,0,BU268*(1+BR$6))</f>
        <v/>
      </c>
      <c r="BS269" s="152">
        <f>MIN(BR269,BR$7)</f>
        <v/>
      </c>
      <c r="BT269" s="152">
        <f>MAX(0,MIN(BR269-BS269,CL269-(AZ269+BD269+BH269+BL269+BP269)))</f>
        <v/>
      </c>
      <c r="BU269" s="152">
        <f>BR269-BS269-BT269</f>
        <v/>
      </c>
      <c r="BV269" s="152">
        <f>IF(BY268&lt;=0.005,0,BY268*(1+BV$6))</f>
        <v/>
      </c>
      <c r="BW269" s="152">
        <f>MIN(BV269,BV$7)</f>
        <v/>
      </c>
      <c r="BX269" s="152">
        <f>MAX(0,MIN(BV269-BW269,CL269-(AZ269+BD269+BH269+BL269+BP269+BT269)))</f>
        <v/>
      </c>
      <c r="BY269" s="152">
        <f>BV269-BW269-BX269</f>
        <v/>
      </c>
      <c r="BZ269" s="152">
        <f>IF(CC268&lt;=0.005,0,CC268*(1+BZ$6))</f>
        <v/>
      </c>
      <c r="CA269" s="152">
        <f>MIN(BZ269,BZ$7)</f>
        <v/>
      </c>
      <c r="CB269" s="152">
        <f>MAX(0,MIN(BZ269-CA269,CL269-(AZ269+BD269+BH269+BL269+BP269+BT269+BX269)))</f>
        <v/>
      </c>
      <c r="CC269" s="152">
        <f>BZ269-CA269-CB269</f>
        <v/>
      </c>
      <c r="CD269" s="152">
        <f>IF(CG268&lt;=0.005,0,CG268*(1+CD$6))</f>
        <v/>
      </c>
      <c r="CE269" s="152">
        <f>MIN(CD269,CD$7)</f>
        <v/>
      </c>
      <c r="CF269" s="152">
        <f>MAX(0,MIN(CD269-CE269,CL269-(AZ269+BD269+BH269+BL269+BP269+BT269+BX269+CB269)))</f>
        <v/>
      </c>
      <c r="CG269" s="152">
        <f>CD269-CE269-CF269</f>
        <v/>
      </c>
      <c r="CH269" s="152">
        <f>IF(CK268&lt;=0.005,0,CK268*(1+CH$6))</f>
        <v/>
      </c>
      <c r="CI269" s="152">
        <f>MIN(CH269,CH$7)</f>
        <v/>
      </c>
      <c r="CJ269" s="152">
        <f>MAX(0,MIN(CH269-CI269,CL269-(AZ269+BD269+BH269+BL269+BP269+BT269+BX269+CB269+CF269)))</f>
        <v/>
      </c>
      <c r="CK269" s="152">
        <f>CH269-CI269-CJ269</f>
        <v/>
      </c>
      <c r="CL269" s="152">
        <f>'Debt Payoff'!$C$8-SUM(AY269,BC269,BG269,BK269,BO269,BS269,BW269,CA269,CE269,CI269)</f>
        <v/>
      </c>
      <c r="CM269" s="152">
        <f>SUM(AY269,BC269,BG269,BK269,BO269,BS269,BW269,CA269,CE269,CI269)+SUM(AZ269,BD269,BH269,BL269,BP269,BT269,BX269,CB269,CF269,CJ269)</f>
        <v/>
      </c>
      <c r="CN269" s="152">
        <f>SUM(BA269,BE269,BI269,BM269,BQ269,BU269,BY269,CC269,CG269,CK269)</f>
        <v/>
      </c>
      <c r="CO269" s="152">
        <f>IF(AW269&gt;CN$6,NA(),AW269)</f>
        <v/>
      </c>
      <c r="CP269" s="152">
        <f>IF(AW269&gt;CN$6,NA(),CN269)</f>
        <v/>
      </c>
    </row>
    <row r="270">
      <c r="B270" s="152" t="n">
        <v>259</v>
      </c>
      <c r="C270" s="152">
        <f>IF(F269&lt;=0.005,0,F269*(1+C$6))</f>
        <v/>
      </c>
      <c r="D270" s="152">
        <f>MIN(C270,C$7)</f>
        <v/>
      </c>
      <c r="E270" s="152">
        <f>MAX(0,MIN(C270-D270,AQ270))</f>
        <v/>
      </c>
      <c r="F270" s="152">
        <f>C270-D270-E270</f>
        <v/>
      </c>
      <c r="G270" s="152">
        <f>IF(J269&lt;=0.005,0,J269*(1+G$6))</f>
        <v/>
      </c>
      <c r="H270" s="152">
        <f>MIN(G270,G$7)</f>
        <v/>
      </c>
      <c r="I270" s="152">
        <f>MAX(0,MIN(G270-H270,AQ270-(E270)))</f>
        <v/>
      </c>
      <c r="J270" s="152">
        <f>G270-H270-I270</f>
        <v/>
      </c>
      <c r="K270" s="152">
        <f>IF(N269&lt;=0.005,0,N269*(1+K$6))</f>
        <v/>
      </c>
      <c r="L270" s="152">
        <f>MIN(K270,K$7)</f>
        <v/>
      </c>
      <c r="M270" s="152">
        <f>MAX(0,MIN(K270-L270,AQ270-(E270+I270)))</f>
        <v/>
      </c>
      <c r="N270" s="152">
        <f>K270-L270-M270</f>
        <v/>
      </c>
      <c r="O270" s="152">
        <f>IF(R269&lt;=0.005,0,R269*(1+O$6))</f>
        <v/>
      </c>
      <c r="P270" s="152">
        <f>MIN(O270,O$7)</f>
        <v/>
      </c>
      <c r="Q270" s="152">
        <f>MAX(0,MIN(O270-P270,AQ270-(E270+I270+M270)))</f>
        <v/>
      </c>
      <c r="R270" s="152">
        <f>O270-P270-Q270</f>
        <v/>
      </c>
      <c r="S270" s="152">
        <f>IF(V269&lt;=0.005,0,V269*(1+S$6))</f>
        <v/>
      </c>
      <c r="T270" s="152">
        <f>MIN(S270,S$7)</f>
        <v/>
      </c>
      <c r="U270" s="152">
        <f>MAX(0,MIN(S270-T270,AQ270-(E270+I270+M270+Q270)))</f>
        <v/>
      </c>
      <c r="V270" s="152">
        <f>S270-T270-U270</f>
        <v/>
      </c>
      <c r="W270" s="152">
        <f>IF(Z269&lt;=0.005,0,Z269*(1+W$6))</f>
        <v/>
      </c>
      <c r="X270" s="152">
        <f>MIN(W270,W$7)</f>
        <v/>
      </c>
      <c r="Y270" s="152">
        <f>MAX(0,MIN(W270-X270,AQ270-(E270+I270+M270+Q270+U270)))</f>
        <v/>
      </c>
      <c r="Z270" s="152">
        <f>W270-X270-Y270</f>
        <v/>
      </c>
      <c r="AA270" s="152">
        <f>IF(AD269&lt;=0.005,0,AD269*(1+AA$6))</f>
        <v/>
      </c>
      <c r="AB270" s="152">
        <f>MIN(AA270,AA$7)</f>
        <v/>
      </c>
      <c r="AC270" s="152">
        <f>MAX(0,MIN(AA270-AB270,AQ270-(E270+I270+M270+Q270+U270+Y270)))</f>
        <v/>
      </c>
      <c r="AD270" s="152">
        <f>AA270-AB270-AC270</f>
        <v/>
      </c>
      <c r="AE270" s="152">
        <f>IF(AH269&lt;=0.005,0,AH269*(1+AE$6))</f>
        <v/>
      </c>
      <c r="AF270" s="152">
        <f>MIN(AE270,AE$7)</f>
        <v/>
      </c>
      <c r="AG270" s="152">
        <f>MAX(0,MIN(AE270-AF270,AQ270-(E270+I270+M270+Q270+U270+Y270+AC270)))</f>
        <v/>
      </c>
      <c r="AH270" s="152">
        <f>AE270-AF270-AG270</f>
        <v/>
      </c>
      <c r="AI270" s="152">
        <f>IF(AL269&lt;=0.005,0,AL269*(1+AI$6))</f>
        <v/>
      </c>
      <c r="AJ270" s="152">
        <f>MIN(AI270,AI$7)</f>
        <v/>
      </c>
      <c r="AK270" s="152">
        <f>MAX(0,MIN(AI270-AJ270,AQ270-(E270+I270+M270+Q270+U270+Y270+AC270+AG270)))</f>
        <v/>
      </c>
      <c r="AL270" s="152">
        <f>AI270-AJ270-AK270</f>
        <v/>
      </c>
      <c r="AM270" s="152">
        <f>IF(AP269&lt;=0.005,0,AP269*(1+AM$6))</f>
        <v/>
      </c>
      <c r="AN270" s="152">
        <f>MIN(AM270,AM$7)</f>
        <v/>
      </c>
      <c r="AO270" s="152">
        <f>MAX(0,MIN(AM270-AN270,AQ270-(E270+I270+M270+Q270+U270+Y270+AC270+AG270+AK270)))</f>
        <v/>
      </c>
      <c r="AP270" s="152">
        <f>AM270-AN270-AO270</f>
        <v/>
      </c>
      <c r="AQ270" s="152">
        <f>'Debt Payoff'!$C$8-SUM(D270,H270,L270,P270,T270,X270,AB270,AF270,AJ270,AN270)</f>
        <v/>
      </c>
      <c r="AR270" s="152">
        <f>SUM(D270,H270,L270,P270,T270,X270,AB270,AF270,AJ270,AN270)+SUM(E270,I270,M270,Q270,U270,Y270,AC270,AG270,AK270,AO270)</f>
        <v/>
      </c>
      <c r="AS270" s="152">
        <f>SUM(F270,J270,N270,R270,V270,Z270,AD270,AH270,AL270,AP270)</f>
        <v/>
      </c>
      <c r="AT270" s="152">
        <f>IF(B270&gt;AS$6,NA(),B270)</f>
        <v/>
      </c>
      <c r="AU270" s="152">
        <f>IF(B270&gt;AS$6,NA(),AS270)</f>
        <v/>
      </c>
      <c r="AV270" s="152" t="n"/>
      <c r="AW270" s="152" t="n">
        <v>259</v>
      </c>
      <c r="AX270" s="152">
        <f>IF(BA269&lt;=0.005,0,BA269*(1+AX$6))</f>
        <v/>
      </c>
      <c r="AY270" s="152">
        <f>MIN(AX270,AX$7)</f>
        <v/>
      </c>
      <c r="AZ270" s="152">
        <f>MAX(0,MIN(AX270-AY270,CL270))</f>
        <v/>
      </c>
      <c r="BA270" s="152">
        <f>AX270-AY270-AZ270</f>
        <v/>
      </c>
      <c r="BB270" s="152">
        <f>IF(BE269&lt;=0.005,0,BE269*(1+BB$6))</f>
        <v/>
      </c>
      <c r="BC270" s="152">
        <f>MIN(BB270,BB$7)</f>
        <v/>
      </c>
      <c r="BD270" s="152">
        <f>MAX(0,MIN(BB270-BC270,CL270-(AZ270)))</f>
        <v/>
      </c>
      <c r="BE270" s="152">
        <f>BB270-BC270-BD270</f>
        <v/>
      </c>
      <c r="BF270" s="152">
        <f>IF(BI269&lt;=0.005,0,BI269*(1+BF$6))</f>
        <v/>
      </c>
      <c r="BG270" s="152">
        <f>MIN(BF270,BF$7)</f>
        <v/>
      </c>
      <c r="BH270" s="152">
        <f>MAX(0,MIN(BF270-BG270,CL270-(AZ270+BD270)))</f>
        <v/>
      </c>
      <c r="BI270" s="152">
        <f>BF270-BG270-BH270</f>
        <v/>
      </c>
      <c r="BJ270" s="152">
        <f>IF(BM269&lt;=0.005,0,BM269*(1+BJ$6))</f>
        <v/>
      </c>
      <c r="BK270" s="152">
        <f>MIN(BJ270,BJ$7)</f>
        <v/>
      </c>
      <c r="BL270" s="152">
        <f>MAX(0,MIN(BJ270-BK270,CL270-(AZ270+BD270+BH270)))</f>
        <v/>
      </c>
      <c r="BM270" s="152">
        <f>BJ270-BK270-BL270</f>
        <v/>
      </c>
      <c r="BN270" s="152">
        <f>IF(BQ269&lt;=0.005,0,BQ269*(1+BN$6))</f>
        <v/>
      </c>
      <c r="BO270" s="152">
        <f>MIN(BN270,BN$7)</f>
        <v/>
      </c>
      <c r="BP270" s="152">
        <f>MAX(0,MIN(BN270-BO270,CL270-(AZ270+BD270+BH270+BL270)))</f>
        <v/>
      </c>
      <c r="BQ270" s="152">
        <f>BN270-BO270-BP270</f>
        <v/>
      </c>
      <c r="BR270" s="152">
        <f>IF(BU269&lt;=0.005,0,BU269*(1+BR$6))</f>
        <v/>
      </c>
      <c r="BS270" s="152">
        <f>MIN(BR270,BR$7)</f>
        <v/>
      </c>
      <c r="BT270" s="152">
        <f>MAX(0,MIN(BR270-BS270,CL270-(AZ270+BD270+BH270+BL270+BP270)))</f>
        <v/>
      </c>
      <c r="BU270" s="152">
        <f>BR270-BS270-BT270</f>
        <v/>
      </c>
      <c r="BV270" s="152">
        <f>IF(BY269&lt;=0.005,0,BY269*(1+BV$6))</f>
        <v/>
      </c>
      <c r="BW270" s="152">
        <f>MIN(BV270,BV$7)</f>
        <v/>
      </c>
      <c r="BX270" s="152">
        <f>MAX(0,MIN(BV270-BW270,CL270-(AZ270+BD270+BH270+BL270+BP270+BT270)))</f>
        <v/>
      </c>
      <c r="BY270" s="152">
        <f>BV270-BW270-BX270</f>
        <v/>
      </c>
      <c r="BZ270" s="152">
        <f>IF(CC269&lt;=0.005,0,CC269*(1+BZ$6))</f>
        <v/>
      </c>
      <c r="CA270" s="152">
        <f>MIN(BZ270,BZ$7)</f>
        <v/>
      </c>
      <c r="CB270" s="152">
        <f>MAX(0,MIN(BZ270-CA270,CL270-(AZ270+BD270+BH270+BL270+BP270+BT270+BX270)))</f>
        <v/>
      </c>
      <c r="CC270" s="152">
        <f>BZ270-CA270-CB270</f>
        <v/>
      </c>
      <c r="CD270" s="152">
        <f>IF(CG269&lt;=0.005,0,CG269*(1+CD$6))</f>
        <v/>
      </c>
      <c r="CE270" s="152">
        <f>MIN(CD270,CD$7)</f>
        <v/>
      </c>
      <c r="CF270" s="152">
        <f>MAX(0,MIN(CD270-CE270,CL270-(AZ270+BD270+BH270+BL270+BP270+BT270+BX270+CB270)))</f>
        <v/>
      </c>
      <c r="CG270" s="152">
        <f>CD270-CE270-CF270</f>
        <v/>
      </c>
      <c r="CH270" s="152">
        <f>IF(CK269&lt;=0.005,0,CK269*(1+CH$6))</f>
        <v/>
      </c>
      <c r="CI270" s="152">
        <f>MIN(CH270,CH$7)</f>
        <v/>
      </c>
      <c r="CJ270" s="152">
        <f>MAX(0,MIN(CH270-CI270,CL270-(AZ270+BD270+BH270+BL270+BP270+BT270+BX270+CB270+CF270)))</f>
        <v/>
      </c>
      <c r="CK270" s="152">
        <f>CH270-CI270-CJ270</f>
        <v/>
      </c>
      <c r="CL270" s="152">
        <f>'Debt Payoff'!$C$8-SUM(AY270,BC270,BG270,BK270,BO270,BS270,BW270,CA270,CE270,CI270)</f>
        <v/>
      </c>
      <c r="CM270" s="152">
        <f>SUM(AY270,BC270,BG270,BK270,BO270,BS270,BW270,CA270,CE270,CI270)+SUM(AZ270,BD270,BH270,BL270,BP270,BT270,BX270,CB270,CF270,CJ270)</f>
        <v/>
      </c>
      <c r="CN270" s="152">
        <f>SUM(BA270,BE270,BI270,BM270,BQ270,BU270,BY270,CC270,CG270,CK270)</f>
        <v/>
      </c>
      <c r="CO270" s="152">
        <f>IF(AW270&gt;CN$6,NA(),AW270)</f>
        <v/>
      </c>
      <c r="CP270" s="152">
        <f>IF(AW270&gt;CN$6,NA(),CN270)</f>
        <v/>
      </c>
    </row>
    <row r="271">
      <c r="B271" s="152" t="n">
        <v>260</v>
      </c>
      <c r="C271" s="152">
        <f>IF(F270&lt;=0.005,0,F270*(1+C$6))</f>
        <v/>
      </c>
      <c r="D271" s="152">
        <f>MIN(C271,C$7)</f>
        <v/>
      </c>
      <c r="E271" s="152">
        <f>MAX(0,MIN(C271-D271,AQ271))</f>
        <v/>
      </c>
      <c r="F271" s="152">
        <f>C271-D271-E271</f>
        <v/>
      </c>
      <c r="G271" s="152">
        <f>IF(J270&lt;=0.005,0,J270*(1+G$6))</f>
        <v/>
      </c>
      <c r="H271" s="152">
        <f>MIN(G271,G$7)</f>
        <v/>
      </c>
      <c r="I271" s="152">
        <f>MAX(0,MIN(G271-H271,AQ271-(E271)))</f>
        <v/>
      </c>
      <c r="J271" s="152">
        <f>G271-H271-I271</f>
        <v/>
      </c>
      <c r="K271" s="152">
        <f>IF(N270&lt;=0.005,0,N270*(1+K$6))</f>
        <v/>
      </c>
      <c r="L271" s="152">
        <f>MIN(K271,K$7)</f>
        <v/>
      </c>
      <c r="M271" s="152">
        <f>MAX(0,MIN(K271-L271,AQ271-(E271+I271)))</f>
        <v/>
      </c>
      <c r="N271" s="152">
        <f>K271-L271-M271</f>
        <v/>
      </c>
      <c r="O271" s="152">
        <f>IF(R270&lt;=0.005,0,R270*(1+O$6))</f>
        <v/>
      </c>
      <c r="P271" s="152">
        <f>MIN(O271,O$7)</f>
        <v/>
      </c>
      <c r="Q271" s="152">
        <f>MAX(0,MIN(O271-P271,AQ271-(E271+I271+M271)))</f>
        <v/>
      </c>
      <c r="R271" s="152">
        <f>O271-P271-Q271</f>
        <v/>
      </c>
      <c r="S271" s="152">
        <f>IF(V270&lt;=0.005,0,V270*(1+S$6))</f>
        <v/>
      </c>
      <c r="T271" s="152">
        <f>MIN(S271,S$7)</f>
        <v/>
      </c>
      <c r="U271" s="152">
        <f>MAX(0,MIN(S271-T271,AQ271-(E271+I271+M271+Q271)))</f>
        <v/>
      </c>
      <c r="V271" s="152">
        <f>S271-T271-U271</f>
        <v/>
      </c>
      <c r="W271" s="152">
        <f>IF(Z270&lt;=0.005,0,Z270*(1+W$6))</f>
        <v/>
      </c>
      <c r="X271" s="152">
        <f>MIN(W271,W$7)</f>
        <v/>
      </c>
      <c r="Y271" s="152">
        <f>MAX(0,MIN(W271-X271,AQ271-(E271+I271+M271+Q271+U271)))</f>
        <v/>
      </c>
      <c r="Z271" s="152">
        <f>W271-X271-Y271</f>
        <v/>
      </c>
      <c r="AA271" s="152">
        <f>IF(AD270&lt;=0.005,0,AD270*(1+AA$6))</f>
        <v/>
      </c>
      <c r="AB271" s="152">
        <f>MIN(AA271,AA$7)</f>
        <v/>
      </c>
      <c r="AC271" s="152">
        <f>MAX(0,MIN(AA271-AB271,AQ271-(E271+I271+M271+Q271+U271+Y271)))</f>
        <v/>
      </c>
      <c r="AD271" s="152">
        <f>AA271-AB271-AC271</f>
        <v/>
      </c>
      <c r="AE271" s="152">
        <f>IF(AH270&lt;=0.005,0,AH270*(1+AE$6))</f>
        <v/>
      </c>
      <c r="AF271" s="152">
        <f>MIN(AE271,AE$7)</f>
        <v/>
      </c>
      <c r="AG271" s="152">
        <f>MAX(0,MIN(AE271-AF271,AQ271-(E271+I271+M271+Q271+U271+Y271+AC271)))</f>
        <v/>
      </c>
      <c r="AH271" s="152">
        <f>AE271-AF271-AG271</f>
        <v/>
      </c>
      <c r="AI271" s="152">
        <f>IF(AL270&lt;=0.005,0,AL270*(1+AI$6))</f>
        <v/>
      </c>
      <c r="AJ271" s="152">
        <f>MIN(AI271,AI$7)</f>
        <v/>
      </c>
      <c r="AK271" s="152">
        <f>MAX(0,MIN(AI271-AJ271,AQ271-(E271+I271+M271+Q271+U271+Y271+AC271+AG271)))</f>
        <v/>
      </c>
      <c r="AL271" s="152">
        <f>AI271-AJ271-AK271</f>
        <v/>
      </c>
      <c r="AM271" s="152">
        <f>IF(AP270&lt;=0.005,0,AP270*(1+AM$6))</f>
        <v/>
      </c>
      <c r="AN271" s="152">
        <f>MIN(AM271,AM$7)</f>
        <v/>
      </c>
      <c r="AO271" s="152">
        <f>MAX(0,MIN(AM271-AN271,AQ271-(E271+I271+M271+Q271+U271+Y271+AC271+AG271+AK271)))</f>
        <v/>
      </c>
      <c r="AP271" s="152">
        <f>AM271-AN271-AO271</f>
        <v/>
      </c>
      <c r="AQ271" s="152">
        <f>'Debt Payoff'!$C$8-SUM(D271,H271,L271,P271,T271,X271,AB271,AF271,AJ271,AN271)</f>
        <v/>
      </c>
      <c r="AR271" s="152">
        <f>SUM(D271,H271,L271,P271,T271,X271,AB271,AF271,AJ271,AN271)+SUM(E271,I271,M271,Q271,U271,Y271,AC271,AG271,AK271,AO271)</f>
        <v/>
      </c>
      <c r="AS271" s="152">
        <f>SUM(F271,J271,N271,R271,V271,Z271,AD271,AH271,AL271,AP271)</f>
        <v/>
      </c>
      <c r="AT271" s="152">
        <f>IF(B271&gt;AS$6,NA(),B271)</f>
        <v/>
      </c>
      <c r="AU271" s="152">
        <f>IF(B271&gt;AS$6,NA(),AS271)</f>
        <v/>
      </c>
      <c r="AV271" s="152" t="n"/>
      <c r="AW271" s="152" t="n">
        <v>260</v>
      </c>
      <c r="AX271" s="152">
        <f>IF(BA270&lt;=0.005,0,BA270*(1+AX$6))</f>
        <v/>
      </c>
      <c r="AY271" s="152">
        <f>MIN(AX271,AX$7)</f>
        <v/>
      </c>
      <c r="AZ271" s="152">
        <f>MAX(0,MIN(AX271-AY271,CL271))</f>
        <v/>
      </c>
      <c r="BA271" s="152">
        <f>AX271-AY271-AZ271</f>
        <v/>
      </c>
      <c r="BB271" s="152">
        <f>IF(BE270&lt;=0.005,0,BE270*(1+BB$6))</f>
        <v/>
      </c>
      <c r="BC271" s="152">
        <f>MIN(BB271,BB$7)</f>
        <v/>
      </c>
      <c r="BD271" s="152">
        <f>MAX(0,MIN(BB271-BC271,CL271-(AZ271)))</f>
        <v/>
      </c>
      <c r="BE271" s="152">
        <f>BB271-BC271-BD271</f>
        <v/>
      </c>
      <c r="BF271" s="152">
        <f>IF(BI270&lt;=0.005,0,BI270*(1+BF$6))</f>
        <v/>
      </c>
      <c r="BG271" s="152">
        <f>MIN(BF271,BF$7)</f>
        <v/>
      </c>
      <c r="BH271" s="152">
        <f>MAX(0,MIN(BF271-BG271,CL271-(AZ271+BD271)))</f>
        <v/>
      </c>
      <c r="BI271" s="152">
        <f>BF271-BG271-BH271</f>
        <v/>
      </c>
      <c r="BJ271" s="152">
        <f>IF(BM270&lt;=0.005,0,BM270*(1+BJ$6))</f>
        <v/>
      </c>
      <c r="BK271" s="152">
        <f>MIN(BJ271,BJ$7)</f>
        <v/>
      </c>
      <c r="BL271" s="152">
        <f>MAX(0,MIN(BJ271-BK271,CL271-(AZ271+BD271+BH271)))</f>
        <v/>
      </c>
      <c r="BM271" s="152">
        <f>BJ271-BK271-BL271</f>
        <v/>
      </c>
      <c r="BN271" s="152">
        <f>IF(BQ270&lt;=0.005,0,BQ270*(1+BN$6))</f>
        <v/>
      </c>
      <c r="BO271" s="152">
        <f>MIN(BN271,BN$7)</f>
        <v/>
      </c>
      <c r="BP271" s="152">
        <f>MAX(0,MIN(BN271-BO271,CL271-(AZ271+BD271+BH271+BL271)))</f>
        <v/>
      </c>
      <c r="BQ271" s="152">
        <f>BN271-BO271-BP271</f>
        <v/>
      </c>
      <c r="BR271" s="152">
        <f>IF(BU270&lt;=0.005,0,BU270*(1+BR$6))</f>
        <v/>
      </c>
      <c r="BS271" s="152">
        <f>MIN(BR271,BR$7)</f>
        <v/>
      </c>
      <c r="BT271" s="152">
        <f>MAX(0,MIN(BR271-BS271,CL271-(AZ271+BD271+BH271+BL271+BP271)))</f>
        <v/>
      </c>
      <c r="BU271" s="152">
        <f>BR271-BS271-BT271</f>
        <v/>
      </c>
      <c r="BV271" s="152">
        <f>IF(BY270&lt;=0.005,0,BY270*(1+BV$6))</f>
        <v/>
      </c>
      <c r="BW271" s="152">
        <f>MIN(BV271,BV$7)</f>
        <v/>
      </c>
      <c r="BX271" s="152">
        <f>MAX(0,MIN(BV271-BW271,CL271-(AZ271+BD271+BH271+BL271+BP271+BT271)))</f>
        <v/>
      </c>
      <c r="BY271" s="152">
        <f>BV271-BW271-BX271</f>
        <v/>
      </c>
      <c r="BZ271" s="152">
        <f>IF(CC270&lt;=0.005,0,CC270*(1+BZ$6))</f>
        <v/>
      </c>
      <c r="CA271" s="152">
        <f>MIN(BZ271,BZ$7)</f>
        <v/>
      </c>
      <c r="CB271" s="152">
        <f>MAX(0,MIN(BZ271-CA271,CL271-(AZ271+BD271+BH271+BL271+BP271+BT271+BX271)))</f>
        <v/>
      </c>
      <c r="CC271" s="152">
        <f>BZ271-CA271-CB271</f>
        <v/>
      </c>
      <c r="CD271" s="152">
        <f>IF(CG270&lt;=0.005,0,CG270*(1+CD$6))</f>
        <v/>
      </c>
      <c r="CE271" s="152">
        <f>MIN(CD271,CD$7)</f>
        <v/>
      </c>
      <c r="CF271" s="152">
        <f>MAX(0,MIN(CD271-CE271,CL271-(AZ271+BD271+BH271+BL271+BP271+BT271+BX271+CB271)))</f>
        <v/>
      </c>
      <c r="CG271" s="152">
        <f>CD271-CE271-CF271</f>
        <v/>
      </c>
      <c r="CH271" s="152">
        <f>IF(CK270&lt;=0.005,0,CK270*(1+CH$6))</f>
        <v/>
      </c>
      <c r="CI271" s="152">
        <f>MIN(CH271,CH$7)</f>
        <v/>
      </c>
      <c r="CJ271" s="152">
        <f>MAX(0,MIN(CH271-CI271,CL271-(AZ271+BD271+BH271+BL271+BP271+BT271+BX271+CB271+CF271)))</f>
        <v/>
      </c>
      <c r="CK271" s="152">
        <f>CH271-CI271-CJ271</f>
        <v/>
      </c>
      <c r="CL271" s="152">
        <f>'Debt Payoff'!$C$8-SUM(AY271,BC271,BG271,BK271,BO271,BS271,BW271,CA271,CE271,CI271)</f>
        <v/>
      </c>
      <c r="CM271" s="152">
        <f>SUM(AY271,BC271,BG271,BK271,BO271,BS271,BW271,CA271,CE271,CI271)+SUM(AZ271,BD271,BH271,BL271,BP271,BT271,BX271,CB271,CF271,CJ271)</f>
        <v/>
      </c>
      <c r="CN271" s="152">
        <f>SUM(BA271,BE271,BI271,BM271,BQ271,BU271,BY271,CC271,CG271,CK271)</f>
        <v/>
      </c>
      <c r="CO271" s="152">
        <f>IF(AW271&gt;CN$6,NA(),AW271)</f>
        <v/>
      </c>
      <c r="CP271" s="152">
        <f>IF(AW271&gt;CN$6,NA(),CN271)</f>
        <v/>
      </c>
    </row>
    <row r="272">
      <c r="B272" s="152" t="n">
        <v>261</v>
      </c>
      <c r="C272" s="152">
        <f>IF(F271&lt;=0.005,0,F271*(1+C$6))</f>
        <v/>
      </c>
      <c r="D272" s="152">
        <f>MIN(C272,C$7)</f>
        <v/>
      </c>
      <c r="E272" s="152">
        <f>MAX(0,MIN(C272-D272,AQ272))</f>
        <v/>
      </c>
      <c r="F272" s="152">
        <f>C272-D272-E272</f>
        <v/>
      </c>
      <c r="G272" s="152">
        <f>IF(J271&lt;=0.005,0,J271*(1+G$6))</f>
        <v/>
      </c>
      <c r="H272" s="152">
        <f>MIN(G272,G$7)</f>
        <v/>
      </c>
      <c r="I272" s="152">
        <f>MAX(0,MIN(G272-H272,AQ272-(E272)))</f>
        <v/>
      </c>
      <c r="J272" s="152">
        <f>G272-H272-I272</f>
        <v/>
      </c>
      <c r="K272" s="152">
        <f>IF(N271&lt;=0.005,0,N271*(1+K$6))</f>
        <v/>
      </c>
      <c r="L272" s="152">
        <f>MIN(K272,K$7)</f>
        <v/>
      </c>
      <c r="M272" s="152">
        <f>MAX(0,MIN(K272-L272,AQ272-(E272+I272)))</f>
        <v/>
      </c>
      <c r="N272" s="152">
        <f>K272-L272-M272</f>
        <v/>
      </c>
      <c r="O272" s="152">
        <f>IF(R271&lt;=0.005,0,R271*(1+O$6))</f>
        <v/>
      </c>
      <c r="P272" s="152">
        <f>MIN(O272,O$7)</f>
        <v/>
      </c>
      <c r="Q272" s="152">
        <f>MAX(0,MIN(O272-P272,AQ272-(E272+I272+M272)))</f>
        <v/>
      </c>
      <c r="R272" s="152">
        <f>O272-P272-Q272</f>
        <v/>
      </c>
      <c r="S272" s="152">
        <f>IF(V271&lt;=0.005,0,V271*(1+S$6))</f>
        <v/>
      </c>
      <c r="T272" s="152">
        <f>MIN(S272,S$7)</f>
        <v/>
      </c>
      <c r="U272" s="152">
        <f>MAX(0,MIN(S272-T272,AQ272-(E272+I272+M272+Q272)))</f>
        <v/>
      </c>
      <c r="V272" s="152">
        <f>S272-T272-U272</f>
        <v/>
      </c>
      <c r="W272" s="152">
        <f>IF(Z271&lt;=0.005,0,Z271*(1+W$6))</f>
        <v/>
      </c>
      <c r="X272" s="152">
        <f>MIN(W272,W$7)</f>
        <v/>
      </c>
      <c r="Y272" s="152">
        <f>MAX(0,MIN(W272-X272,AQ272-(E272+I272+M272+Q272+U272)))</f>
        <v/>
      </c>
      <c r="Z272" s="152">
        <f>W272-X272-Y272</f>
        <v/>
      </c>
      <c r="AA272" s="152">
        <f>IF(AD271&lt;=0.005,0,AD271*(1+AA$6))</f>
        <v/>
      </c>
      <c r="AB272" s="152">
        <f>MIN(AA272,AA$7)</f>
        <v/>
      </c>
      <c r="AC272" s="152">
        <f>MAX(0,MIN(AA272-AB272,AQ272-(E272+I272+M272+Q272+U272+Y272)))</f>
        <v/>
      </c>
      <c r="AD272" s="152">
        <f>AA272-AB272-AC272</f>
        <v/>
      </c>
      <c r="AE272" s="152">
        <f>IF(AH271&lt;=0.005,0,AH271*(1+AE$6))</f>
        <v/>
      </c>
      <c r="AF272" s="152">
        <f>MIN(AE272,AE$7)</f>
        <v/>
      </c>
      <c r="AG272" s="152">
        <f>MAX(0,MIN(AE272-AF272,AQ272-(E272+I272+M272+Q272+U272+Y272+AC272)))</f>
        <v/>
      </c>
      <c r="AH272" s="152">
        <f>AE272-AF272-AG272</f>
        <v/>
      </c>
      <c r="AI272" s="152">
        <f>IF(AL271&lt;=0.005,0,AL271*(1+AI$6))</f>
        <v/>
      </c>
      <c r="AJ272" s="152">
        <f>MIN(AI272,AI$7)</f>
        <v/>
      </c>
      <c r="AK272" s="152">
        <f>MAX(0,MIN(AI272-AJ272,AQ272-(E272+I272+M272+Q272+U272+Y272+AC272+AG272)))</f>
        <v/>
      </c>
      <c r="AL272" s="152">
        <f>AI272-AJ272-AK272</f>
        <v/>
      </c>
      <c r="AM272" s="152">
        <f>IF(AP271&lt;=0.005,0,AP271*(1+AM$6))</f>
        <v/>
      </c>
      <c r="AN272" s="152">
        <f>MIN(AM272,AM$7)</f>
        <v/>
      </c>
      <c r="AO272" s="152">
        <f>MAX(0,MIN(AM272-AN272,AQ272-(E272+I272+M272+Q272+U272+Y272+AC272+AG272+AK272)))</f>
        <v/>
      </c>
      <c r="AP272" s="152">
        <f>AM272-AN272-AO272</f>
        <v/>
      </c>
      <c r="AQ272" s="152">
        <f>'Debt Payoff'!$C$8-SUM(D272,H272,L272,P272,T272,X272,AB272,AF272,AJ272,AN272)</f>
        <v/>
      </c>
      <c r="AR272" s="152">
        <f>SUM(D272,H272,L272,P272,T272,X272,AB272,AF272,AJ272,AN272)+SUM(E272,I272,M272,Q272,U272,Y272,AC272,AG272,AK272,AO272)</f>
        <v/>
      </c>
      <c r="AS272" s="152">
        <f>SUM(F272,J272,N272,R272,V272,Z272,AD272,AH272,AL272,AP272)</f>
        <v/>
      </c>
      <c r="AT272" s="152">
        <f>IF(B272&gt;AS$6,NA(),B272)</f>
        <v/>
      </c>
      <c r="AU272" s="152">
        <f>IF(B272&gt;AS$6,NA(),AS272)</f>
        <v/>
      </c>
      <c r="AV272" s="152" t="n"/>
      <c r="AW272" s="152" t="n">
        <v>261</v>
      </c>
      <c r="AX272" s="152">
        <f>IF(BA271&lt;=0.005,0,BA271*(1+AX$6))</f>
        <v/>
      </c>
      <c r="AY272" s="152">
        <f>MIN(AX272,AX$7)</f>
        <v/>
      </c>
      <c r="AZ272" s="152">
        <f>MAX(0,MIN(AX272-AY272,CL272))</f>
        <v/>
      </c>
      <c r="BA272" s="152">
        <f>AX272-AY272-AZ272</f>
        <v/>
      </c>
      <c r="BB272" s="152">
        <f>IF(BE271&lt;=0.005,0,BE271*(1+BB$6))</f>
        <v/>
      </c>
      <c r="BC272" s="152">
        <f>MIN(BB272,BB$7)</f>
        <v/>
      </c>
      <c r="BD272" s="152">
        <f>MAX(0,MIN(BB272-BC272,CL272-(AZ272)))</f>
        <v/>
      </c>
      <c r="BE272" s="152">
        <f>BB272-BC272-BD272</f>
        <v/>
      </c>
      <c r="BF272" s="152">
        <f>IF(BI271&lt;=0.005,0,BI271*(1+BF$6))</f>
        <v/>
      </c>
      <c r="BG272" s="152">
        <f>MIN(BF272,BF$7)</f>
        <v/>
      </c>
      <c r="BH272" s="152">
        <f>MAX(0,MIN(BF272-BG272,CL272-(AZ272+BD272)))</f>
        <v/>
      </c>
      <c r="BI272" s="152">
        <f>BF272-BG272-BH272</f>
        <v/>
      </c>
      <c r="BJ272" s="152">
        <f>IF(BM271&lt;=0.005,0,BM271*(1+BJ$6))</f>
        <v/>
      </c>
      <c r="BK272" s="152">
        <f>MIN(BJ272,BJ$7)</f>
        <v/>
      </c>
      <c r="BL272" s="152">
        <f>MAX(0,MIN(BJ272-BK272,CL272-(AZ272+BD272+BH272)))</f>
        <v/>
      </c>
      <c r="BM272" s="152">
        <f>BJ272-BK272-BL272</f>
        <v/>
      </c>
      <c r="BN272" s="152">
        <f>IF(BQ271&lt;=0.005,0,BQ271*(1+BN$6))</f>
        <v/>
      </c>
      <c r="BO272" s="152">
        <f>MIN(BN272,BN$7)</f>
        <v/>
      </c>
      <c r="BP272" s="152">
        <f>MAX(0,MIN(BN272-BO272,CL272-(AZ272+BD272+BH272+BL272)))</f>
        <v/>
      </c>
      <c r="BQ272" s="152">
        <f>BN272-BO272-BP272</f>
        <v/>
      </c>
      <c r="BR272" s="152">
        <f>IF(BU271&lt;=0.005,0,BU271*(1+BR$6))</f>
        <v/>
      </c>
      <c r="BS272" s="152">
        <f>MIN(BR272,BR$7)</f>
        <v/>
      </c>
      <c r="BT272" s="152">
        <f>MAX(0,MIN(BR272-BS272,CL272-(AZ272+BD272+BH272+BL272+BP272)))</f>
        <v/>
      </c>
      <c r="BU272" s="152">
        <f>BR272-BS272-BT272</f>
        <v/>
      </c>
      <c r="BV272" s="152">
        <f>IF(BY271&lt;=0.005,0,BY271*(1+BV$6))</f>
        <v/>
      </c>
      <c r="BW272" s="152">
        <f>MIN(BV272,BV$7)</f>
        <v/>
      </c>
      <c r="BX272" s="152">
        <f>MAX(0,MIN(BV272-BW272,CL272-(AZ272+BD272+BH272+BL272+BP272+BT272)))</f>
        <v/>
      </c>
      <c r="BY272" s="152">
        <f>BV272-BW272-BX272</f>
        <v/>
      </c>
      <c r="BZ272" s="152">
        <f>IF(CC271&lt;=0.005,0,CC271*(1+BZ$6))</f>
        <v/>
      </c>
      <c r="CA272" s="152">
        <f>MIN(BZ272,BZ$7)</f>
        <v/>
      </c>
      <c r="CB272" s="152">
        <f>MAX(0,MIN(BZ272-CA272,CL272-(AZ272+BD272+BH272+BL272+BP272+BT272+BX272)))</f>
        <v/>
      </c>
      <c r="CC272" s="152">
        <f>BZ272-CA272-CB272</f>
        <v/>
      </c>
      <c r="CD272" s="152">
        <f>IF(CG271&lt;=0.005,0,CG271*(1+CD$6))</f>
        <v/>
      </c>
      <c r="CE272" s="152">
        <f>MIN(CD272,CD$7)</f>
        <v/>
      </c>
      <c r="CF272" s="152">
        <f>MAX(0,MIN(CD272-CE272,CL272-(AZ272+BD272+BH272+BL272+BP272+BT272+BX272+CB272)))</f>
        <v/>
      </c>
      <c r="CG272" s="152">
        <f>CD272-CE272-CF272</f>
        <v/>
      </c>
      <c r="CH272" s="152">
        <f>IF(CK271&lt;=0.005,0,CK271*(1+CH$6))</f>
        <v/>
      </c>
      <c r="CI272" s="152">
        <f>MIN(CH272,CH$7)</f>
        <v/>
      </c>
      <c r="CJ272" s="152">
        <f>MAX(0,MIN(CH272-CI272,CL272-(AZ272+BD272+BH272+BL272+BP272+BT272+BX272+CB272+CF272)))</f>
        <v/>
      </c>
      <c r="CK272" s="152">
        <f>CH272-CI272-CJ272</f>
        <v/>
      </c>
      <c r="CL272" s="152">
        <f>'Debt Payoff'!$C$8-SUM(AY272,BC272,BG272,BK272,BO272,BS272,BW272,CA272,CE272,CI272)</f>
        <v/>
      </c>
      <c r="CM272" s="152">
        <f>SUM(AY272,BC272,BG272,BK272,BO272,BS272,BW272,CA272,CE272,CI272)+SUM(AZ272,BD272,BH272,BL272,BP272,BT272,BX272,CB272,CF272,CJ272)</f>
        <v/>
      </c>
      <c r="CN272" s="152">
        <f>SUM(BA272,BE272,BI272,BM272,BQ272,BU272,BY272,CC272,CG272,CK272)</f>
        <v/>
      </c>
      <c r="CO272" s="152">
        <f>IF(AW272&gt;CN$6,NA(),AW272)</f>
        <v/>
      </c>
      <c r="CP272" s="152">
        <f>IF(AW272&gt;CN$6,NA(),CN272)</f>
        <v/>
      </c>
    </row>
    <row r="273">
      <c r="B273" s="152" t="n">
        <v>262</v>
      </c>
      <c r="C273" s="152">
        <f>IF(F272&lt;=0.005,0,F272*(1+C$6))</f>
        <v/>
      </c>
      <c r="D273" s="152">
        <f>MIN(C273,C$7)</f>
        <v/>
      </c>
      <c r="E273" s="152">
        <f>MAX(0,MIN(C273-D273,AQ273))</f>
        <v/>
      </c>
      <c r="F273" s="152">
        <f>C273-D273-E273</f>
        <v/>
      </c>
      <c r="G273" s="152">
        <f>IF(J272&lt;=0.005,0,J272*(1+G$6))</f>
        <v/>
      </c>
      <c r="H273" s="152">
        <f>MIN(G273,G$7)</f>
        <v/>
      </c>
      <c r="I273" s="152">
        <f>MAX(0,MIN(G273-H273,AQ273-(E273)))</f>
        <v/>
      </c>
      <c r="J273" s="152">
        <f>G273-H273-I273</f>
        <v/>
      </c>
      <c r="K273" s="152">
        <f>IF(N272&lt;=0.005,0,N272*(1+K$6))</f>
        <v/>
      </c>
      <c r="L273" s="152">
        <f>MIN(K273,K$7)</f>
        <v/>
      </c>
      <c r="M273" s="152">
        <f>MAX(0,MIN(K273-L273,AQ273-(E273+I273)))</f>
        <v/>
      </c>
      <c r="N273" s="152">
        <f>K273-L273-M273</f>
        <v/>
      </c>
      <c r="O273" s="152">
        <f>IF(R272&lt;=0.005,0,R272*(1+O$6))</f>
        <v/>
      </c>
      <c r="P273" s="152">
        <f>MIN(O273,O$7)</f>
        <v/>
      </c>
      <c r="Q273" s="152">
        <f>MAX(0,MIN(O273-P273,AQ273-(E273+I273+M273)))</f>
        <v/>
      </c>
      <c r="R273" s="152">
        <f>O273-P273-Q273</f>
        <v/>
      </c>
      <c r="S273" s="152">
        <f>IF(V272&lt;=0.005,0,V272*(1+S$6))</f>
        <v/>
      </c>
      <c r="T273" s="152">
        <f>MIN(S273,S$7)</f>
        <v/>
      </c>
      <c r="U273" s="152">
        <f>MAX(0,MIN(S273-T273,AQ273-(E273+I273+M273+Q273)))</f>
        <v/>
      </c>
      <c r="V273" s="152">
        <f>S273-T273-U273</f>
        <v/>
      </c>
      <c r="W273" s="152">
        <f>IF(Z272&lt;=0.005,0,Z272*(1+W$6))</f>
        <v/>
      </c>
      <c r="X273" s="152">
        <f>MIN(W273,W$7)</f>
        <v/>
      </c>
      <c r="Y273" s="152">
        <f>MAX(0,MIN(W273-X273,AQ273-(E273+I273+M273+Q273+U273)))</f>
        <v/>
      </c>
      <c r="Z273" s="152">
        <f>W273-X273-Y273</f>
        <v/>
      </c>
      <c r="AA273" s="152">
        <f>IF(AD272&lt;=0.005,0,AD272*(1+AA$6))</f>
        <v/>
      </c>
      <c r="AB273" s="152">
        <f>MIN(AA273,AA$7)</f>
        <v/>
      </c>
      <c r="AC273" s="152">
        <f>MAX(0,MIN(AA273-AB273,AQ273-(E273+I273+M273+Q273+U273+Y273)))</f>
        <v/>
      </c>
      <c r="AD273" s="152">
        <f>AA273-AB273-AC273</f>
        <v/>
      </c>
      <c r="AE273" s="152">
        <f>IF(AH272&lt;=0.005,0,AH272*(1+AE$6))</f>
        <v/>
      </c>
      <c r="AF273" s="152">
        <f>MIN(AE273,AE$7)</f>
        <v/>
      </c>
      <c r="AG273" s="152">
        <f>MAX(0,MIN(AE273-AF273,AQ273-(E273+I273+M273+Q273+U273+Y273+AC273)))</f>
        <v/>
      </c>
      <c r="AH273" s="152">
        <f>AE273-AF273-AG273</f>
        <v/>
      </c>
      <c r="AI273" s="152">
        <f>IF(AL272&lt;=0.005,0,AL272*(1+AI$6))</f>
        <v/>
      </c>
      <c r="AJ273" s="152">
        <f>MIN(AI273,AI$7)</f>
        <v/>
      </c>
      <c r="AK273" s="152">
        <f>MAX(0,MIN(AI273-AJ273,AQ273-(E273+I273+M273+Q273+U273+Y273+AC273+AG273)))</f>
        <v/>
      </c>
      <c r="AL273" s="152">
        <f>AI273-AJ273-AK273</f>
        <v/>
      </c>
      <c r="AM273" s="152">
        <f>IF(AP272&lt;=0.005,0,AP272*(1+AM$6))</f>
        <v/>
      </c>
      <c r="AN273" s="152">
        <f>MIN(AM273,AM$7)</f>
        <v/>
      </c>
      <c r="AO273" s="152">
        <f>MAX(0,MIN(AM273-AN273,AQ273-(E273+I273+M273+Q273+U273+Y273+AC273+AG273+AK273)))</f>
        <v/>
      </c>
      <c r="AP273" s="152">
        <f>AM273-AN273-AO273</f>
        <v/>
      </c>
      <c r="AQ273" s="152">
        <f>'Debt Payoff'!$C$8-SUM(D273,H273,L273,P273,T273,X273,AB273,AF273,AJ273,AN273)</f>
        <v/>
      </c>
      <c r="AR273" s="152">
        <f>SUM(D273,H273,L273,P273,T273,X273,AB273,AF273,AJ273,AN273)+SUM(E273,I273,M273,Q273,U273,Y273,AC273,AG273,AK273,AO273)</f>
        <v/>
      </c>
      <c r="AS273" s="152">
        <f>SUM(F273,J273,N273,R273,V273,Z273,AD273,AH273,AL273,AP273)</f>
        <v/>
      </c>
      <c r="AT273" s="152">
        <f>IF(B273&gt;AS$6,NA(),B273)</f>
        <v/>
      </c>
      <c r="AU273" s="152">
        <f>IF(B273&gt;AS$6,NA(),AS273)</f>
        <v/>
      </c>
      <c r="AV273" s="152" t="n"/>
      <c r="AW273" s="152" t="n">
        <v>262</v>
      </c>
      <c r="AX273" s="152">
        <f>IF(BA272&lt;=0.005,0,BA272*(1+AX$6))</f>
        <v/>
      </c>
      <c r="AY273" s="152">
        <f>MIN(AX273,AX$7)</f>
        <v/>
      </c>
      <c r="AZ273" s="152">
        <f>MAX(0,MIN(AX273-AY273,CL273))</f>
        <v/>
      </c>
      <c r="BA273" s="152">
        <f>AX273-AY273-AZ273</f>
        <v/>
      </c>
      <c r="BB273" s="152">
        <f>IF(BE272&lt;=0.005,0,BE272*(1+BB$6))</f>
        <v/>
      </c>
      <c r="BC273" s="152">
        <f>MIN(BB273,BB$7)</f>
        <v/>
      </c>
      <c r="BD273" s="152">
        <f>MAX(0,MIN(BB273-BC273,CL273-(AZ273)))</f>
        <v/>
      </c>
      <c r="BE273" s="152">
        <f>BB273-BC273-BD273</f>
        <v/>
      </c>
      <c r="BF273" s="152">
        <f>IF(BI272&lt;=0.005,0,BI272*(1+BF$6))</f>
        <v/>
      </c>
      <c r="BG273" s="152">
        <f>MIN(BF273,BF$7)</f>
        <v/>
      </c>
      <c r="BH273" s="152">
        <f>MAX(0,MIN(BF273-BG273,CL273-(AZ273+BD273)))</f>
        <v/>
      </c>
      <c r="BI273" s="152">
        <f>BF273-BG273-BH273</f>
        <v/>
      </c>
      <c r="BJ273" s="152">
        <f>IF(BM272&lt;=0.005,0,BM272*(1+BJ$6))</f>
        <v/>
      </c>
      <c r="BK273" s="152">
        <f>MIN(BJ273,BJ$7)</f>
        <v/>
      </c>
      <c r="BL273" s="152">
        <f>MAX(0,MIN(BJ273-BK273,CL273-(AZ273+BD273+BH273)))</f>
        <v/>
      </c>
      <c r="BM273" s="152">
        <f>BJ273-BK273-BL273</f>
        <v/>
      </c>
      <c r="BN273" s="152">
        <f>IF(BQ272&lt;=0.005,0,BQ272*(1+BN$6))</f>
        <v/>
      </c>
      <c r="BO273" s="152">
        <f>MIN(BN273,BN$7)</f>
        <v/>
      </c>
      <c r="BP273" s="152">
        <f>MAX(0,MIN(BN273-BO273,CL273-(AZ273+BD273+BH273+BL273)))</f>
        <v/>
      </c>
      <c r="BQ273" s="152">
        <f>BN273-BO273-BP273</f>
        <v/>
      </c>
      <c r="BR273" s="152">
        <f>IF(BU272&lt;=0.005,0,BU272*(1+BR$6))</f>
        <v/>
      </c>
      <c r="BS273" s="152">
        <f>MIN(BR273,BR$7)</f>
        <v/>
      </c>
      <c r="BT273" s="152">
        <f>MAX(0,MIN(BR273-BS273,CL273-(AZ273+BD273+BH273+BL273+BP273)))</f>
        <v/>
      </c>
      <c r="BU273" s="152">
        <f>BR273-BS273-BT273</f>
        <v/>
      </c>
      <c r="BV273" s="152">
        <f>IF(BY272&lt;=0.005,0,BY272*(1+BV$6))</f>
        <v/>
      </c>
      <c r="BW273" s="152">
        <f>MIN(BV273,BV$7)</f>
        <v/>
      </c>
      <c r="BX273" s="152">
        <f>MAX(0,MIN(BV273-BW273,CL273-(AZ273+BD273+BH273+BL273+BP273+BT273)))</f>
        <v/>
      </c>
      <c r="BY273" s="152">
        <f>BV273-BW273-BX273</f>
        <v/>
      </c>
      <c r="BZ273" s="152">
        <f>IF(CC272&lt;=0.005,0,CC272*(1+BZ$6))</f>
        <v/>
      </c>
      <c r="CA273" s="152">
        <f>MIN(BZ273,BZ$7)</f>
        <v/>
      </c>
      <c r="CB273" s="152">
        <f>MAX(0,MIN(BZ273-CA273,CL273-(AZ273+BD273+BH273+BL273+BP273+BT273+BX273)))</f>
        <v/>
      </c>
      <c r="CC273" s="152">
        <f>BZ273-CA273-CB273</f>
        <v/>
      </c>
      <c r="CD273" s="152">
        <f>IF(CG272&lt;=0.005,0,CG272*(1+CD$6))</f>
        <v/>
      </c>
      <c r="CE273" s="152">
        <f>MIN(CD273,CD$7)</f>
        <v/>
      </c>
      <c r="CF273" s="152">
        <f>MAX(0,MIN(CD273-CE273,CL273-(AZ273+BD273+BH273+BL273+BP273+BT273+BX273+CB273)))</f>
        <v/>
      </c>
      <c r="CG273" s="152">
        <f>CD273-CE273-CF273</f>
        <v/>
      </c>
      <c r="CH273" s="152">
        <f>IF(CK272&lt;=0.005,0,CK272*(1+CH$6))</f>
        <v/>
      </c>
      <c r="CI273" s="152">
        <f>MIN(CH273,CH$7)</f>
        <v/>
      </c>
      <c r="CJ273" s="152">
        <f>MAX(0,MIN(CH273-CI273,CL273-(AZ273+BD273+BH273+BL273+BP273+BT273+BX273+CB273+CF273)))</f>
        <v/>
      </c>
      <c r="CK273" s="152">
        <f>CH273-CI273-CJ273</f>
        <v/>
      </c>
      <c r="CL273" s="152">
        <f>'Debt Payoff'!$C$8-SUM(AY273,BC273,BG273,BK273,BO273,BS273,BW273,CA273,CE273,CI273)</f>
        <v/>
      </c>
      <c r="CM273" s="152">
        <f>SUM(AY273,BC273,BG273,BK273,BO273,BS273,BW273,CA273,CE273,CI273)+SUM(AZ273,BD273,BH273,BL273,BP273,BT273,BX273,CB273,CF273,CJ273)</f>
        <v/>
      </c>
      <c r="CN273" s="152">
        <f>SUM(BA273,BE273,BI273,BM273,BQ273,BU273,BY273,CC273,CG273,CK273)</f>
        <v/>
      </c>
      <c r="CO273" s="152">
        <f>IF(AW273&gt;CN$6,NA(),AW273)</f>
        <v/>
      </c>
      <c r="CP273" s="152">
        <f>IF(AW273&gt;CN$6,NA(),CN273)</f>
        <v/>
      </c>
    </row>
    <row r="274">
      <c r="B274" s="152" t="n">
        <v>263</v>
      </c>
      <c r="C274" s="152">
        <f>IF(F273&lt;=0.005,0,F273*(1+C$6))</f>
        <v/>
      </c>
      <c r="D274" s="152">
        <f>MIN(C274,C$7)</f>
        <v/>
      </c>
      <c r="E274" s="152">
        <f>MAX(0,MIN(C274-D274,AQ274))</f>
        <v/>
      </c>
      <c r="F274" s="152">
        <f>C274-D274-E274</f>
        <v/>
      </c>
      <c r="G274" s="152">
        <f>IF(J273&lt;=0.005,0,J273*(1+G$6))</f>
        <v/>
      </c>
      <c r="H274" s="152">
        <f>MIN(G274,G$7)</f>
        <v/>
      </c>
      <c r="I274" s="152">
        <f>MAX(0,MIN(G274-H274,AQ274-(E274)))</f>
        <v/>
      </c>
      <c r="J274" s="152">
        <f>G274-H274-I274</f>
        <v/>
      </c>
      <c r="K274" s="152">
        <f>IF(N273&lt;=0.005,0,N273*(1+K$6))</f>
        <v/>
      </c>
      <c r="L274" s="152">
        <f>MIN(K274,K$7)</f>
        <v/>
      </c>
      <c r="M274" s="152">
        <f>MAX(0,MIN(K274-L274,AQ274-(E274+I274)))</f>
        <v/>
      </c>
      <c r="N274" s="152">
        <f>K274-L274-M274</f>
        <v/>
      </c>
      <c r="O274" s="152">
        <f>IF(R273&lt;=0.005,0,R273*(1+O$6))</f>
        <v/>
      </c>
      <c r="P274" s="152">
        <f>MIN(O274,O$7)</f>
        <v/>
      </c>
      <c r="Q274" s="152">
        <f>MAX(0,MIN(O274-P274,AQ274-(E274+I274+M274)))</f>
        <v/>
      </c>
      <c r="R274" s="152">
        <f>O274-P274-Q274</f>
        <v/>
      </c>
      <c r="S274" s="152">
        <f>IF(V273&lt;=0.005,0,V273*(1+S$6))</f>
        <v/>
      </c>
      <c r="T274" s="152">
        <f>MIN(S274,S$7)</f>
        <v/>
      </c>
      <c r="U274" s="152">
        <f>MAX(0,MIN(S274-T274,AQ274-(E274+I274+M274+Q274)))</f>
        <v/>
      </c>
      <c r="V274" s="152">
        <f>S274-T274-U274</f>
        <v/>
      </c>
      <c r="W274" s="152">
        <f>IF(Z273&lt;=0.005,0,Z273*(1+W$6))</f>
        <v/>
      </c>
      <c r="X274" s="152">
        <f>MIN(W274,W$7)</f>
        <v/>
      </c>
      <c r="Y274" s="152">
        <f>MAX(0,MIN(W274-X274,AQ274-(E274+I274+M274+Q274+U274)))</f>
        <v/>
      </c>
      <c r="Z274" s="152">
        <f>W274-X274-Y274</f>
        <v/>
      </c>
      <c r="AA274" s="152">
        <f>IF(AD273&lt;=0.005,0,AD273*(1+AA$6))</f>
        <v/>
      </c>
      <c r="AB274" s="152">
        <f>MIN(AA274,AA$7)</f>
        <v/>
      </c>
      <c r="AC274" s="152">
        <f>MAX(0,MIN(AA274-AB274,AQ274-(E274+I274+M274+Q274+U274+Y274)))</f>
        <v/>
      </c>
      <c r="AD274" s="152">
        <f>AA274-AB274-AC274</f>
        <v/>
      </c>
      <c r="AE274" s="152">
        <f>IF(AH273&lt;=0.005,0,AH273*(1+AE$6))</f>
        <v/>
      </c>
      <c r="AF274" s="152">
        <f>MIN(AE274,AE$7)</f>
        <v/>
      </c>
      <c r="AG274" s="152">
        <f>MAX(0,MIN(AE274-AF274,AQ274-(E274+I274+M274+Q274+U274+Y274+AC274)))</f>
        <v/>
      </c>
      <c r="AH274" s="152">
        <f>AE274-AF274-AG274</f>
        <v/>
      </c>
      <c r="AI274" s="152">
        <f>IF(AL273&lt;=0.005,0,AL273*(1+AI$6))</f>
        <v/>
      </c>
      <c r="AJ274" s="152">
        <f>MIN(AI274,AI$7)</f>
        <v/>
      </c>
      <c r="AK274" s="152">
        <f>MAX(0,MIN(AI274-AJ274,AQ274-(E274+I274+M274+Q274+U274+Y274+AC274+AG274)))</f>
        <v/>
      </c>
      <c r="AL274" s="152">
        <f>AI274-AJ274-AK274</f>
        <v/>
      </c>
      <c r="AM274" s="152">
        <f>IF(AP273&lt;=0.005,0,AP273*(1+AM$6))</f>
        <v/>
      </c>
      <c r="AN274" s="152">
        <f>MIN(AM274,AM$7)</f>
        <v/>
      </c>
      <c r="AO274" s="152">
        <f>MAX(0,MIN(AM274-AN274,AQ274-(E274+I274+M274+Q274+U274+Y274+AC274+AG274+AK274)))</f>
        <v/>
      </c>
      <c r="AP274" s="152">
        <f>AM274-AN274-AO274</f>
        <v/>
      </c>
      <c r="AQ274" s="152">
        <f>'Debt Payoff'!$C$8-SUM(D274,H274,L274,P274,T274,X274,AB274,AF274,AJ274,AN274)</f>
        <v/>
      </c>
      <c r="AR274" s="152">
        <f>SUM(D274,H274,L274,P274,T274,X274,AB274,AF274,AJ274,AN274)+SUM(E274,I274,M274,Q274,U274,Y274,AC274,AG274,AK274,AO274)</f>
        <v/>
      </c>
      <c r="AS274" s="152">
        <f>SUM(F274,J274,N274,R274,V274,Z274,AD274,AH274,AL274,AP274)</f>
        <v/>
      </c>
      <c r="AT274" s="152">
        <f>IF(B274&gt;AS$6,NA(),B274)</f>
        <v/>
      </c>
      <c r="AU274" s="152">
        <f>IF(B274&gt;AS$6,NA(),AS274)</f>
        <v/>
      </c>
      <c r="AV274" s="152" t="n"/>
      <c r="AW274" s="152" t="n">
        <v>263</v>
      </c>
      <c r="AX274" s="152">
        <f>IF(BA273&lt;=0.005,0,BA273*(1+AX$6))</f>
        <v/>
      </c>
      <c r="AY274" s="152">
        <f>MIN(AX274,AX$7)</f>
        <v/>
      </c>
      <c r="AZ274" s="152">
        <f>MAX(0,MIN(AX274-AY274,CL274))</f>
        <v/>
      </c>
      <c r="BA274" s="152">
        <f>AX274-AY274-AZ274</f>
        <v/>
      </c>
      <c r="BB274" s="152">
        <f>IF(BE273&lt;=0.005,0,BE273*(1+BB$6))</f>
        <v/>
      </c>
      <c r="BC274" s="152">
        <f>MIN(BB274,BB$7)</f>
        <v/>
      </c>
      <c r="BD274" s="152">
        <f>MAX(0,MIN(BB274-BC274,CL274-(AZ274)))</f>
        <v/>
      </c>
      <c r="BE274" s="152">
        <f>BB274-BC274-BD274</f>
        <v/>
      </c>
      <c r="BF274" s="152">
        <f>IF(BI273&lt;=0.005,0,BI273*(1+BF$6))</f>
        <v/>
      </c>
      <c r="BG274" s="152">
        <f>MIN(BF274,BF$7)</f>
        <v/>
      </c>
      <c r="BH274" s="152">
        <f>MAX(0,MIN(BF274-BG274,CL274-(AZ274+BD274)))</f>
        <v/>
      </c>
      <c r="BI274" s="152">
        <f>BF274-BG274-BH274</f>
        <v/>
      </c>
      <c r="BJ274" s="152">
        <f>IF(BM273&lt;=0.005,0,BM273*(1+BJ$6))</f>
        <v/>
      </c>
      <c r="BK274" s="152">
        <f>MIN(BJ274,BJ$7)</f>
        <v/>
      </c>
      <c r="BL274" s="152">
        <f>MAX(0,MIN(BJ274-BK274,CL274-(AZ274+BD274+BH274)))</f>
        <v/>
      </c>
      <c r="BM274" s="152">
        <f>BJ274-BK274-BL274</f>
        <v/>
      </c>
      <c r="BN274" s="152">
        <f>IF(BQ273&lt;=0.005,0,BQ273*(1+BN$6))</f>
        <v/>
      </c>
      <c r="BO274" s="152">
        <f>MIN(BN274,BN$7)</f>
        <v/>
      </c>
      <c r="BP274" s="152">
        <f>MAX(0,MIN(BN274-BO274,CL274-(AZ274+BD274+BH274+BL274)))</f>
        <v/>
      </c>
      <c r="BQ274" s="152">
        <f>BN274-BO274-BP274</f>
        <v/>
      </c>
      <c r="BR274" s="152">
        <f>IF(BU273&lt;=0.005,0,BU273*(1+BR$6))</f>
        <v/>
      </c>
      <c r="BS274" s="152">
        <f>MIN(BR274,BR$7)</f>
        <v/>
      </c>
      <c r="BT274" s="152">
        <f>MAX(0,MIN(BR274-BS274,CL274-(AZ274+BD274+BH274+BL274+BP274)))</f>
        <v/>
      </c>
      <c r="BU274" s="152">
        <f>BR274-BS274-BT274</f>
        <v/>
      </c>
      <c r="BV274" s="152">
        <f>IF(BY273&lt;=0.005,0,BY273*(1+BV$6))</f>
        <v/>
      </c>
      <c r="BW274" s="152">
        <f>MIN(BV274,BV$7)</f>
        <v/>
      </c>
      <c r="BX274" s="152">
        <f>MAX(0,MIN(BV274-BW274,CL274-(AZ274+BD274+BH274+BL274+BP274+BT274)))</f>
        <v/>
      </c>
      <c r="BY274" s="152">
        <f>BV274-BW274-BX274</f>
        <v/>
      </c>
      <c r="BZ274" s="152">
        <f>IF(CC273&lt;=0.005,0,CC273*(1+BZ$6))</f>
        <v/>
      </c>
      <c r="CA274" s="152">
        <f>MIN(BZ274,BZ$7)</f>
        <v/>
      </c>
      <c r="CB274" s="152">
        <f>MAX(0,MIN(BZ274-CA274,CL274-(AZ274+BD274+BH274+BL274+BP274+BT274+BX274)))</f>
        <v/>
      </c>
      <c r="CC274" s="152">
        <f>BZ274-CA274-CB274</f>
        <v/>
      </c>
      <c r="CD274" s="152">
        <f>IF(CG273&lt;=0.005,0,CG273*(1+CD$6))</f>
        <v/>
      </c>
      <c r="CE274" s="152">
        <f>MIN(CD274,CD$7)</f>
        <v/>
      </c>
      <c r="CF274" s="152">
        <f>MAX(0,MIN(CD274-CE274,CL274-(AZ274+BD274+BH274+BL274+BP274+BT274+BX274+CB274)))</f>
        <v/>
      </c>
      <c r="CG274" s="152">
        <f>CD274-CE274-CF274</f>
        <v/>
      </c>
      <c r="CH274" s="152">
        <f>IF(CK273&lt;=0.005,0,CK273*(1+CH$6))</f>
        <v/>
      </c>
      <c r="CI274" s="152">
        <f>MIN(CH274,CH$7)</f>
        <v/>
      </c>
      <c r="CJ274" s="152">
        <f>MAX(0,MIN(CH274-CI274,CL274-(AZ274+BD274+BH274+BL274+BP274+BT274+BX274+CB274+CF274)))</f>
        <v/>
      </c>
      <c r="CK274" s="152">
        <f>CH274-CI274-CJ274</f>
        <v/>
      </c>
      <c r="CL274" s="152">
        <f>'Debt Payoff'!$C$8-SUM(AY274,BC274,BG274,BK274,BO274,BS274,BW274,CA274,CE274,CI274)</f>
        <v/>
      </c>
      <c r="CM274" s="152">
        <f>SUM(AY274,BC274,BG274,BK274,BO274,BS274,BW274,CA274,CE274,CI274)+SUM(AZ274,BD274,BH274,BL274,BP274,BT274,BX274,CB274,CF274,CJ274)</f>
        <v/>
      </c>
      <c r="CN274" s="152">
        <f>SUM(BA274,BE274,BI274,BM274,BQ274,BU274,BY274,CC274,CG274,CK274)</f>
        <v/>
      </c>
      <c r="CO274" s="152">
        <f>IF(AW274&gt;CN$6,NA(),AW274)</f>
        <v/>
      </c>
      <c r="CP274" s="152">
        <f>IF(AW274&gt;CN$6,NA(),CN274)</f>
        <v/>
      </c>
    </row>
    <row r="275">
      <c r="B275" s="152" t="n">
        <v>264</v>
      </c>
      <c r="C275" s="152">
        <f>IF(F274&lt;=0.005,0,F274*(1+C$6))</f>
        <v/>
      </c>
      <c r="D275" s="152">
        <f>MIN(C275,C$7)</f>
        <v/>
      </c>
      <c r="E275" s="152">
        <f>MAX(0,MIN(C275-D275,AQ275))</f>
        <v/>
      </c>
      <c r="F275" s="152">
        <f>C275-D275-E275</f>
        <v/>
      </c>
      <c r="G275" s="152">
        <f>IF(J274&lt;=0.005,0,J274*(1+G$6))</f>
        <v/>
      </c>
      <c r="H275" s="152">
        <f>MIN(G275,G$7)</f>
        <v/>
      </c>
      <c r="I275" s="152">
        <f>MAX(0,MIN(G275-H275,AQ275-(E275)))</f>
        <v/>
      </c>
      <c r="J275" s="152">
        <f>G275-H275-I275</f>
        <v/>
      </c>
      <c r="K275" s="152">
        <f>IF(N274&lt;=0.005,0,N274*(1+K$6))</f>
        <v/>
      </c>
      <c r="L275" s="152">
        <f>MIN(K275,K$7)</f>
        <v/>
      </c>
      <c r="M275" s="152">
        <f>MAX(0,MIN(K275-L275,AQ275-(E275+I275)))</f>
        <v/>
      </c>
      <c r="N275" s="152">
        <f>K275-L275-M275</f>
        <v/>
      </c>
      <c r="O275" s="152">
        <f>IF(R274&lt;=0.005,0,R274*(1+O$6))</f>
        <v/>
      </c>
      <c r="P275" s="152">
        <f>MIN(O275,O$7)</f>
        <v/>
      </c>
      <c r="Q275" s="152">
        <f>MAX(0,MIN(O275-P275,AQ275-(E275+I275+M275)))</f>
        <v/>
      </c>
      <c r="R275" s="152">
        <f>O275-P275-Q275</f>
        <v/>
      </c>
      <c r="S275" s="152">
        <f>IF(V274&lt;=0.005,0,V274*(1+S$6))</f>
        <v/>
      </c>
      <c r="T275" s="152">
        <f>MIN(S275,S$7)</f>
        <v/>
      </c>
      <c r="U275" s="152">
        <f>MAX(0,MIN(S275-T275,AQ275-(E275+I275+M275+Q275)))</f>
        <v/>
      </c>
      <c r="V275" s="152">
        <f>S275-T275-U275</f>
        <v/>
      </c>
      <c r="W275" s="152">
        <f>IF(Z274&lt;=0.005,0,Z274*(1+W$6))</f>
        <v/>
      </c>
      <c r="X275" s="152">
        <f>MIN(W275,W$7)</f>
        <v/>
      </c>
      <c r="Y275" s="152">
        <f>MAX(0,MIN(W275-X275,AQ275-(E275+I275+M275+Q275+U275)))</f>
        <v/>
      </c>
      <c r="Z275" s="152">
        <f>W275-X275-Y275</f>
        <v/>
      </c>
      <c r="AA275" s="152">
        <f>IF(AD274&lt;=0.005,0,AD274*(1+AA$6))</f>
        <v/>
      </c>
      <c r="AB275" s="152">
        <f>MIN(AA275,AA$7)</f>
        <v/>
      </c>
      <c r="AC275" s="152">
        <f>MAX(0,MIN(AA275-AB275,AQ275-(E275+I275+M275+Q275+U275+Y275)))</f>
        <v/>
      </c>
      <c r="AD275" s="152">
        <f>AA275-AB275-AC275</f>
        <v/>
      </c>
      <c r="AE275" s="152">
        <f>IF(AH274&lt;=0.005,0,AH274*(1+AE$6))</f>
        <v/>
      </c>
      <c r="AF275" s="152">
        <f>MIN(AE275,AE$7)</f>
        <v/>
      </c>
      <c r="AG275" s="152">
        <f>MAX(0,MIN(AE275-AF275,AQ275-(E275+I275+M275+Q275+U275+Y275+AC275)))</f>
        <v/>
      </c>
      <c r="AH275" s="152">
        <f>AE275-AF275-AG275</f>
        <v/>
      </c>
      <c r="AI275" s="152">
        <f>IF(AL274&lt;=0.005,0,AL274*(1+AI$6))</f>
        <v/>
      </c>
      <c r="AJ275" s="152">
        <f>MIN(AI275,AI$7)</f>
        <v/>
      </c>
      <c r="AK275" s="152">
        <f>MAX(0,MIN(AI275-AJ275,AQ275-(E275+I275+M275+Q275+U275+Y275+AC275+AG275)))</f>
        <v/>
      </c>
      <c r="AL275" s="152">
        <f>AI275-AJ275-AK275</f>
        <v/>
      </c>
      <c r="AM275" s="152">
        <f>IF(AP274&lt;=0.005,0,AP274*(1+AM$6))</f>
        <v/>
      </c>
      <c r="AN275" s="152">
        <f>MIN(AM275,AM$7)</f>
        <v/>
      </c>
      <c r="AO275" s="152">
        <f>MAX(0,MIN(AM275-AN275,AQ275-(E275+I275+M275+Q275+U275+Y275+AC275+AG275+AK275)))</f>
        <v/>
      </c>
      <c r="AP275" s="152">
        <f>AM275-AN275-AO275</f>
        <v/>
      </c>
      <c r="AQ275" s="152">
        <f>'Debt Payoff'!$C$8-SUM(D275,H275,L275,P275,T275,X275,AB275,AF275,AJ275,AN275)</f>
        <v/>
      </c>
      <c r="AR275" s="152">
        <f>SUM(D275,H275,L275,P275,T275,X275,AB275,AF275,AJ275,AN275)+SUM(E275,I275,M275,Q275,U275,Y275,AC275,AG275,AK275,AO275)</f>
        <v/>
      </c>
      <c r="AS275" s="152">
        <f>SUM(F275,J275,N275,R275,V275,Z275,AD275,AH275,AL275,AP275)</f>
        <v/>
      </c>
      <c r="AT275" s="152">
        <f>IF(B275&gt;AS$6,NA(),B275)</f>
        <v/>
      </c>
      <c r="AU275" s="152">
        <f>IF(B275&gt;AS$6,NA(),AS275)</f>
        <v/>
      </c>
      <c r="AV275" s="152" t="n"/>
      <c r="AW275" s="152" t="n">
        <v>264</v>
      </c>
      <c r="AX275" s="152">
        <f>IF(BA274&lt;=0.005,0,BA274*(1+AX$6))</f>
        <v/>
      </c>
      <c r="AY275" s="152">
        <f>MIN(AX275,AX$7)</f>
        <v/>
      </c>
      <c r="AZ275" s="152">
        <f>MAX(0,MIN(AX275-AY275,CL275))</f>
        <v/>
      </c>
      <c r="BA275" s="152">
        <f>AX275-AY275-AZ275</f>
        <v/>
      </c>
      <c r="BB275" s="152">
        <f>IF(BE274&lt;=0.005,0,BE274*(1+BB$6))</f>
        <v/>
      </c>
      <c r="BC275" s="152">
        <f>MIN(BB275,BB$7)</f>
        <v/>
      </c>
      <c r="BD275" s="152">
        <f>MAX(0,MIN(BB275-BC275,CL275-(AZ275)))</f>
        <v/>
      </c>
      <c r="BE275" s="152">
        <f>BB275-BC275-BD275</f>
        <v/>
      </c>
      <c r="BF275" s="152">
        <f>IF(BI274&lt;=0.005,0,BI274*(1+BF$6))</f>
        <v/>
      </c>
      <c r="BG275" s="152">
        <f>MIN(BF275,BF$7)</f>
        <v/>
      </c>
      <c r="BH275" s="152">
        <f>MAX(0,MIN(BF275-BG275,CL275-(AZ275+BD275)))</f>
        <v/>
      </c>
      <c r="BI275" s="152">
        <f>BF275-BG275-BH275</f>
        <v/>
      </c>
      <c r="BJ275" s="152">
        <f>IF(BM274&lt;=0.005,0,BM274*(1+BJ$6))</f>
        <v/>
      </c>
      <c r="BK275" s="152">
        <f>MIN(BJ275,BJ$7)</f>
        <v/>
      </c>
      <c r="BL275" s="152">
        <f>MAX(0,MIN(BJ275-BK275,CL275-(AZ275+BD275+BH275)))</f>
        <v/>
      </c>
      <c r="BM275" s="152">
        <f>BJ275-BK275-BL275</f>
        <v/>
      </c>
      <c r="BN275" s="152">
        <f>IF(BQ274&lt;=0.005,0,BQ274*(1+BN$6))</f>
        <v/>
      </c>
      <c r="BO275" s="152">
        <f>MIN(BN275,BN$7)</f>
        <v/>
      </c>
      <c r="BP275" s="152">
        <f>MAX(0,MIN(BN275-BO275,CL275-(AZ275+BD275+BH275+BL275)))</f>
        <v/>
      </c>
      <c r="BQ275" s="152">
        <f>BN275-BO275-BP275</f>
        <v/>
      </c>
      <c r="BR275" s="152">
        <f>IF(BU274&lt;=0.005,0,BU274*(1+BR$6))</f>
        <v/>
      </c>
      <c r="BS275" s="152">
        <f>MIN(BR275,BR$7)</f>
        <v/>
      </c>
      <c r="BT275" s="152">
        <f>MAX(0,MIN(BR275-BS275,CL275-(AZ275+BD275+BH275+BL275+BP275)))</f>
        <v/>
      </c>
      <c r="BU275" s="152">
        <f>BR275-BS275-BT275</f>
        <v/>
      </c>
      <c r="BV275" s="152">
        <f>IF(BY274&lt;=0.005,0,BY274*(1+BV$6))</f>
        <v/>
      </c>
      <c r="BW275" s="152">
        <f>MIN(BV275,BV$7)</f>
        <v/>
      </c>
      <c r="BX275" s="152">
        <f>MAX(0,MIN(BV275-BW275,CL275-(AZ275+BD275+BH275+BL275+BP275+BT275)))</f>
        <v/>
      </c>
      <c r="BY275" s="152">
        <f>BV275-BW275-BX275</f>
        <v/>
      </c>
      <c r="BZ275" s="152">
        <f>IF(CC274&lt;=0.005,0,CC274*(1+BZ$6))</f>
        <v/>
      </c>
      <c r="CA275" s="152">
        <f>MIN(BZ275,BZ$7)</f>
        <v/>
      </c>
      <c r="CB275" s="152">
        <f>MAX(0,MIN(BZ275-CA275,CL275-(AZ275+BD275+BH275+BL275+BP275+BT275+BX275)))</f>
        <v/>
      </c>
      <c r="CC275" s="152">
        <f>BZ275-CA275-CB275</f>
        <v/>
      </c>
      <c r="CD275" s="152">
        <f>IF(CG274&lt;=0.005,0,CG274*(1+CD$6))</f>
        <v/>
      </c>
      <c r="CE275" s="152">
        <f>MIN(CD275,CD$7)</f>
        <v/>
      </c>
      <c r="CF275" s="152">
        <f>MAX(0,MIN(CD275-CE275,CL275-(AZ275+BD275+BH275+BL275+BP275+BT275+BX275+CB275)))</f>
        <v/>
      </c>
      <c r="CG275" s="152">
        <f>CD275-CE275-CF275</f>
        <v/>
      </c>
      <c r="CH275" s="152">
        <f>IF(CK274&lt;=0.005,0,CK274*(1+CH$6))</f>
        <v/>
      </c>
      <c r="CI275" s="152">
        <f>MIN(CH275,CH$7)</f>
        <v/>
      </c>
      <c r="CJ275" s="152">
        <f>MAX(0,MIN(CH275-CI275,CL275-(AZ275+BD275+BH275+BL275+BP275+BT275+BX275+CB275+CF275)))</f>
        <v/>
      </c>
      <c r="CK275" s="152">
        <f>CH275-CI275-CJ275</f>
        <v/>
      </c>
      <c r="CL275" s="152">
        <f>'Debt Payoff'!$C$8-SUM(AY275,BC275,BG275,BK275,BO275,BS275,BW275,CA275,CE275,CI275)</f>
        <v/>
      </c>
      <c r="CM275" s="152">
        <f>SUM(AY275,BC275,BG275,BK275,BO275,BS275,BW275,CA275,CE275,CI275)+SUM(AZ275,BD275,BH275,BL275,BP275,BT275,BX275,CB275,CF275,CJ275)</f>
        <v/>
      </c>
      <c r="CN275" s="152">
        <f>SUM(BA275,BE275,BI275,BM275,BQ275,BU275,BY275,CC275,CG275,CK275)</f>
        <v/>
      </c>
      <c r="CO275" s="152">
        <f>IF(AW275&gt;CN$6,NA(),AW275)</f>
        <v/>
      </c>
      <c r="CP275" s="152">
        <f>IF(AW275&gt;CN$6,NA(),CN275)</f>
        <v/>
      </c>
    </row>
    <row r="276">
      <c r="B276" s="152" t="n">
        <v>265</v>
      </c>
      <c r="C276" s="152">
        <f>IF(F275&lt;=0.005,0,F275*(1+C$6))</f>
        <v/>
      </c>
      <c r="D276" s="152">
        <f>MIN(C276,C$7)</f>
        <v/>
      </c>
      <c r="E276" s="152">
        <f>MAX(0,MIN(C276-D276,AQ276))</f>
        <v/>
      </c>
      <c r="F276" s="152">
        <f>C276-D276-E276</f>
        <v/>
      </c>
      <c r="G276" s="152">
        <f>IF(J275&lt;=0.005,0,J275*(1+G$6))</f>
        <v/>
      </c>
      <c r="H276" s="152">
        <f>MIN(G276,G$7)</f>
        <v/>
      </c>
      <c r="I276" s="152">
        <f>MAX(0,MIN(G276-H276,AQ276-(E276)))</f>
        <v/>
      </c>
      <c r="J276" s="152">
        <f>G276-H276-I276</f>
        <v/>
      </c>
      <c r="K276" s="152">
        <f>IF(N275&lt;=0.005,0,N275*(1+K$6))</f>
        <v/>
      </c>
      <c r="L276" s="152">
        <f>MIN(K276,K$7)</f>
        <v/>
      </c>
      <c r="M276" s="152">
        <f>MAX(0,MIN(K276-L276,AQ276-(E276+I276)))</f>
        <v/>
      </c>
      <c r="N276" s="152">
        <f>K276-L276-M276</f>
        <v/>
      </c>
      <c r="O276" s="152">
        <f>IF(R275&lt;=0.005,0,R275*(1+O$6))</f>
        <v/>
      </c>
      <c r="P276" s="152">
        <f>MIN(O276,O$7)</f>
        <v/>
      </c>
      <c r="Q276" s="152">
        <f>MAX(0,MIN(O276-P276,AQ276-(E276+I276+M276)))</f>
        <v/>
      </c>
      <c r="R276" s="152">
        <f>O276-P276-Q276</f>
        <v/>
      </c>
      <c r="S276" s="152">
        <f>IF(V275&lt;=0.005,0,V275*(1+S$6))</f>
        <v/>
      </c>
      <c r="T276" s="152">
        <f>MIN(S276,S$7)</f>
        <v/>
      </c>
      <c r="U276" s="152">
        <f>MAX(0,MIN(S276-T276,AQ276-(E276+I276+M276+Q276)))</f>
        <v/>
      </c>
      <c r="V276" s="152">
        <f>S276-T276-U276</f>
        <v/>
      </c>
      <c r="W276" s="152">
        <f>IF(Z275&lt;=0.005,0,Z275*(1+W$6))</f>
        <v/>
      </c>
      <c r="X276" s="152">
        <f>MIN(W276,W$7)</f>
        <v/>
      </c>
      <c r="Y276" s="152">
        <f>MAX(0,MIN(W276-X276,AQ276-(E276+I276+M276+Q276+U276)))</f>
        <v/>
      </c>
      <c r="Z276" s="152">
        <f>W276-X276-Y276</f>
        <v/>
      </c>
      <c r="AA276" s="152">
        <f>IF(AD275&lt;=0.005,0,AD275*(1+AA$6))</f>
        <v/>
      </c>
      <c r="AB276" s="152">
        <f>MIN(AA276,AA$7)</f>
        <v/>
      </c>
      <c r="AC276" s="152">
        <f>MAX(0,MIN(AA276-AB276,AQ276-(E276+I276+M276+Q276+U276+Y276)))</f>
        <v/>
      </c>
      <c r="AD276" s="152">
        <f>AA276-AB276-AC276</f>
        <v/>
      </c>
      <c r="AE276" s="152">
        <f>IF(AH275&lt;=0.005,0,AH275*(1+AE$6))</f>
        <v/>
      </c>
      <c r="AF276" s="152">
        <f>MIN(AE276,AE$7)</f>
        <v/>
      </c>
      <c r="AG276" s="152">
        <f>MAX(0,MIN(AE276-AF276,AQ276-(E276+I276+M276+Q276+U276+Y276+AC276)))</f>
        <v/>
      </c>
      <c r="AH276" s="152">
        <f>AE276-AF276-AG276</f>
        <v/>
      </c>
      <c r="AI276" s="152">
        <f>IF(AL275&lt;=0.005,0,AL275*(1+AI$6))</f>
        <v/>
      </c>
      <c r="AJ276" s="152">
        <f>MIN(AI276,AI$7)</f>
        <v/>
      </c>
      <c r="AK276" s="152">
        <f>MAX(0,MIN(AI276-AJ276,AQ276-(E276+I276+M276+Q276+U276+Y276+AC276+AG276)))</f>
        <v/>
      </c>
      <c r="AL276" s="152">
        <f>AI276-AJ276-AK276</f>
        <v/>
      </c>
      <c r="AM276" s="152">
        <f>IF(AP275&lt;=0.005,0,AP275*(1+AM$6))</f>
        <v/>
      </c>
      <c r="AN276" s="152">
        <f>MIN(AM276,AM$7)</f>
        <v/>
      </c>
      <c r="AO276" s="152">
        <f>MAX(0,MIN(AM276-AN276,AQ276-(E276+I276+M276+Q276+U276+Y276+AC276+AG276+AK276)))</f>
        <v/>
      </c>
      <c r="AP276" s="152">
        <f>AM276-AN276-AO276</f>
        <v/>
      </c>
      <c r="AQ276" s="152">
        <f>'Debt Payoff'!$C$8-SUM(D276,H276,L276,P276,T276,X276,AB276,AF276,AJ276,AN276)</f>
        <v/>
      </c>
      <c r="AR276" s="152">
        <f>SUM(D276,H276,L276,P276,T276,X276,AB276,AF276,AJ276,AN276)+SUM(E276,I276,M276,Q276,U276,Y276,AC276,AG276,AK276,AO276)</f>
        <v/>
      </c>
      <c r="AS276" s="152">
        <f>SUM(F276,J276,N276,R276,V276,Z276,AD276,AH276,AL276,AP276)</f>
        <v/>
      </c>
      <c r="AT276" s="152">
        <f>IF(B276&gt;AS$6,NA(),B276)</f>
        <v/>
      </c>
      <c r="AU276" s="152">
        <f>IF(B276&gt;AS$6,NA(),AS276)</f>
        <v/>
      </c>
      <c r="AV276" s="152" t="n"/>
      <c r="AW276" s="152" t="n">
        <v>265</v>
      </c>
      <c r="AX276" s="152">
        <f>IF(BA275&lt;=0.005,0,BA275*(1+AX$6))</f>
        <v/>
      </c>
      <c r="AY276" s="152">
        <f>MIN(AX276,AX$7)</f>
        <v/>
      </c>
      <c r="AZ276" s="152">
        <f>MAX(0,MIN(AX276-AY276,CL276))</f>
        <v/>
      </c>
      <c r="BA276" s="152">
        <f>AX276-AY276-AZ276</f>
        <v/>
      </c>
      <c r="BB276" s="152">
        <f>IF(BE275&lt;=0.005,0,BE275*(1+BB$6))</f>
        <v/>
      </c>
      <c r="BC276" s="152">
        <f>MIN(BB276,BB$7)</f>
        <v/>
      </c>
      <c r="BD276" s="152">
        <f>MAX(0,MIN(BB276-BC276,CL276-(AZ276)))</f>
        <v/>
      </c>
      <c r="BE276" s="152">
        <f>BB276-BC276-BD276</f>
        <v/>
      </c>
      <c r="BF276" s="152">
        <f>IF(BI275&lt;=0.005,0,BI275*(1+BF$6))</f>
        <v/>
      </c>
      <c r="BG276" s="152">
        <f>MIN(BF276,BF$7)</f>
        <v/>
      </c>
      <c r="BH276" s="152">
        <f>MAX(0,MIN(BF276-BG276,CL276-(AZ276+BD276)))</f>
        <v/>
      </c>
      <c r="BI276" s="152">
        <f>BF276-BG276-BH276</f>
        <v/>
      </c>
      <c r="BJ276" s="152">
        <f>IF(BM275&lt;=0.005,0,BM275*(1+BJ$6))</f>
        <v/>
      </c>
      <c r="BK276" s="152">
        <f>MIN(BJ276,BJ$7)</f>
        <v/>
      </c>
      <c r="BL276" s="152">
        <f>MAX(0,MIN(BJ276-BK276,CL276-(AZ276+BD276+BH276)))</f>
        <v/>
      </c>
      <c r="BM276" s="152">
        <f>BJ276-BK276-BL276</f>
        <v/>
      </c>
      <c r="BN276" s="152">
        <f>IF(BQ275&lt;=0.005,0,BQ275*(1+BN$6))</f>
        <v/>
      </c>
      <c r="BO276" s="152">
        <f>MIN(BN276,BN$7)</f>
        <v/>
      </c>
      <c r="BP276" s="152">
        <f>MAX(0,MIN(BN276-BO276,CL276-(AZ276+BD276+BH276+BL276)))</f>
        <v/>
      </c>
      <c r="BQ276" s="152">
        <f>BN276-BO276-BP276</f>
        <v/>
      </c>
      <c r="BR276" s="152">
        <f>IF(BU275&lt;=0.005,0,BU275*(1+BR$6))</f>
        <v/>
      </c>
      <c r="BS276" s="152">
        <f>MIN(BR276,BR$7)</f>
        <v/>
      </c>
      <c r="BT276" s="152">
        <f>MAX(0,MIN(BR276-BS276,CL276-(AZ276+BD276+BH276+BL276+BP276)))</f>
        <v/>
      </c>
      <c r="BU276" s="152">
        <f>BR276-BS276-BT276</f>
        <v/>
      </c>
      <c r="BV276" s="152">
        <f>IF(BY275&lt;=0.005,0,BY275*(1+BV$6))</f>
        <v/>
      </c>
      <c r="BW276" s="152">
        <f>MIN(BV276,BV$7)</f>
        <v/>
      </c>
      <c r="BX276" s="152">
        <f>MAX(0,MIN(BV276-BW276,CL276-(AZ276+BD276+BH276+BL276+BP276+BT276)))</f>
        <v/>
      </c>
      <c r="BY276" s="152">
        <f>BV276-BW276-BX276</f>
        <v/>
      </c>
      <c r="BZ276" s="152">
        <f>IF(CC275&lt;=0.005,0,CC275*(1+BZ$6))</f>
        <v/>
      </c>
      <c r="CA276" s="152">
        <f>MIN(BZ276,BZ$7)</f>
        <v/>
      </c>
      <c r="CB276" s="152">
        <f>MAX(0,MIN(BZ276-CA276,CL276-(AZ276+BD276+BH276+BL276+BP276+BT276+BX276)))</f>
        <v/>
      </c>
      <c r="CC276" s="152">
        <f>BZ276-CA276-CB276</f>
        <v/>
      </c>
      <c r="CD276" s="152">
        <f>IF(CG275&lt;=0.005,0,CG275*(1+CD$6))</f>
        <v/>
      </c>
      <c r="CE276" s="152">
        <f>MIN(CD276,CD$7)</f>
        <v/>
      </c>
      <c r="CF276" s="152">
        <f>MAX(0,MIN(CD276-CE276,CL276-(AZ276+BD276+BH276+BL276+BP276+BT276+BX276+CB276)))</f>
        <v/>
      </c>
      <c r="CG276" s="152">
        <f>CD276-CE276-CF276</f>
        <v/>
      </c>
      <c r="CH276" s="152">
        <f>IF(CK275&lt;=0.005,0,CK275*(1+CH$6))</f>
        <v/>
      </c>
      <c r="CI276" s="152">
        <f>MIN(CH276,CH$7)</f>
        <v/>
      </c>
      <c r="CJ276" s="152">
        <f>MAX(0,MIN(CH276-CI276,CL276-(AZ276+BD276+BH276+BL276+BP276+BT276+BX276+CB276+CF276)))</f>
        <v/>
      </c>
      <c r="CK276" s="152">
        <f>CH276-CI276-CJ276</f>
        <v/>
      </c>
      <c r="CL276" s="152">
        <f>'Debt Payoff'!$C$8-SUM(AY276,BC276,BG276,BK276,BO276,BS276,BW276,CA276,CE276,CI276)</f>
        <v/>
      </c>
      <c r="CM276" s="152">
        <f>SUM(AY276,BC276,BG276,BK276,BO276,BS276,BW276,CA276,CE276,CI276)+SUM(AZ276,BD276,BH276,BL276,BP276,BT276,BX276,CB276,CF276,CJ276)</f>
        <v/>
      </c>
      <c r="CN276" s="152">
        <f>SUM(BA276,BE276,BI276,BM276,BQ276,BU276,BY276,CC276,CG276,CK276)</f>
        <v/>
      </c>
      <c r="CO276" s="152">
        <f>IF(AW276&gt;CN$6,NA(),AW276)</f>
        <v/>
      </c>
      <c r="CP276" s="152">
        <f>IF(AW276&gt;CN$6,NA(),CN276)</f>
        <v/>
      </c>
    </row>
    <row r="277">
      <c r="B277" s="152" t="n">
        <v>266</v>
      </c>
      <c r="C277" s="152">
        <f>IF(F276&lt;=0.005,0,F276*(1+C$6))</f>
        <v/>
      </c>
      <c r="D277" s="152">
        <f>MIN(C277,C$7)</f>
        <v/>
      </c>
      <c r="E277" s="152">
        <f>MAX(0,MIN(C277-D277,AQ277))</f>
        <v/>
      </c>
      <c r="F277" s="152">
        <f>C277-D277-E277</f>
        <v/>
      </c>
      <c r="G277" s="152">
        <f>IF(J276&lt;=0.005,0,J276*(1+G$6))</f>
        <v/>
      </c>
      <c r="H277" s="152">
        <f>MIN(G277,G$7)</f>
        <v/>
      </c>
      <c r="I277" s="152">
        <f>MAX(0,MIN(G277-H277,AQ277-(E277)))</f>
        <v/>
      </c>
      <c r="J277" s="152">
        <f>G277-H277-I277</f>
        <v/>
      </c>
      <c r="K277" s="152">
        <f>IF(N276&lt;=0.005,0,N276*(1+K$6))</f>
        <v/>
      </c>
      <c r="L277" s="152">
        <f>MIN(K277,K$7)</f>
        <v/>
      </c>
      <c r="M277" s="152">
        <f>MAX(0,MIN(K277-L277,AQ277-(E277+I277)))</f>
        <v/>
      </c>
      <c r="N277" s="152">
        <f>K277-L277-M277</f>
        <v/>
      </c>
      <c r="O277" s="152">
        <f>IF(R276&lt;=0.005,0,R276*(1+O$6))</f>
        <v/>
      </c>
      <c r="P277" s="152">
        <f>MIN(O277,O$7)</f>
        <v/>
      </c>
      <c r="Q277" s="152">
        <f>MAX(0,MIN(O277-P277,AQ277-(E277+I277+M277)))</f>
        <v/>
      </c>
      <c r="R277" s="152">
        <f>O277-P277-Q277</f>
        <v/>
      </c>
      <c r="S277" s="152">
        <f>IF(V276&lt;=0.005,0,V276*(1+S$6))</f>
        <v/>
      </c>
      <c r="T277" s="152">
        <f>MIN(S277,S$7)</f>
        <v/>
      </c>
      <c r="U277" s="152">
        <f>MAX(0,MIN(S277-T277,AQ277-(E277+I277+M277+Q277)))</f>
        <v/>
      </c>
      <c r="V277" s="152">
        <f>S277-T277-U277</f>
        <v/>
      </c>
      <c r="W277" s="152">
        <f>IF(Z276&lt;=0.005,0,Z276*(1+W$6))</f>
        <v/>
      </c>
      <c r="X277" s="152">
        <f>MIN(W277,W$7)</f>
        <v/>
      </c>
      <c r="Y277" s="152">
        <f>MAX(0,MIN(W277-X277,AQ277-(E277+I277+M277+Q277+U277)))</f>
        <v/>
      </c>
      <c r="Z277" s="152">
        <f>W277-X277-Y277</f>
        <v/>
      </c>
      <c r="AA277" s="152">
        <f>IF(AD276&lt;=0.005,0,AD276*(1+AA$6))</f>
        <v/>
      </c>
      <c r="AB277" s="152">
        <f>MIN(AA277,AA$7)</f>
        <v/>
      </c>
      <c r="AC277" s="152">
        <f>MAX(0,MIN(AA277-AB277,AQ277-(E277+I277+M277+Q277+U277+Y277)))</f>
        <v/>
      </c>
      <c r="AD277" s="152">
        <f>AA277-AB277-AC277</f>
        <v/>
      </c>
      <c r="AE277" s="152">
        <f>IF(AH276&lt;=0.005,0,AH276*(1+AE$6))</f>
        <v/>
      </c>
      <c r="AF277" s="152">
        <f>MIN(AE277,AE$7)</f>
        <v/>
      </c>
      <c r="AG277" s="152">
        <f>MAX(0,MIN(AE277-AF277,AQ277-(E277+I277+M277+Q277+U277+Y277+AC277)))</f>
        <v/>
      </c>
      <c r="AH277" s="152">
        <f>AE277-AF277-AG277</f>
        <v/>
      </c>
      <c r="AI277" s="152">
        <f>IF(AL276&lt;=0.005,0,AL276*(1+AI$6))</f>
        <v/>
      </c>
      <c r="AJ277" s="152">
        <f>MIN(AI277,AI$7)</f>
        <v/>
      </c>
      <c r="AK277" s="152">
        <f>MAX(0,MIN(AI277-AJ277,AQ277-(E277+I277+M277+Q277+U277+Y277+AC277+AG277)))</f>
        <v/>
      </c>
      <c r="AL277" s="152">
        <f>AI277-AJ277-AK277</f>
        <v/>
      </c>
      <c r="AM277" s="152">
        <f>IF(AP276&lt;=0.005,0,AP276*(1+AM$6))</f>
        <v/>
      </c>
      <c r="AN277" s="152">
        <f>MIN(AM277,AM$7)</f>
        <v/>
      </c>
      <c r="AO277" s="152">
        <f>MAX(0,MIN(AM277-AN277,AQ277-(E277+I277+M277+Q277+U277+Y277+AC277+AG277+AK277)))</f>
        <v/>
      </c>
      <c r="AP277" s="152">
        <f>AM277-AN277-AO277</f>
        <v/>
      </c>
      <c r="AQ277" s="152">
        <f>'Debt Payoff'!$C$8-SUM(D277,H277,L277,P277,T277,X277,AB277,AF277,AJ277,AN277)</f>
        <v/>
      </c>
      <c r="AR277" s="152">
        <f>SUM(D277,H277,L277,P277,T277,X277,AB277,AF277,AJ277,AN277)+SUM(E277,I277,M277,Q277,U277,Y277,AC277,AG277,AK277,AO277)</f>
        <v/>
      </c>
      <c r="AS277" s="152">
        <f>SUM(F277,J277,N277,R277,V277,Z277,AD277,AH277,AL277,AP277)</f>
        <v/>
      </c>
      <c r="AT277" s="152">
        <f>IF(B277&gt;AS$6,NA(),B277)</f>
        <v/>
      </c>
      <c r="AU277" s="152">
        <f>IF(B277&gt;AS$6,NA(),AS277)</f>
        <v/>
      </c>
      <c r="AV277" s="152" t="n"/>
      <c r="AW277" s="152" t="n">
        <v>266</v>
      </c>
      <c r="AX277" s="152">
        <f>IF(BA276&lt;=0.005,0,BA276*(1+AX$6))</f>
        <v/>
      </c>
      <c r="AY277" s="152">
        <f>MIN(AX277,AX$7)</f>
        <v/>
      </c>
      <c r="AZ277" s="152">
        <f>MAX(0,MIN(AX277-AY277,CL277))</f>
        <v/>
      </c>
      <c r="BA277" s="152">
        <f>AX277-AY277-AZ277</f>
        <v/>
      </c>
      <c r="BB277" s="152">
        <f>IF(BE276&lt;=0.005,0,BE276*(1+BB$6))</f>
        <v/>
      </c>
      <c r="BC277" s="152">
        <f>MIN(BB277,BB$7)</f>
        <v/>
      </c>
      <c r="BD277" s="152">
        <f>MAX(0,MIN(BB277-BC277,CL277-(AZ277)))</f>
        <v/>
      </c>
      <c r="BE277" s="152">
        <f>BB277-BC277-BD277</f>
        <v/>
      </c>
      <c r="BF277" s="152">
        <f>IF(BI276&lt;=0.005,0,BI276*(1+BF$6))</f>
        <v/>
      </c>
      <c r="BG277" s="152">
        <f>MIN(BF277,BF$7)</f>
        <v/>
      </c>
      <c r="BH277" s="152">
        <f>MAX(0,MIN(BF277-BG277,CL277-(AZ277+BD277)))</f>
        <v/>
      </c>
      <c r="BI277" s="152">
        <f>BF277-BG277-BH277</f>
        <v/>
      </c>
      <c r="BJ277" s="152">
        <f>IF(BM276&lt;=0.005,0,BM276*(1+BJ$6))</f>
        <v/>
      </c>
      <c r="BK277" s="152">
        <f>MIN(BJ277,BJ$7)</f>
        <v/>
      </c>
      <c r="BL277" s="152">
        <f>MAX(0,MIN(BJ277-BK277,CL277-(AZ277+BD277+BH277)))</f>
        <v/>
      </c>
      <c r="BM277" s="152">
        <f>BJ277-BK277-BL277</f>
        <v/>
      </c>
      <c r="BN277" s="152">
        <f>IF(BQ276&lt;=0.005,0,BQ276*(1+BN$6))</f>
        <v/>
      </c>
      <c r="BO277" s="152">
        <f>MIN(BN277,BN$7)</f>
        <v/>
      </c>
      <c r="BP277" s="152">
        <f>MAX(0,MIN(BN277-BO277,CL277-(AZ277+BD277+BH277+BL277)))</f>
        <v/>
      </c>
      <c r="BQ277" s="152">
        <f>BN277-BO277-BP277</f>
        <v/>
      </c>
      <c r="BR277" s="152">
        <f>IF(BU276&lt;=0.005,0,BU276*(1+BR$6))</f>
        <v/>
      </c>
      <c r="BS277" s="152">
        <f>MIN(BR277,BR$7)</f>
        <v/>
      </c>
      <c r="BT277" s="152">
        <f>MAX(0,MIN(BR277-BS277,CL277-(AZ277+BD277+BH277+BL277+BP277)))</f>
        <v/>
      </c>
      <c r="BU277" s="152">
        <f>BR277-BS277-BT277</f>
        <v/>
      </c>
      <c r="BV277" s="152">
        <f>IF(BY276&lt;=0.005,0,BY276*(1+BV$6))</f>
        <v/>
      </c>
      <c r="BW277" s="152">
        <f>MIN(BV277,BV$7)</f>
        <v/>
      </c>
      <c r="BX277" s="152">
        <f>MAX(0,MIN(BV277-BW277,CL277-(AZ277+BD277+BH277+BL277+BP277+BT277)))</f>
        <v/>
      </c>
      <c r="BY277" s="152">
        <f>BV277-BW277-BX277</f>
        <v/>
      </c>
      <c r="BZ277" s="152">
        <f>IF(CC276&lt;=0.005,0,CC276*(1+BZ$6))</f>
        <v/>
      </c>
      <c r="CA277" s="152">
        <f>MIN(BZ277,BZ$7)</f>
        <v/>
      </c>
      <c r="CB277" s="152">
        <f>MAX(0,MIN(BZ277-CA277,CL277-(AZ277+BD277+BH277+BL277+BP277+BT277+BX277)))</f>
        <v/>
      </c>
      <c r="CC277" s="152">
        <f>BZ277-CA277-CB277</f>
        <v/>
      </c>
      <c r="CD277" s="152">
        <f>IF(CG276&lt;=0.005,0,CG276*(1+CD$6))</f>
        <v/>
      </c>
      <c r="CE277" s="152">
        <f>MIN(CD277,CD$7)</f>
        <v/>
      </c>
      <c r="CF277" s="152">
        <f>MAX(0,MIN(CD277-CE277,CL277-(AZ277+BD277+BH277+BL277+BP277+BT277+BX277+CB277)))</f>
        <v/>
      </c>
      <c r="CG277" s="152">
        <f>CD277-CE277-CF277</f>
        <v/>
      </c>
      <c r="CH277" s="152">
        <f>IF(CK276&lt;=0.005,0,CK276*(1+CH$6))</f>
        <v/>
      </c>
      <c r="CI277" s="152">
        <f>MIN(CH277,CH$7)</f>
        <v/>
      </c>
      <c r="CJ277" s="152">
        <f>MAX(0,MIN(CH277-CI277,CL277-(AZ277+BD277+BH277+BL277+BP277+BT277+BX277+CB277+CF277)))</f>
        <v/>
      </c>
      <c r="CK277" s="152">
        <f>CH277-CI277-CJ277</f>
        <v/>
      </c>
      <c r="CL277" s="152">
        <f>'Debt Payoff'!$C$8-SUM(AY277,BC277,BG277,BK277,BO277,BS277,BW277,CA277,CE277,CI277)</f>
        <v/>
      </c>
      <c r="CM277" s="152">
        <f>SUM(AY277,BC277,BG277,BK277,BO277,BS277,BW277,CA277,CE277,CI277)+SUM(AZ277,BD277,BH277,BL277,BP277,BT277,BX277,CB277,CF277,CJ277)</f>
        <v/>
      </c>
      <c r="CN277" s="152">
        <f>SUM(BA277,BE277,BI277,BM277,BQ277,BU277,BY277,CC277,CG277,CK277)</f>
        <v/>
      </c>
      <c r="CO277" s="152">
        <f>IF(AW277&gt;CN$6,NA(),AW277)</f>
        <v/>
      </c>
      <c r="CP277" s="152">
        <f>IF(AW277&gt;CN$6,NA(),CN277)</f>
        <v/>
      </c>
    </row>
    <row r="278">
      <c r="B278" s="152" t="n">
        <v>267</v>
      </c>
      <c r="C278" s="152">
        <f>IF(F277&lt;=0.005,0,F277*(1+C$6))</f>
        <v/>
      </c>
      <c r="D278" s="152">
        <f>MIN(C278,C$7)</f>
        <v/>
      </c>
      <c r="E278" s="152">
        <f>MAX(0,MIN(C278-D278,AQ278))</f>
        <v/>
      </c>
      <c r="F278" s="152">
        <f>C278-D278-E278</f>
        <v/>
      </c>
      <c r="G278" s="152">
        <f>IF(J277&lt;=0.005,0,J277*(1+G$6))</f>
        <v/>
      </c>
      <c r="H278" s="152">
        <f>MIN(G278,G$7)</f>
        <v/>
      </c>
      <c r="I278" s="152">
        <f>MAX(0,MIN(G278-H278,AQ278-(E278)))</f>
        <v/>
      </c>
      <c r="J278" s="152">
        <f>G278-H278-I278</f>
        <v/>
      </c>
      <c r="K278" s="152">
        <f>IF(N277&lt;=0.005,0,N277*(1+K$6))</f>
        <v/>
      </c>
      <c r="L278" s="152">
        <f>MIN(K278,K$7)</f>
        <v/>
      </c>
      <c r="M278" s="152">
        <f>MAX(0,MIN(K278-L278,AQ278-(E278+I278)))</f>
        <v/>
      </c>
      <c r="N278" s="152">
        <f>K278-L278-M278</f>
        <v/>
      </c>
      <c r="O278" s="152">
        <f>IF(R277&lt;=0.005,0,R277*(1+O$6))</f>
        <v/>
      </c>
      <c r="P278" s="152">
        <f>MIN(O278,O$7)</f>
        <v/>
      </c>
      <c r="Q278" s="152">
        <f>MAX(0,MIN(O278-P278,AQ278-(E278+I278+M278)))</f>
        <v/>
      </c>
      <c r="R278" s="152">
        <f>O278-P278-Q278</f>
        <v/>
      </c>
      <c r="S278" s="152">
        <f>IF(V277&lt;=0.005,0,V277*(1+S$6))</f>
        <v/>
      </c>
      <c r="T278" s="152">
        <f>MIN(S278,S$7)</f>
        <v/>
      </c>
      <c r="U278" s="152">
        <f>MAX(0,MIN(S278-T278,AQ278-(E278+I278+M278+Q278)))</f>
        <v/>
      </c>
      <c r="V278" s="152">
        <f>S278-T278-U278</f>
        <v/>
      </c>
      <c r="W278" s="152">
        <f>IF(Z277&lt;=0.005,0,Z277*(1+W$6))</f>
        <v/>
      </c>
      <c r="X278" s="152">
        <f>MIN(W278,W$7)</f>
        <v/>
      </c>
      <c r="Y278" s="152">
        <f>MAX(0,MIN(W278-X278,AQ278-(E278+I278+M278+Q278+U278)))</f>
        <v/>
      </c>
      <c r="Z278" s="152">
        <f>W278-X278-Y278</f>
        <v/>
      </c>
      <c r="AA278" s="152">
        <f>IF(AD277&lt;=0.005,0,AD277*(1+AA$6))</f>
        <v/>
      </c>
      <c r="AB278" s="152">
        <f>MIN(AA278,AA$7)</f>
        <v/>
      </c>
      <c r="AC278" s="152">
        <f>MAX(0,MIN(AA278-AB278,AQ278-(E278+I278+M278+Q278+U278+Y278)))</f>
        <v/>
      </c>
      <c r="AD278" s="152">
        <f>AA278-AB278-AC278</f>
        <v/>
      </c>
      <c r="AE278" s="152">
        <f>IF(AH277&lt;=0.005,0,AH277*(1+AE$6))</f>
        <v/>
      </c>
      <c r="AF278" s="152">
        <f>MIN(AE278,AE$7)</f>
        <v/>
      </c>
      <c r="AG278" s="152">
        <f>MAX(0,MIN(AE278-AF278,AQ278-(E278+I278+M278+Q278+U278+Y278+AC278)))</f>
        <v/>
      </c>
      <c r="AH278" s="152">
        <f>AE278-AF278-AG278</f>
        <v/>
      </c>
      <c r="AI278" s="152">
        <f>IF(AL277&lt;=0.005,0,AL277*(1+AI$6))</f>
        <v/>
      </c>
      <c r="AJ278" s="152">
        <f>MIN(AI278,AI$7)</f>
        <v/>
      </c>
      <c r="AK278" s="152">
        <f>MAX(0,MIN(AI278-AJ278,AQ278-(E278+I278+M278+Q278+U278+Y278+AC278+AG278)))</f>
        <v/>
      </c>
      <c r="AL278" s="152">
        <f>AI278-AJ278-AK278</f>
        <v/>
      </c>
      <c r="AM278" s="152">
        <f>IF(AP277&lt;=0.005,0,AP277*(1+AM$6))</f>
        <v/>
      </c>
      <c r="AN278" s="152">
        <f>MIN(AM278,AM$7)</f>
        <v/>
      </c>
      <c r="AO278" s="152">
        <f>MAX(0,MIN(AM278-AN278,AQ278-(E278+I278+M278+Q278+U278+Y278+AC278+AG278+AK278)))</f>
        <v/>
      </c>
      <c r="AP278" s="152">
        <f>AM278-AN278-AO278</f>
        <v/>
      </c>
      <c r="AQ278" s="152">
        <f>'Debt Payoff'!$C$8-SUM(D278,H278,L278,P278,T278,X278,AB278,AF278,AJ278,AN278)</f>
        <v/>
      </c>
      <c r="AR278" s="152">
        <f>SUM(D278,H278,L278,P278,T278,X278,AB278,AF278,AJ278,AN278)+SUM(E278,I278,M278,Q278,U278,Y278,AC278,AG278,AK278,AO278)</f>
        <v/>
      </c>
      <c r="AS278" s="152">
        <f>SUM(F278,J278,N278,R278,V278,Z278,AD278,AH278,AL278,AP278)</f>
        <v/>
      </c>
      <c r="AT278" s="152">
        <f>IF(B278&gt;AS$6,NA(),B278)</f>
        <v/>
      </c>
      <c r="AU278" s="152">
        <f>IF(B278&gt;AS$6,NA(),AS278)</f>
        <v/>
      </c>
      <c r="AV278" s="152" t="n"/>
      <c r="AW278" s="152" t="n">
        <v>267</v>
      </c>
      <c r="AX278" s="152">
        <f>IF(BA277&lt;=0.005,0,BA277*(1+AX$6))</f>
        <v/>
      </c>
      <c r="AY278" s="152">
        <f>MIN(AX278,AX$7)</f>
        <v/>
      </c>
      <c r="AZ278" s="152">
        <f>MAX(0,MIN(AX278-AY278,CL278))</f>
        <v/>
      </c>
      <c r="BA278" s="152">
        <f>AX278-AY278-AZ278</f>
        <v/>
      </c>
      <c r="BB278" s="152">
        <f>IF(BE277&lt;=0.005,0,BE277*(1+BB$6))</f>
        <v/>
      </c>
      <c r="BC278" s="152">
        <f>MIN(BB278,BB$7)</f>
        <v/>
      </c>
      <c r="BD278" s="152">
        <f>MAX(0,MIN(BB278-BC278,CL278-(AZ278)))</f>
        <v/>
      </c>
      <c r="BE278" s="152">
        <f>BB278-BC278-BD278</f>
        <v/>
      </c>
      <c r="BF278" s="152">
        <f>IF(BI277&lt;=0.005,0,BI277*(1+BF$6))</f>
        <v/>
      </c>
      <c r="BG278" s="152">
        <f>MIN(BF278,BF$7)</f>
        <v/>
      </c>
      <c r="BH278" s="152">
        <f>MAX(0,MIN(BF278-BG278,CL278-(AZ278+BD278)))</f>
        <v/>
      </c>
      <c r="BI278" s="152">
        <f>BF278-BG278-BH278</f>
        <v/>
      </c>
      <c r="BJ278" s="152">
        <f>IF(BM277&lt;=0.005,0,BM277*(1+BJ$6))</f>
        <v/>
      </c>
      <c r="BK278" s="152">
        <f>MIN(BJ278,BJ$7)</f>
        <v/>
      </c>
      <c r="BL278" s="152">
        <f>MAX(0,MIN(BJ278-BK278,CL278-(AZ278+BD278+BH278)))</f>
        <v/>
      </c>
      <c r="BM278" s="152">
        <f>BJ278-BK278-BL278</f>
        <v/>
      </c>
      <c r="BN278" s="152">
        <f>IF(BQ277&lt;=0.005,0,BQ277*(1+BN$6))</f>
        <v/>
      </c>
      <c r="BO278" s="152">
        <f>MIN(BN278,BN$7)</f>
        <v/>
      </c>
      <c r="BP278" s="152">
        <f>MAX(0,MIN(BN278-BO278,CL278-(AZ278+BD278+BH278+BL278)))</f>
        <v/>
      </c>
      <c r="BQ278" s="152">
        <f>BN278-BO278-BP278</f>
        <v/>
      </c>
      <c r="BR278" s="152">
        <f>IF(BU277&lt;=0.005,0,BU277*(1+BR$6))</f>
        <v/>
      </c>
      <c r="BS278" s="152">
        <f>MIN(BR278,BR$7)</f>
        <v/>
      </c>
      <c r="BT278" s="152">
        <f>MAX(0,MIN(BR278-BS278,CL278-(AZ278+BD278+BH278+BL278+BP278)))</f>
        <v/>
      </c>
      <c r="BU278" s="152">
        <f>BR278-BS278-BT278</f>
        <v/>
      </c>
      <c r="BV278" s="152">
        <f>IF(BY277&lt;=0.005,0,BY277*(1+BV$6))</f>
        <v/>
      </c>
      <c r="BW278" s="152">
        <f>MIN(BV278,BV$7)</f>
        <v/>
      </c>
      <c r="BX278" s="152">
        <f>MAX(0,MIN(BV278-BW278,CL278-(AZ278+BD278+BH278+BL278+BP278+BT278)))</f>
        <v/>
      </c>
      <c r="BY278" s="152">
        <f>BV278-BW278-BX278</f>
        <v/>
      </c>
      <c r="BZ278" s="152">
        <f>IF(CC277&lt;=0.005,0,CC277*(1+BZ$6))</f>
        <v/>
      </c>
      <c r="CA278" s="152">
        <f>MIN(BZ278,BZ$7)</f>
        <v/>
      </c>
      <c r="CB278" s="152">
        <f>MAX(0,MIN(BZ278-CA278,CL278-(AZ278+BD278+BH278+BL278+BP278+BT278+BX278)))</f>
        <v/>
      </c>
      <c r="CC278" s="152">
        <f>BZ278-CA278-CB278</f>
        <v/>
      </c>
      <c r="CD278" s="152">
        <f>IF(CG277&lt;=0.005,0,CG277*(1+CD$6))</f>
        <v/>
      </c>
      <c r="CE278" s="152">
        <f>MIN(CD278,CD$7)</f>
        <v/>
      </c>
      <c r="CF278" s="152">
        <f>MAX(0,MIN(CD278-CE278,CL278-(AZ278+BD278+BH278+BL278+BP278+BT278+BX278+CB278)))</f>
        <v/>
      </c>
      <c r="CG278" s="152">
        <f>CD278-CE278-CF278</f>
        <v/>
      </c>
      <c r="CH278" s="152">
        <f>IF(CK277&lt;=0.005,0,CK277*(1+CH$6))</f>
        <v/>
      </c>
      <c r="CI278" s="152">
        <f>MIN(CH278,CH$7)</f>
        <v/>
      </c>
      <c r="CJ278" s="152">
        <f>MAX(0,MIN(CH278-CI278,CL278-(AZ278+BD278+BH278+BL278+BP278+BT278+BX278+CB278+CF278)))</f>
        <v/>
      </c>
      <c r="CK278" s="152">
        <f>CH278-CI278-CJ278</f>
        <v/>
      </c>
      <c r="CL278" s="152">
        <f>'Debt Payoff'!$C$8-SUM(AY278,BC278,BG278,BK278,BO278,BS278,BW278,CA278,CE278,CI278)</f>
        <v/>
      </c>
      <c r="CM278" s="152">
        <f>SUM(AY278,BC278,BG278,BK278,BO278,BS278,BW278,CA278,CE278,CI278)+SUM(AZ278,BD278,BH278,BL278,BP278,BT278,BX278,CB278,CF278,CJ278)</f>
        <v/>
      </c>
      <c r="CN278" s="152">
        <f>SUM(BA278,BE278,BI278,BM278,BQ278,BU278,BY278,CC278,CG278,CK278)</f>
        <v/>
      </c>
      <c r="CO278" s="152">
        <f>IF(AW278&gt;CN$6,NA(),AW278)</f>
        <v/>
      </c>
      <c r="CP278" s="152">
        <f>IF(AW278&gt;CN$6,NA(),CN278)</f>
        <v/>
      </c>
    </row>
    <row r="279">
      <c r="B279" s="152" t="n">
        <v>268</v>
      </c>
      <c r="C279" s="152">
        <f>IF(F278&lt;=0.005,0,F278*(1+C$6))</f>
        <v/>
      </c>
      <c r="D279" s="152">
        <f>MIN(C279,C$7)</f>
        <v/>
      </c>
      <c r="E279" s="152">
        <f>MAX(0,MIN(C279-D279,AQ279))</f>
        <v/>
      </c>
      <c r="F279" s="152">
        <f>C279-D279-E279</f>
        <v/>
      </c>
      <c r="G279" s="152">
        <f>IF(J278&lt;=0.005,0,J278*(1+G$6))</f>
        <v/>
      </c>
      <c r="H279" s="152">
        <f>MIN(G279,G$7)</f>
        <v/>
      </c>
      <c r="I279" s="152">
        <f>MAX(0,MIN(G279-H279,AQ279-(E279)))</f>
        <v/>
      </c>
      <c r="J279" s="152">
        <f>G279-H279-I279</f>
        <v/>
      </c>
      <c r="K279" s="152">
        <f>IF(N278&lt;=0.005,0,N278*(1+K$6))</f>
        <v/>
      </c>
      <c r="L279" s="152">
        <f>MIN(K279,K$7)</f>
        <v/>
      </c>
      <c r="M279" s="152">
        <f>MAX(0,MIN(K279-L279,AQ279-(E279+I279)))</f>
        <v/>
      </c>
      <c r="N279" s="152">
        <f>K279-L279-M279</f>
        <v/>
      </c>
      <c r="O279" s="152">
        <f>IF(R278&lt;=0.005,0,R278*(1+O$6))</f>
        <v/>
      </c>
      <c r="P279" s="152">
        <f>MIN(O279,O$7)</f>
        <v/>
      </c>
      <c r="Q279" s="152">
        <f>MAX(0,MIN(O279-P279,AQ279-(E279+I279+M279)))</f>
        <v/>
      </c>
      <c r="R279" s="152">
        <f>O279-P279-Q279</f>
        <v/>
      </c>
      <c r="S279" s="152">
        <f>IF(V278&lt;=0.005,0,V278*(1+S$6))</f>
        <v/>
      </c>
      <c r="T279" s="152">
        <f>MIN(S279,S$7)</f>
        <v/>
      </c>
      <c r="U279" s="152">
        <f>MAX(0,MIN(S279-T279,AQ279-(E279+I279+M279+Q279)))</f>
        <v/>
      </c>
      <c r="V279" s="152">
        <f>S279-T279-U279</f>
        <v/>
      </c>
      <c r="W279" s="152">
        <f>IF(Z278&lt;=0.005,0,Z278*(1+W$6))</f>
        <v/>
      </c>
      <c r="X279" s="152">
        <f>MIN(W279,W$7)</f>
        <v/>
      </c>
      <c r="Y279" s="152">
        <f>MAX(0,MIN(W279-X279,AQ279-(E279+I279+M279+Q279+U279)))</f>
        <v/>
      </c>
      <c r="Z279" s="152">
        <f>W279-X279-Y279</f>
        <v/>
      </c>
      <c r="AA279" s="152">
        <f>IF(AD278&lt;=0.005,0,AD278*(1+AA$6))</f>
        <v/>
      </c>
      <c r="AB279" s="152">
        <f>MIN(AA279,AA$7)</f>
        <v/>
      </c>
      <c r="AC279" s="152">
        <f>MAX(0,MIN(AA279-AB279,AQ279-(E279+I279+M279+Q279+U279+Y279)))</f>
        <v/>
      </c>
      <c r="AD279" s="152">
        <f>AA279-AB279-AC279</f>
        <v/>
      </c>
      <c r="AE279" s="152">
        <f>IF(AH278&lt;=0.005,0,AH278*(1+AE$6))</f>
        <v/>
      </c>
      <c r="AF279" s="152">
        <f>MIN(AE279,AE$7)</f>
        <v/>
      </c>
      <c r="AG279" s="152">
        <f>MAX(0,MIN(AE279-AF279,AQ279-(E279+I279+M279+Q279+U279+Y279+AC279)))</f>
        <v/>
      </c>
      <c r="AH279" s="152">
        <f>AE279-AF279-AG279</f>
        <v/>
      </c>
      <c r="AI279" s="152">
        <f>IF(AL278&lt;=0.005,0,AL278*(1+AI$6))</f>
        <v/>
      </c>
      <c r="AJ279" s="152">
        <f>MIN(AI279,AI$7)</f>
        <v/>
      </c>
      <c r="AK279" s="152">
        <f>MAX(0,MIN(AI279-AJ279,AQ279-(E279+I279+M279+Q279+U279+Y279+AC279+AG279)))</f>
        <v/>
      </c>
      <c r="AL279" s="152">
        <f>AI279-AJ279-AK279</f>
        <v/>
      </c>
      <c r="AM279" s="152">
        <f>IF(AP278&lt;=0.005,0,AP278*(1+AM$6))</f>
        <v/>
      </c>
      <c r="AN279" s="152">
        <f>MIN(AM279,AM$7)</f>
        <v/>
      </c>
      <c r="AO279" s="152">
        <f>MAX(0,MIN(AM279-AN279,AQ279-(E279+I279+M279+Q279+U279+Y279+AC279+AG279+AK279)))</f>
        <v/>
      </c>
      <c r="AP279" s="152">
        <f>AM279-AN279-AO279</f>
        <v/>
      </c>
      <c r="AQ279" s="152">
        <f>'Debt Payoff'!$C$8-SUM(D279,H279,L279,P279,T279,X279,AB279,AF279,AJ279,AN279)</f>
        <v/>
      </c>
      <c r="AR279" s="152">
        <f>SUM(D279,H279,L279,P279,T279,X279,AB279,AF279,AJ279,AN279)+SUM(E279,I279,M279,Q279,U279,Y279,AC279,AG279,AK279,AO279)</f>
        <v/>
      </c>
      <c r="AS279" s="152">
        <f>SUM(F279,J279,N279,R279,V279,Z279,AD279,AH279,AL279,AP279)</f>
        <v/>
      </c>
      <c r="AT279" s="152">
        <f>IF(B279&gt;AS$6,NA(),B279)</f>
        <v/>
      </c>
      <c r="AU279" s="152">
        <f>IF(B279&gt;AS$6,NA(),AS279)</f>
        <v/>
      </c>
      <c r="AV279" s="152" t="n"/>
      <c r="AW279" s="152" t="n">
        <v>268</v>
      </c>
      <c r="AX279" s="152">
        <f>IF(BA278&lt;=0.005,0,BA278*(1+AX$6))</f>
        <v/>
      </c>
      <c r="AY279" s="152">
        <f>MIN(AX279,AX$7)</f>
        <v/>
      </c>
      <c r="AZ279" s="152">
        <f>MAX(0,MIN(AX279-AY279,CL279))</f>
        <v/>
      </c>
      <c r="BA279" s="152">
        <f>AX279-AY279-AZ279</f>
        <v/>
      </c>
      <c r="BB279" s="152">
        <f>IF(BE278&lt;=0.005,0,BE278*(1+BB$6))</f>
        <v/>
      </c>
      <c r="BC279" s="152">
        <f>MIN(BB279,BB$7)</f>
        <v/>
      </c>
      <c r="BD279" s="152">
        <f>MAX(0,MIN(BB279-BC279,CL279-(AZ279)))</f>
        <v/>
      </c>
      <c r="BE279" s="152">
        <f>BB279-BC279-BD279</f>
        <v/>
      </c>
      <c r="BF279" s="152">
        <f>IF(BI278&lt;=0.005,0,BI278*(1+BF$6))</f>
        <v/>
      </c>
      <c r="BG279" s="152">
        <f>MIN(BF279,BF$7)</f>
        <v/>
      </c>
      <c r="BH279" s="152">
        <f>MAX(0,MIN(BF279-BG279,CL279-(AZ279+BD279)))</f>
        <v/>
      </c>
      <c r="BI279" s="152">
        <f>BF279-BG279-BH279</f>
        <v/>
      </c>
      <c r="BJ279" s="152">
        <f>IF(BM278&lt;=0.005,0,BM278*(1+BJ$6))</f>
        <v/>
      </c>
      <c r="BK279" s="152">
        <f>MIN(BJ279,BJ$7)</f>
        <v/>
      </c>
      <c r="BL279" s="152">
        <f>MAX(0,MIN(BJ279-BK279,CL279-(AZ279+BD279+BH279)))</f>
        <v/>
      </c>
      <c r="BM279" s="152">
        <f>BJ279-BK279-BL279</f>
        <v/>
      </c>
      <c r="BN279" s="152">
        <f>IF(BQ278&lt;=0.005,0,BQ278*(1+BN$6))</f>
        <v/>
      </c>
      <c r="BO279" s="152">
        <f>MIN(BN279,BN$7)</f>
        <v/>
      </c>
      <c r="BP279" s="152">
        <f>MAX(0,MIN(BN279-BO279,CL279-(AZ279+BD279+BH279+BL279)))</f>
        <v/>
      </c>
      <c r="BQ279" s="152">
        <f>BN279-BO279-BP279</f>
        <v/>
      </c>
      <c r="BR279" s="152">
        <f>IF(BU278&lt;=0.005,0,BU278*(1+BR$6))</f>
        <v/>
      </c>
      <c r="BS279" s="152">
        <f>MIN(BR279,BR$7)</f>
        <v/>
      </c>
      <c r="BT279" s="152">
        <f>MAX(0,MIN(BR279-BS279,CL279-(AZ279+BD279+BH279+BL279+BP279)))</f>
        <v/>
      </c>
      <c r="BU279" s="152">
        <f>BR279-BS279-BT279</f>
        <v/>
      </c>
      <c r="BV279" s="152">
        <f>IF(BY278&lt;=0.005,0,BY278*(1+BV$6))</f>
        <v/>
      </c>
      <c r="BW279" s="152">
        <f>MIN(BV279,BV$7)</f>
        <v/>
      </c>
      <c r="BX279" s="152">
        <f>MAX(0,MIN(BV279-BW279,CL279-(AZ279+BD279+BH279+BL279+BP279+BT279)))</f>
        <v/>
      </c>
      <c r="BY279" s="152">
        <f>BV279-BW279-BX279</f>
        <v/>
      </c>
      <c r="BZ279" s="152">
        <f>IF(CC278&lt;=0.005,0,CC278*(1+BZ$6))</f>
        <v/>
      </c>
      <c r="CA279" s="152">
        <f>MIN(BZ279,BZ$7)</f>
        <v/>
      </c>
      <c r="CB279" s="152">
        <f>MAX(0,MIN(BZ279-CA279,CL279-(AZ279+BD279+BH279+BL279+BP279+BT279+BX279)))</f>
        <v/>
      </c>
      <c r="CC279" s="152">
        <f>BZ279-CA279-CB279</f>
        <v/>
      </c>
      <c r="CD279" s="152">
        <f>IF(CG278&lt;=0.005,0,CG278*(1+CD$6))</f>
        <v/>
      </c>
      <c r="CE279" s="152">
        <f>MIN(CD279,CD$7)</f>
        <v/>
      </c>
      <c r="CF279" s="152">
        <f>MAX(0,MIN(CD279-CE279,CL279-(AZ279+BD279+BH279+BL279+BP279+BT279+BX279+CB279)))</f>
        <v/>
      </c>
      <c r="CG279" s="152">
        <f>CD279-CE279-CF279</f>
        <v/>
      </c>
      <c r="CH279" s="152">
        <f>IF(CK278&lt;=0.005,0,CK278*(1+CH$6))</f>
        <v/>
      </c>
      <c r="CI279" s="152">
        <f>MIN(CH279,CH$7)</f>
        <v/>
      </c>
      <c r="CJ279" s="152">
        <f>MAX(0,MIN(CH279-CI279,CL279-(AZ279+BD279+BH279+BL279+BP279+BT279+BX279+CB279+CF279)))</f>
        <v/>
      </c>
      <c r="CK279" s="152">
        <f>CH279-CI279-CJ279</f>
        <v/>
      </c>
      <c r="CL279" s="152">
        <f>'Debt Payoff'!$C$8-SUM(AY279,BC279,BG279,BK279,BO279,BS279,BW279,CA279,CE279,CI279)</f>
        <v/>
      </c>
      <c r="CM279" s="152">
        <f>SUM(AY279,BC279,BG279,BK279,BO279,BS279,BW279,CA279,CE279,CI279)+SUM(AZ279,BD279,BH279,BL279,BP279,BT279,BX279,CB279,CF279,CJ279)</f>
        <v/>
      </c>
      <c r="CN279" s="152">
        <f>SUM(BA279,BE279,BI279,BM279,BQ279,BU279,BY279,CC279,CG279,CK279)</f>
        <v/>
      </c>
      <c r="CO279" s="152">
        <f>IF(AW279&gt;CN$6,NA(),AW279)</f>
        <v/>
      </c>
      <c r="CP279" s="152">
        <f>IF(AW279&gt;CN$6,NA(),CN279)</f>
        <v/>
      </c>
    </row>
    <row r="280">
      <c r="B280" s="152" t="n">
        <v>269</v>
      </c>
      <c r="C280" s="152">
        <f>IF(F279&lt;=0.005,0,F279*(1+C$6))</f>
        <v/>
      </c>
      <c r="D280" s="152">
        <f>MIN(C280,C$7)</f>
        <v/>
      </c>
      <c r="E280" s="152">
        <f>MAX(0,MIN(C280-D280,AQ280))</f>
        <v/>
      </c>
      <c r="F280" s="152">
        <f>C280-D280-E280</f>
        <v/>
      </c>
      <c r="G280" s="152">
        <f>IF(J279&lt;=0.005,0,J279*(1+G$6))</f>
        <v/>
      </c>
      <c r="H280" s="152">
        <f>MIN(G280,G$7)</f>
        <v/>
      </c>
      <c r="I280" s="152">
        <f>MAX(0,MIN(G280-H280,AQ280-(E280)))</f>
        <v/>
      </c>
      <c r="J280" s="152">
        <f>G280-H280-I280</f>
        <v/>
      </c>
      <c r="K280" s="152">
        <f>IF(N279&lt;=0.005,0,N279*(1+K$6))</f>
        <v/>
      </c>
      <c r="L280" s="152">
        <f>MIN(K280,K$7)</f>
        <v/>
      </c>
      <c r="M280" s="152">
        <f>MAX(0,MIN(K280-L280,AQ280-(E280+I280)))</f>
        <v/>
      </c>
      <c r="N280" s="152">
        <f>K280-L280-M280</f>
        <v/>
      </c>
      <c r="O280" s="152">
        <f>IF(R279&lt;=0.005,0,R279*(1+O$6))</f>
        <v/>
      </c>
      <c r="P280" s="152">
        <f>MIN(O280,O$7)</f>
        <v/>
      </c>
      <c r="Q280" s="152">
        <f>MAX(0,MIN(O280-P280,AQ280-(E280+I280+M280)))</f>
        <v/>
      </c>
      <c r="R280" s="152">
        <f>O280-P280-Q280</f>
        <v/>
      </c>
      <c r="S280" s="152">
        <f>IF(V279&lt;=0.005,0,V279*(1+S$6))</f>
        <v/>
      </c>
      <c r="T280" s="152">
        <f>MIN(S280,S$7)</f>
        <v/>
      </c>
      <c r="U280" s="152">
        <f>MAX(0,MIN(S280-T280,AQ280-(E280+I280+M280+Q280)))</f>
        <v/>
      </c>
      <c r="V280" s="152">
        <f>S280-T280-U280</f>
        <v/>
      </c>
      <c r="W280" s="152">
        <f>IF(Z279&lt;=0.005,0,Z279*(1+W$6))</f>
        <v/>
      </c>
      <c r="X280" s="152">
        <f>MIN(W280,W$7)</f>
        <v/>
      </c>
      <c r="Y280" s="152">
        <f>MAX(0,MIN(W280-X280,AQ280-(E280+I280+M280+Q280+U280)))</f>
        <v/>
      </c>
      <c r="Z280" s="152">
        <f>W280-X280-Y280</f>
        <v/>
      </c>
      <c r="AA280" s="152">
        <f>IF(AD279&lt;=0.005,0,AD279*(1+AA$6))</f>
        <v/>
      </c>
      <c r="AB280" s="152">
        <f>MIN(AA280,AA$7)</f>
        <v/>
      </c>
      <c r="AC280" s="152">
        <f>MAX(0,MIN(AA280-AB280,AQ280-(E280+I280+M280+Q280+U280+Y280)))</f>
        <v/>
      </c>
      <c r="AD280" s="152">
        <f>AA280-AB280-AC280</f>
        <v/>
      </c>
      <c r="AE280" s="152">
        <f>IF(AH279&lt;=0.005,0,AH279*(1+AE$6))</f>
        <v/>
      </c>
      <c r="AF280" s="152">
        <f>MIN(AE280,AE$7)</f>
        <v/>
      </c>
      <c r="AG280" s="152">
        <f>MAX(0,MIN(AE280-AF280,AQ280-(E280+I280+M280+Q280+U280+Y280+AC280)))</f>
        <v/>
      </c>
      <c r="AH280" s="152">
        <f>AE280-AF280-AG280</f>
        <v/>
      </c>
      <c r="AI280" s="152">
        <f>IF(AL279&lt;=0.005,0,AL279*(1+AI$6))</f>
        <v/>
      </c>
      <c r="AJ280" s="152">
        <f>MIN(AI280,AI$7)</f>
        <v/>
      </c>
      <c r="AK280" s="152">
        <f>MAX(0,MIN(AI280-AJ280,AQ280-(E280+I280+M280+Q280+U280+Y280+AC280+AG280)))</f>
        <v/>
      </c>
      <c r="AL280" s="152">
        <f>AI280-AJ280-AK280</f>
        <v/>
      </c>
      <c r="AM280" s="152">
        <f>IF(AP279&lt;=0.005,0,AP279*(1+AM$6))</f>
        <v/>
      </c>
      <c r="AN280" s="152">
        <f>MIN(AM280,AM$7)</f>
        <v/>
      </c>
      <c r="AO280" s="152">
        <f>MAX(0,MIN(AM280-AN280,AQ280-(E280+I280+M280+Q280+U280+Y280+AC280+AG280+AK280)))</f>
        <v/>
      </c>
      <c r="AP280" s="152">
        <f>AM280-AN280-AO280</f>
        <v/>
      </c>
      <c r="AQ280" s="152">
        <f>'Debt Payoff'!$C$8-SUM(D280,H280,L280,P280,T280,X280,AB280,AF280,AJ280,AN280)</f>
        <v/>
      </c>
      <c r="AR280" s="152">
        <f>SUM(D280,H280,L280,P280,T280,X280,AB280,AF280,AJ280,AN280)+SUM(E280,I280,M280,Q280,U280,Y280,AC280,AG280,AK280,AO280)</f>
        <v/>
      </c>
      <c r="AS280" s="152">
        <f>SUM(F280,J280,N280,R280,V280,Z280,AD280,AH280,AL280,AP280)</f>
        <v/>
      </c>
      <c r="AT280" s="152">
        <f>IF(B280&gt;AS$6,NA(),B280)</f>
        <v/>
      </c>
      <c r="AU280" s="152">
        <f>IF(B280&gt;AS$6,NA(),AS280)</f>
        <v/>
      </c>
      <c r="AV280" s="152" t="n"/>
      <c r="AW280" s="152" t="n">
        <v>269</v>
      </c>
      <c r="AX280" s="152">
        <f>IF(BA279&lt;=0.005,0,BA279*(1+AX$6))</f>
        <v/>
      </c>
      <c r="AY280" s="152">
        <f>MIN(AX280,AX$7)</f>
        <v/>
      </c>
      <c r="AZ280" s="152">
        <f>MAX(0,MIN(AX280-AY280,CL280))</f>
        <v/>
      </c>
      <c r="BA280" s="152">
        <f>AX280-AY280-AZ280</f>
        <v/>
      </c>
      <c r="BB280" s="152">
        <f>IF(BE279&lt;=0.005,0,BE279*(1+BB$6))</f>
        <v/>
      </c>
      <c r="BC280" s="152">
        <f>MIN(BB280,BB$7)</f>
        <v/>
      </c>
      <c r="BD280" s="152">
        <f>MAX(0,MIN(BB280-BC280,CL280-(AZ280)))</f>
        <v/>
      </c>
      <c r="BE280" s="152">
        <f>BB280-BC280-BD280</f>
        <v/>
      </c>
      <c r="BF280" s="152">
        <f>IF(BI279&lt;=0.005,0,BI279*(1+BF$6))</f>
        <v/>
      </c>
      <c r="BG280" s="152">
        <f>MIN(BF280,BF$7)</f>
        <v/>
      </c>
      <c r="BH280" s="152">
        <f>MAX(0,MIN(BF280-BG280,CL280-(AZ280+BD280)))</f>
        <v/>
      </c>
      <c r="BI280" s="152">
        <f>BF280-BG280-BH280</f>
        <v/>
      </c>
      <c r="BJ280" s="152">
        <f>IF(BM279&lt;=0.005,0,BM279*(1+BJ$6))</f>
        <v/>
      </c>
      <c r="BK280" s="152">
        <f>MIN(BJ280,BJ$7)</f>
        <v/>
      </c>
      <c r="BL280" s="152">
        <f>MAX(0,MIN(BJ280-BK280,CL280-(AZ280+BD280+BH280)))</f>
        <v/>
      </c>
      <c r="BM280" s="152">
        <f>BJ280-BK280-BL280</f>
        <v/>
      </c>
      <c r="BN280" s="152">
        <f>IF(BQ279&lt;=0.005,0,BQ279*(1+BN$6))</f>
        <v/>
      </c>
      <c r="BO280" s="152">
        <f>MIN(BN280,BN$7)</f>
        <v/>
      </c>
      <c r="BP280" s="152">
        <f>MAX(0,MIN(BN280-BO280,CL280-(AZ280+BD280+BH280+BL280)))</f>
        <v/>
      </c>
      <c r="BQ280" s="152">
        <f>BN280-BO280-BP280</f>
        <v/>
      </c>
      <c r="BR280" s="152">
        <f>IF(BU279&lt;=0.005,0,BU279*(1+BR$6))</f>
        <v/>
      </c>
      <c r="BS280" s="152">
        <f>MIN(BR280,BR$7)</f>
        <v/>
      </c>
      <c r="BT280" s="152">
        <f>MAX(0,MIN(BR280-BS280,CL280-(AZ280+BD280+BH280+BL280+BP280)))</f>
        <v/>
      </c>
      <c r="BU280" s="152">
        <f>BR280-BS280-BT280</f>
        <v/>
      </c>
      <c r="BV280" s="152">
        <f>IF(BY279&lt;=0.005,0,BY279*(1+BV$6))</f>
        <v/>
      </c>
      <c r="BW280" s="152">
        <f>MIN(BV280,BV$7)</f>
        <v/>
      </c>
      <c r="BX280" s="152">
        <f>MAX(0,MIN(BV280-BW280,CL280-(AZ280+BD280+BH280+BL280+BP280+BT280)))</f>
        <v/>
      </c>
      <c r="BY280" s="152">
        <f>BV280-BW280-BX280</f>
        <v/>
      </c>
      <c r="BZ280" s="152">
        <f>IF(CC279&lt;=0.005,0,CC279*(1+BZ$6))</f>
        <v/>
      </c>
      <c r="CA280" s="152">
        <f>MIN(BZ280,BZ$7)</f>
        <v/>
      </c>
      <c r="CB280" s="152">
        <f>MAX(0,MIN(BZ280-CA280,CL280-(AZ280+BD280+BH280+BL280+BP280+BT280+BX280)))</f>
        <v/>
      </c>
      <c r="CC280" s="152">
        <f>BZ280-CA280-CB280</f>
        <v/>
      </c>
      <c r="CD280" s="152">
        <f>IF(CG279&lt;=0.005,0,CG279*(1+CD$6))</f>
        <v/>
      </c>
      <c r="CE280" s="152">
        <f>MIN(CD280,CD$7)</f>
        <v/>
      </c>
      <c r="CF280" s="152">
        <f>MAX(0,MIN(CD280-CE280,CL280-(AZ280+BD280+BH280+BL280+BP280+BT280+BX280+CB280)))</f>
        <v/>
      </c>
      <c r="CG280" s="152">
        <f>CD280-CE280-CF280</f>
        <v/>
      </c>
      <c r="CH280" s="152">
        <f>IF(CK279&lt;=0.005,0,CK279*(1+CH$6))</f>
        <v/>
      </c>
      <c r="CI280" s="152">
        <f>MIN(CH280,CH$7)</f>
        <v/>
      </c>
      <c r="CJ280" s="152">
        <f>MAX(0,MIN(CH280-CI280,CL280-(AZ280+BD280+BH280+BL280+BP280+BT280+BX280+CB280+CF280)))</f>
        <v/>
      </c>
      <c r="CK280" s="152">
        <f>CH280-CI280-CJ280</f>
        <v/>
      </c>
      <c r="CL280" s="152">
        <f>'Debt Payoff'!$C$8-SUM(AY280,BC280,BG280,BK280,BO280,BS280,BW280,CA280,CE280,CI280)</f>
        <v/>
      </c>
      <c r="CM280" s="152">
        <f>SUM(AY280,BC280,BG280,BK280,BO280,BS280,BW280,CA280,CE280,CI280)+SUM(AZ280,BD280,BH280,BL280,BP280,BT280,BX280,CB280,CF280,CJ280)</f>
        <v/>
      </c>
      <c r="CN280" s="152">
        <f>SUM(BA280,BE280,BI280,BM280,BQ280,BU280,BY280,CC280,CG280,CK280)</f>
        <v/>
      </c>
      <c r="CO280" s="152">
        <f>IF(AW280&gt;CN$6,NA(),AW280)</f>
        <v/>
      </c>
      <c r="CP280" s="152">
        <f>IF(AW280&gt;CN$6,NA(),CN280)</f>
        <v/>
      </c>
    </row>
    <row r="281">
      <c r="B281" s="152" t="n">
        <v>270</v>
      </c>
      <c r="C281" s="152">
        <f>IF(F280&lt;=0.005,0,F280*(1+C$6))</f>
        <v/>
      </c>
      <c r="D281" s="152">
        <f>MIN(C281,C$7)</f>
        <v/>
      </c>
      <c r="E281" s="152">
        <f>MAX(0,MIN(C281-D281,AQ281))</f>
        <v/>
      </c>
      <c r="F281" s="152">
        <f>C281-D281-E281</f>
        <v/>
      </c>
      <c r="G281" s="152">
        <f>IF(J280&lt;=0.005,0,J280*(1+G$6))</f>
        <v/>
      </c>
      <c r="H281" s="152">
        <f>MIN(G281,G$7)</f>
        <v/>
      </c>
      <c r="I281" s="152">
        <f>MAX(0,MIN(G281-H281,AQ281-(E281)))</f>
        <v/>
      </c>
      <c r="J281" s="152">
        <f>G281-H281-I281</f>
        <v/>
      </c>
      <c r="K281" s="152">
        <f>IF(N280&lt;=0.005,0,N280*(1+K$6))</f>
        <v/>
      </c>
      <c r="L281" s="152">
        <f>MIN(K281,K$7)</f>
        <v/>
      </c>
      <c r="M281" s="152">
        <f>MAX(0,MIN(K281-L281,AQ281-(E281+I281)))</f>
        <v/>
      </c>
      <c r="N281" s="152">
        <f>K281-L281-M281</f>
        <v/>
      </c>
      <c r="O281" s="152">
        <f>IF(R280&lt;=0.005,0,R280*(1+O$6))</f>
        <v/>
      </c>
      <c r="P281" s="152">
        <f>MIN(O281,O$7)</f>
        <v/>
      </c>
      <c r="Q281" s="152">
        <f>MAX(0,MIN(O281-P281,AQ281-(E281+I281+M281)))</f>
        <v/>
      </c>
      <c r="R281" s="152">
        <f>O281-P281-Q281</f>
        <v/>
      </c>
      <c r="S281" s="152">
        <f>IF(V280&lt;=0.005,0,V280*(1+S$6))</f>
        <v/>
      </c>
      <c r="T281" s="152">
        <f>MIN(S281,S$7)</f>
        <v/>
      </c>
      <c r="U281" s="152">
        <f>MAX(0,MIN(S281-T281,AQ281-(E281+I281+M281+Q281)))</f>
        <v/>
      </c>
      <c r="V281" s="152">
        <f>S281-T281-U281</f>
        <v/>
      </c>
      <c r="W281" s="152">
        <f>IF(Z280&lt;=0.005,0,Z280*(1+W$6))</f>
        <v/>
      </c>
      <c r="X281" s="152">
        <f>MIN(W281,W$7)</f>
        <v/>
      </c>
      <c r="Y281" s="152">
        <f>MAX(0,MIN(W281-X281,AQ281-(E281+I281+M281+Q281+U281)))</f>
        <v/>
      </c>
      <c r="Z281" s="152">
        <f>W281-X281-Y281</f>
        <v/>
      </c>
      <c r="AA281" s="152">
        <f>IF(AD280&lt;=0.005,0,AD280*(1+AA$6))</f>
        <v/>
      </c>
      <c r="AB281" s="152">
        <f>MIN(AA281,AA$7)</f>
        <v/>
      </c>
      <c r="AC281" s="152">
        <f>MAX(0,MIN(AA281-AB281,AQ281-(E281+I281+M281+Q281+U281+Y281)))</f>
        <v/>
      </c>
      <c r="AD281" s="152">
        <f>AA281-AB281-AC281</f>
        <v/>
      </c>
      <c r="AE281" s="152">
        <f>IF(AH280&lt;=0.005,0,AH280*(1+AE$6))</f>
        <v/>
      </c>
      <c r="AF281" s="152">
        <f>MIN(AE281,AE$7)</f>
        <v/>
      </c>
      <c r="AG281" s="152">
        <f>MAX(0,MIN(AE281-AF281,AQ281-(E281+I281+M281+Q281+U281+Y281+AC281)))</f>
        <v/>
      </c>
      <c r="AH281" s="152">
        <f>AE281-AF281-AG281</f>
        <v/>
      </c>
      <c r="AI281" s="152">
        <f>IF(AL280&lt;=0.005,0,AL280*(1+AI$6))</f>
        <v/>
      </c>
      <c r="AJ281" s="152">
        <f>MIN(AI281,AI$7)</f>
        <v/>
      </c>
      <c r="AK281" s="152">
        <f>MAX(0,MIN(AI281-AJ281,AQ281-(E281+I281+M281+Q281+U281+Y281+AC281+AG281)))</f>
        <v/>
      </c>
      <c r="AL281" s="152">
        <f>AI281-AJ281-AK281</f>
        <v/>
      </c>
      <c r="AM281" s="152">
        <f>IF(AP280&lt;=0.005,0,AP280*(1+AM$6))</f>
        <v/>
      </c>
      <c r="AN281" s="152">
        <f>MIN(AM281,AM$7)</f>
        <v/>
      </c>
      <c r="AO281" s="152">
        <f>MAX(0,MIN(AM281-AN281,AQ281-(E281+I281+M281+Q281+U281+Y281+AC281+AG281+AK281)))</f>
        <v/>
      </c>
      <c r="AP281" s="152">
        <f>AM281-AN281-AO281</f>
        <v/>
      </c>
      <c r="AQ281" s="152">
        <f>'Debt Payoff'!$C$8-SUM(D281,H281,L281,P281,T281,X281,AB281,AF281,AJ281,AN281)</f>
        <v/>
      </c>
      <c r="AR281" s="152">
        <f>SUM(D281,H281,L281,P281,T281,X281,AB281,AF281,AJ281,AN281)+SUM(E281,I281,M281,Q281,U281,Y281,AC281,AG281,AK281,AO281)</f>
        <v/>
      </c>
      <c r="AS281" s="152">
        <f>SUM(F281,J281,N281,R281,V281,Z281,AD281,AH281,AL281,AP281)</f>
        <v/>
      </c>
      <c r="AT281" s="152">
        <f>IF(B281&gt;AS$6,NA(),B281)</f>
        <v/>
      </c>
      <c r="AU281" s="152">
        <f>IF(B281&gt;AS$6,NA(),AS281)</f>
        <v/>
      </c>
      <c r="AV281" s="152" t="n"/>
      <c r="AW281" s="152" t="n">
        <v>270</v>
      </c>
      <c r="AX281" s="152">
        <f>IF(BA280&lt;=0.005,0,BA280*(1+AX$6))</f>
        <v/>
      </c>
      <c r="AY281" s="152">
        <f>MIN(AX281,AX$7)</f>
        <v/>
      </c>
      <c r="AZ281" s="152">
        <f>MAX(0,MIN(AX281-AY281,CL281))</f>
        <v/>
      </c>
      <c r="BA281" s="152">
        <f>AX281-AY281-AZ281</f>
        <v/>
      </c>
      <c r="BB281" s="152">
        <f>IF(BE280&lt;=0.005,0,BE280*(1+BB$6))</f>
        <v/>
      </c>
      <c r="BC281" s="152">
        <f>MIN(BB281,BB$7)</f>
        <v/>
      </c>
      <c r="BD281" s="152">
        <f>MAX(0,MIN(BB281-BC281,CL281-(AZ281)))</f>
        <v/>
      </c>
      <c r="BE281" s="152">
        <f>BB281-BC281-BD281</f>
        <v/>
      </c>
      <c r="BF281" s="152">
        <f>IF(BI280&lt;=0.005,0,BI280*(1+BF$6))</f>
        <v/>
      </c>
      <c r="BG281" s="152">
        <f>MIN(BF281,BF$7)</f>
        <v/>
      </c>
      <c r="BH281" s="152">
        <f>MAX(0,MIN(BF281-BG281,CL281-(AZ281+BD281)))</f>
        <v/>
      </c>
      <c r="BI281" s="152">
        <f>BF281-BG281-BH281</f>
        <v/>
      </c>
      <c r="BJ281" s="152">
        <f>IF(BM280&lt;=0.005,0,BM280*(1+BJ$6))</f>
        <v/>
      </c>
      <c r="BK281" s="152">
        <f>MIN(BJ281,BJ$7)</f>
        <v/>
      </c>
      <c r="BL281" s="152">
        <f>MAX(0,MIN(BJ281-BK281,CL281-(AZ281+BD281+BH281)))</f>
        <v/>
      </c>
      <c r="BM281" s="152">
        <f>BJ281-BK281-BL281</f>
        <v/>
      </c>
      <c r="BN281" s="152">
        <f>IF(BQ280&lt;=0.005,0,BQ280*(1+BN$6))</f>
        <v/>
      </c>
      <c r="BO281" s="152">
        <f>MIN(BN281,BN$7)</f>
        <v/>
      </c>
      <c r="BP281" s="152">
        <f>MAX(0,MIN(BN281-BO281,CL281-(AZ281+BD281+BH281+BL281)))</f>
        <v/>
      </c>
      <c r="BQ281" s="152">
        <f>BN281-BO281-BP281</f>
        <v/>
      </c>
      <c r="BR281" s="152">
        <f>IF(BU280&lt;=0.005,0,BU280*(1+BR$6))</f>
        <v/>
      </c>
      <c r="BS281" s="152">
        <f>MIN(BR281,BR$7)</f>
        <v/>
      </c>
      <c r="BT281" s="152">
        <f>MAX(0,MIN(BR281-BS281,CL281-(AZ281+BD281+BH281+BL281+BP281)))</f>
        <v/>
      </c>
      <c r="BU281" s="152">
        <f>BR281-BS281-BT281</f>
        <v/>
      </c>
      <c r="BV281" s="152">
        <f>IF(BY280&lt;=0.005,0,BY280*(1+BV$6))</f>
        <v/>
      </c>
      <c r="BW281" s="152">
        <f>MIN(BV281,BV$7)</f>
        <v/>
      </c>
      <c r="BX281" s="152">
        <f>MAX(0,MIN(BV281-BW281,CL281-(AZ281+BD281+BH281+BL281+BP281+BT281)))</f>
        <v/>
      </c>
      <c r="BY281" s="152">
        <f>BV281-BW281-BX281</f>
        <v/>
      </c>
      <c r="BZ281" s="152">
        <f>IF(CC280&lt;=0.005,0,CC280*(1+BZ$6))</f>
        <v/>
      </c>
      <c r="CA281" s="152">
        <f>MIN(BZ281,BZ$7)</f>
        <v/>
      </c>
      <c r="CB281" s="152">
        <f>MAX(0,MIN(BZ281-CA281,CL281-(AZ281+BD281+BH281+BL281+BP281+BT281+BX281)))</f>
        <v/>
      </c>
      <c r="CC281" s="152">
        <f>BZ281-CA281-CB281</f>
        <v/>
      </c>
      <c r="CD281" s="152">
        <f>IF(CG280&lt;=0.005,0,CG280*(1+CD$6))</f>
        <v/>
      </c>
      <c r="CE281" s="152">
        <f>MIN(CD281,CD$7)</f>
        <v/>
      </c>
      <c r="CF281" s="152">
        <f>MAX(0,MIN(CD281-CE281,CL281-(AZ281+BD281+BH281+BL281+BP281+BT281+BX281+CB281)))</f>
        <v/>
      </c>
      <c r="CG281" s="152">
        <f>CD281-CE281-CF281</f>
        <v/>
      </c>
      <c r="CH281" s="152">
        <f>IF(CK280&lt;=0.005,0,CK280*(1+CH$6))</f>
        <v/>
      </c>
      <c r="CI281" s="152">
        <f>MIN(CH281,CH$7)</f>
        <v/>
      </c>
      <c r="CJ281" s="152">
        <f>MAX(0,MIN(CH281-CI281,CL281-(AZ281+BD281+BH281+BL281+BP281+BT281+BX281+CB281+CF281)))</f>
        <v/>
      </c>
      <c r="CK281" s="152">
        <f>CH281-CI281-CJ281</f>
        <v/>
      </c>
      <c r="CL281" s="152">
        <f>'Debt Payoff'!$C$8-SUM(AY281,BC281,BG281,BK281,BO281,BS281,BW281,CA281,CE281,CI281)</f>
        <v/>
      </c>
      <c r="CM281" s="152">
        <f>SUM(AY281,BC281,BG281,BK281,BO281,BS281,BW281,CA281,CE281,CI281)+SUM(AZ281,BD281,BH281,BL281,BP281,BT281,BX281,CB281,CF281,CJ281)</f>
        <v/>
      </c>
      <c r="CN281" s="152">
        <f>SUM(BA281,BE281,BI281,BM281,BQ281,BU281,BY281,CC281,CG281,CK281)</f>
        <v/>
      </c>
      <c r="CO281" s="152">
        <f>IF(AW281&gt;CN$6,NA(),AW281)</f>
        <v/>
      </c>
      <c r="CP281" s="152">
        <f>IF(AW281&gt;CN$6,NA(),CN281)</f>
        <v/>
      </c>
    </row>
    <row r="282">
      <c r="B282" s="152" t="n">
        <v>271</v>
      </c>
      <c r="C282" s="152">
        <f>IF(F281&lt;=0.005,0,F281*(1+C$6))</f>
        <v/>
      </c>
      <c r="D282" s="152">
        <f>MIN(C282,C$7)</f>
        <v/>
      </c>
      <c r="E282" s="152">
        <f>MAX(0,MIN(C282-D282,AQ282))</f>
        <v/>
      </c>
      <c r="F282" s="152">
        <f>C282-D282-E282</f>
        <v/>
      </c>
      <c r="G282" s="152">
        <f>IF(J281&lt;=0.005,0,J281*(1+G$6))</f>
        <v/>
      </c>
      <c r="H282" s="152">
        <f>MIN(G282,G$7)</f>
        <v/>
      </c>
      <c r="I282" s="152">
        <f>MAX(0,MIN(G282-H282,AQ282-(E282)))</f>
        <v/>
      </c>
      <c r="J282" s="152">
        <f>G282-H282-I282</f>
        <v/>
      </c>
      <c r="K282" s="152">
        <f>IF(N281&lt;=0.005,0,N281*(1+K$6))</f>
        <v/>
      </c>
      <c r="L282" s="152">
        <f>MIN(K282,K$7)</f>
        <v/>
      </c>
      <c r="M282" s="152">
        <f>MAX(0,MIN(K282-L282,AQ282-(E282+I282)))</f>
        <v/>
      </c>
      <c r="N282" s="152">
        <f>K282-L282-M282</f>
        <v/>
      </c>
      <c r="O282" s="152">
        <f>IF(R281&lt;=0.005,0,R281*(1+O$6))</f>
        <v/>
      </c>
      <c r="P282" s="152">
        <f>MIN(O282,O$7)</f>
        <v/>
      </c>
      <c r="Q282" s="152">
        <f>MAX(0,MIN(O282-P282,AQ282-(E282+I282+M282)))</f>
        <v/>
      </c>
      <c r="R282" s="152">
        <f>O282-P282-Q282</f>
        <v/>
      </c>
      <c r="S282" s="152">
        <f>IF(V281&lt;=0.005,0,V281*(1+S$6))</f>
        <v/>
      </c>
      <c r="T282" s="152">
        <f>MIN(S282,S$7)</f>
        <v/>
      </c>
      <c r="U282" s="152">
        <f>MAX(0,MIN(S282-T282,AQ282-(E282+I282+M282+Q282)))</f>
        <v/>
      </c>
      <c r="V282" s="152">
        <f>S282-T282-U282</f>
        <v/>
      </c>
      <c r="W282" s="152">
        <f>IF(Z281&lt;=0.005,0,Z281*(1+W$6))</f>
        <v/>
      </c>
      <c r="X282" s="152">
        <f>MIN(W282,W$7)</f>
        <v/>
      </c>
      <c r="Y282" s="152">
        <f>MAX(0,MIN(W282-X282,AQ282-(E282+I282+M282+Q282+U282)))</f>
        <v/>
      </c>
      <c r="Z282" s="152">
        <f>W282-X282-Y282</f>
        <v/>
      </c>
      <c r="AA282" s="152">
        <f>IF(AD281&lt;=0.005,0,AD281*(1+AA$6))</f>
        <v/>
      </c>
      <c r="AB282" s="152">
        <f>MIN(AA282,AA$7)</f>
        <v/>
      </c>
      <c r="AC282" s="152">
        <f>MAX(0,MIN(AA282-AB282,AQ282-(E282+I282+M282+Q282+U282+Y282)))</f>
        <v/>
      </c>
      <c r="AD282" s="152">
        <f>AA282-AB282-AC282</f>
        <v/>
      </c>
      <c r="AE282" s="152">
        <f>IF(AH281&lt;=0.005,0,AH281*(1+AE$6))</f>
        <v/>
      </c>
      <c r="AF282" s="152">
        <f>MIN(AE282,AE$7)</f>
        <v/>
      </c>
      <c r="AG282" s="152">
        <f>MAX(0,MIN(AE282-AF282,AQ282-(E282+I282+M282+Q282+U282+Y282+AC282)))</f>
        <v/>
      </c>
      <c r="AH282" s="152">
        <f>AE282-AF282-AG282</f>
        <v/>
      </c>
      <c r="AI282" s="152">
        <f>IF(AL281&lt;=0.005,0,AL281*(1+AI$6))</f>
        <v/>
      </c>
      <c r="AJ282" s="152">
        <f>MIN(AI282,AI$7)</f>
        <v/>
      </c>
      <c r="AK282" s="152">
        <f>MAX(0,MIN(AI282-AJ282,AQ282-(E282+I282+M282+Q282+U282+Y282+AC282+AG282)))</f>
        <v/>
      </c>
      <c r="AL282" s="152">
        <f>AI282-AJ282-AK282</f>
        <v/>
      </c>
      <c r="AM282" s="152">
        <f>IF(AP281&lt;=0.005,0,AP281*(1+AM$6))</f>
        <v/>
      </c>
      <c r="AN282" s="152">
        <f>MIN(AM282,AM$7)</f>
        <v/>
      </c>
      <c r="AO282" s="152">
        <f>MAX(0,MIN(AM282-AN282,AQ282-(E282+I282+M282+Q282+U282+Y282+AC282+AG282+AK282)))</f>
        <v/>
      </c>
      <c r="AP282" s="152">
        <f>AM282-AN282-AO282</f>
        <v/>
      </c>
      <c r="AQ282" s="152">
        <f>'Debt Payoff'!$C$8-SUM(D282,H282,L282,P282,T282,X282,AB282,AF282,AJ282,AN282)</f>
        <v/>
      </c>
      <c r="AR282" s="152">
        <f>SUM(D282,H282,L282,P282,T282,X282,AB282,AF282,AJ282,AN282)+SUM(E282,I282,M282,Q282,U282,Y282,AC282,AG282,AK282,AO282)</f>
        <v/>
      </c>
      <c r="AS282" s="152">
        <f>SUM(F282,J282,N282,R282,V282,Z282,AD282,AH282,AL282,AP282)</f>
        <v/>
      </c>
      <c r="AT282" s="152">
        <f>IF(B282&gt;AS$6,NA(),B282)</f>
        <v/>
      </c>
      <c r="AU282" s="152">
        <f>IF(B282&gt;AS$6,NA(),AS282)</f>
        <v/>
      </c>
      <c r="AV282" s="152" t="n"/>
      <c r="AW282" s="152" t="n">
        <v>271</v>
      </c>
      <c r="AX282" s="152">
        <f>IF(BA281&lt;=0.005,0,BA281*(1+AX$6))</f>
        <v/>
      </c>
      <c r="AY282" s="152">
        <f>MIN(AX282,AX$7)</f>
        <v/>
      </c>
      <c r="AZ282" s="152">
        <f>MAX(0,MIN(AX282-AY282,CL282))</f>
        <v/>
      </c>
      <c r="BA282" s="152">
        <f>AX282-AY282-AZ282</f>
        <v/>
      </c>
      <c r="BB282" s="152">
        <f>IF(BE281&lt;=0.005,0,BE281*(1+BB$6))</f>
        <v/>
      </c>
      <c r="BC282" s="152">
        <f>MIN(BB282,BB$7)</f>
        <v/>
      </c>
      <c r="BD282" s="152">
        <f>MAX(0,MIN(BB282-BC282,CL282-(AZ282)))</f>
        <v/>
      </c>
      <c r="BE282" s="152">
        <f>BB282-BC282-BD282</f>
        <v/>
      </c>
      <c r="BF282" s="152">
        <f>IF(BI281&lt;=0.005,0,BI281*(1+BF$6))</f>
        <v/>
      </c>
      <c r="BG282" s="152">
        <f>MIN(BF282,BF$7)</f>
        <v/>
      </c>
      <c r="BH282" s="152">
        <f>MAX(0,MIN(BF282-BG282,CL282-(AZ282+BD282)))</f>
        <v/>
      </c>
      <c r="BI282" s="152">
        <f>BF282-BG282-BH282</f>
        <v/>
      </c>
      <c r="BJ282" s="152">
        <f>IF(BM281&lt;=0.005,0,BM281*(1+BJ$6))</f>
        <v/>
      </c>
      <c r="BK282" s="152">
        <f>MIN(BJ282,BJ$7)</f>
        <v/>
      </c>
      <c r="BL282" s="152">
        <f>MAX(0,MIN(BJ282-BK282,CL282-(AZ282+BD282+BH282)))</f>
        <v/>
      </c>
      <c r="BM282" s="152">
        <f>BJ282-BK282-BL282</f>
        <v/>
      </c>
      <c r="BN282" s="152">
        <f>IF(BQ281&lt;=0.005,0,BQ281*(1+BN$6))</f>
        <v/>
      </c>
      <c r="BO282" s="152">
        <f>MIN(BN282,BN$7)</f>
        <v/>
      </c>
      <c r="BP282" s="152">
        <f>MAX(0,MIN(BN282-BO282,CL282-(AZ282+BD282+BH282+BL282)))</f>
        <v/>
      </c>
      <c r="BQ282" s="152">
        <f>BN282-BO282-BP282</f>
        <v/>
      </c>
      <c r="BR282" s="152">
        <f>IF(BU281&lt;=0.005,0,BU281*(1+BR$6))</f>
        <v/>
      </c>
      <c r="BS282" s="152">
        <f>MIN(BR282,BR$7)</f>
        <v/>
      </c>
      <c r="BT282" s="152">
        <f>MAX(0,MIN(BR282-BS282,CL282-(AZ282+BD282+BH282+BL282+BP282)))</f>
        <v/>
      </c>
      <c r="BU282" s="152">
        <f>BR282-BS282-BT282</f>
        <v/>
      </c>
      <c r="BV282" s="152">
        <f>IF(BY281&lt;=0.005,0,BY281*(1+BV$6))</f>
        <v/>
      </c>
      <c r="BW282" s="152">
        <f>MIN(BV282,BV$7)</f>
        <v/>
      </c>
      <c r="BX282" s="152">
        <f>MAX(0,MIN(BV282-BW282,CL282-(AZ282+BD282+BH282+BL282+BP282+BT282)))</f>
        <v/>
      </c>
      <c r="BY282" s="152">
        <f>BV282-BW282-BX282</f>
        <v/>
      </c>
      <c r="BZ282" s="152">
        <f>IF(CC281&lt;=0.005,0,CC281*(1+BZ$6))</f>
        <v/>
      </c>
      <c r="CA282" s="152">
        <f>MIN(BZ282,BZ$7)</f>
        <v/>
      </c>
      <c r="CB282" s="152">
        <f>MAX(0,MIN(BZ282-CA282,CL282-(AZ282+BD282+BH282+BL282+BP282+BT282+BX282)))</f>
        <v/>
      </c>
      <c r="CC282" s="152">
        <f>BZ282-CA282-CB282</f>
        <v/>
      </c>
      <c r="CD282" s="152">
        <f>IF(CG281&lt;=0.005,0,CG281*(1+CD$6))</f>
        <v/>
      </c>
      <c r="CE282" s="152">
        <f>MIN(CD282,CD$7)</f>
        <v/>
      </c>
      <c r="CF282" s="152">
        <f>MAX(0,MIN(CD282-CE282,CL282-(AZ282+BD282+BH282+BL282+BP282+BT282+BX282+CB282)))</f>
        <v/>
      </c>
      <c r="CG282" s="152">
        <f>CD282-CE282-CF282</f>
        <v/>
      </c>
      <c r="CH282" s="152">
        <f>IF(CK281&lt;=0.005,0,CK281*(1+CH$6))</f>
        <v/>
      </c>
      <c r="CI282" s="152">
        <f>MIN(CH282,CH$7)</f>
        <v/>
      </c>
      <c r="CJ282" s="152">
        <f>MAX(0,MIN(CH282-CI282,CL282-(AZ282+BD282+BH282+BL282+BP282+BT282+BX282+CB282+CF282)))</f>
        <v/>
      </c>
      <c r="CK282" s="152">
        <f>CH282-CI282-CJ282</f>
        <v/>
      </c>
      <c r="CL282" s="152">
        <f>'Debt Payoff'!$C$8-SUM(AY282,BC282,BG282,BK282,BO282,BS282,BW282,CA282,CE282,CI282)</f>
        <v/>
      </c>
      <c r="CM282" s="152">
        <f>SUM(AY282,BC282,BG282,BK282,BO282,BS282,BW282,CA282,CE282,CI282)+SUM(AZ282,BD282,BH282,BL282,BP282,BT282,BX282,CB282,CF282,CJ282)</f>
        <v/>
      </c>
      <c r="CN282" s="152">
        <f>SUM(BA282,BE282,BI282,BM282,BQ282,BU282,BY282,CC282,CG282,CK282)</f>
        <v/>
      </c>
      <c r="CO282" s="152">
        <f>IF(AW282&gt;CN$6,NA(),AW282)</f>
        <v/>
      </c>
      <c r="CP282" s="152">
        <f>IF(AW282&gt;CN$6,NA(),CN282)</f>
        <v/>
      </c>
    </row>
    <row r="283">
      <c r="B283" s="152" t="n">
        <v>272</v>
      </c>
      <c r="C283" s="152">
        <f>IF(F282&lt;=0.005,0,F282*(1+C$6))</f>
        <v/>
      </c>
      <c r="D283" s="152">
        <f>MIN(C283,C$7)</f>
        <v/>
      </c>
      <c r="E283" s="152">
        <f>MAX(0,MIN(C283-D283,AQ283))</f>
        <v/>
      </c>
      <c r="F283" s="152">
        <f>C283-D283-E283</f>
        <v/>
      </c>
      <c r="G283" s="152">
        <f>IF(J282&lt;=0.005,0,J282*(1+G$6))</f>
        <v/>
      </c>
      <c r="H283" s="152">
        <f>MIN(G283,G$7)</f>
        <v/>
      </c>
      <c r="I283" s="152">
        <f>MAX(0,MIN(G283-H283,AQ283-(E283)))</f>
        <v/>
      </c>
      <c r="J283" s="152">
        <f>G283-H283-I283</f>
        <v/>
      </c>
      <c r="K283" s="152">
        <f>IF(N282&lt;=0.005,0,N282*(1+K$6))</f>
        <v/>
      </c>
      <c r="L283" s="152">
        <f>MIN(K283,K$7)</f>
        <v/>
      </c>
      <c r="M283" s="152">
        <f>MAX(0,MIN(K283-L283,AQ283-(E283+I283)))</f>
        <v/>
      </c>
      <c r="N283" s="152">
        <f>K283-L283-M283</f>
        <v/>
      </c>
      <c r="O283" s="152">
        <f>IF(R282&lt;=0.005,0,R282*(1+O$6))</f>
        <v/>
      </c>
      <c r="P283" s="152">
        <f>MIN(O283,O$7)</f>
        <v/>
      </c>
      <c r="Q283" s="152">
        <f>MAX(0,MIN(O283-P283,AQ283-(E283+I283+M283)))</f>
        <v/>
      </c>
      <c r="R283" s="152">
        <f>O283-P283-Q283</f>
        <v/>
      </c>
      <c r="S283" s="152">
        <f>IF(V282&lt;=0.005,0,V282*(1+S$6))</f>
        <v/>
      </c>
      <c r="T283" s="152">
        <f>MIN(S283,S$7)</f>
        <v/>
      </c>
      <c r="U283" s="152">
        <f>MAX(0,MIN(S283-T283,AQ283-(E283+I283+M283+Q283)))</f>
        <v/>
      </c>
      <c r="V283" s="152">
        <f>S283-T283-U283</f>
        <v/>
      </c>
      <c r="W283" s="152">
        <f>IF(Z282&lt;=0.005,0,Z282*(1+W$6))</f>
        <v/>
      </c>
      <c r="X283" s="152">
        <f>MIN(W283,W$7)</f>
        <v/>
      </c>
      <c r="Y283" s="152">
        <f>MAX(0,MIN(W283-X283,AQ283-(E283+I283+M283+Q283+U283)))</f>
        <v/>
      </c>
      <c r="Z283" s="152">
        <f>W283-X283-Y283</f>
        <v/>
      </c>
      <c r="AA283" s="152">
        <f>IF(AD282&lt;=0.005,0,AD282*(1+AA$6))</f>
        <v/>
      </c>
      <c r="AB283" s="152">
        <f>MIN(AA283,AA$7)</f>
        <v/>
      </c>
      <c r="AC283" s="152">
        <f>MAX(0,MIN(AA283-AB283,AQ283-(E283+I283+M283+Q283+U283+Y283)))</f>
        <v/>
      </c>
      <c r="AD283" s="152">
        <f>AA283-AB283-AC283</f>
        <v/>
      </c>
      <c r="AE283" s="152">
        <f>IF(AH282&lt;=0.005,0,AH282*(1+AE$6))</f>
        <v/>
      </c>
      <c r="AF283" s="152">
        <f>MIN(AE283,AE$7)</f>
        <v/>
      </c>
      <c r="AG283" s="152">
        <f>MAX(0,MIN(AE283-AF283,AQ283-(E283+I283+M283+Q283+U283+Y283+AC283)))</f>
        <v/>
      </c>
      <c r="AH283" s="152">
        <f>AE283-AF283-AG283</f>
        <v/>
      </c>
      <c r="AI283" s="152">
        <f>IF(AL282&lt;=0.005,0,AL282*(1+AI$6))</f>
        <v/>
      </c>
      <c r="AJ283" s="152">
        <f>MIN(AI283,AI$7)</f>
        <v/>
      </c>
      <c r="AK283" s="152">
        <f>MAX(0,MIN(AI283-AJ283,AQ283-(E283+I283+M283+Q283+U283+Y283+AC283+AG283)))</f>
        <v/>
      </c>
      <c r="AL283" s="152">
        <f>AI283-AJ283-AK283</f>
        <v/>
      </c>
      <c r="AM283" s="152">
        <f>IF(AP282&lt;=0.005,0,AP282*(1+AM$6))</f>
        <v/>
      </c>
      <c r="AN283" s="152">
        <f>MIN(AM283,AM$7)</f>
        <v/>
      </c>
      <c r="AO283" s="152">
        <f>MAX(0,MIN(AM283-AN283,AQ283-(E283+I283+M283+Q283+U283+Y283+AC283+AG283+AK283)))</f>
        <v/>
      </c>
      <c r="AP283" s="152">
        <f>AM283-AN283-AO283</f>
        <v/>
      </c>
      <c r="AQ283" s="152">
        <f>'Debt Payoff'!$C$8-SUM(D283,H283,L283,P283,T283,X283,AB283,AF283,AJ283,AN283)</f>
        <v/>
      </c>
      <c r="AR283" s="152">
        <f>SUM(D283,H283,L283,P283,T283,X283,AB283,AF283,AJ283,AN283)+SUM(E283,I283,M283,Q283,U283,Y283,AC283,AG283,AK283,AO283)</f>
        <v/>
      </c>
      <c r="AS283" s="152">
        <f>SUM(F283,J283,N283,R283,V283,Z283,AD283,AH283,AL283,AP283)</f>
        <v/>
      </c>
      <c r="AT283" s="152">
        <f>IF(B283&gt;AS$6,NA(),B283)</f>
        <v/>
      </c>
      <c r="AU283" s="152">
        <f>IF(B283&gt;AS$6,NA(),AS283)</f>
        <v/>
      </c>
      <c r="AV283" s="152" t="n"/>
      <c r="AW283" s="152" t="n">
        <v>272</v>
      </c>
      <c r="AX283" s="152">
        <f>IF(BA282&lt;=0.005,0,BA282*(1+AX$6))</f>
        <v/>
      </c>
      <c r="AY283" s="152">
        <f>MIN(AX283,AX$7)</f>
        <v/>
      </c>
      <c r="AZ283" s="152">
        <f>MAX(0,MIN(AX283-AY283,CL283))</f>
        <v/>
      </c>
      <c r="BA283" s="152">
        <f>AX283-AY283-AZ283</f>
        <v/>
      </c>
      <c r="BB283" s="152">
        <f>IF(BE282&lt;=0.005,0,BE282*(1+BB$6))</f>
        <v/>
      </c>
      <c r="BC283" s="152">
        <f>MIN(BB283,BB$7)</f>
        <v/>
      </c>
      <c r="BD283" s="152">
        <f>MAX(0,MIN(BB283-BC283,CL283-(AZ283)))</f>
        <v/>
      </c>
      <c r="BE283" s="152">
        <f>BB283-BC283-BD283</f>
        <v/>
      </c>
      <c r="BF283" s="152">
        <f>IF(BI282&lt;=0.005,0,BI282*(1+BF$6))</f>
        <v/>
      </c>
      <c r="BG283" s="152">
        <f>MIN(BF283,BF$7)</f>
        <v/>
      </c>
      <c r="BH283" s="152">
        <f>MAX(0,MIN(BF283-BG283,CL283-(AZ283+BD283)))</f>
        <v/>
      </c>
      <c r="BI283" s="152">
        <f>BF283-BG283-BH283</f>
        <v/>
      </c>
      <c r="BJ283" s="152">
        <f>IF(BM282&lt;=0.005,0,BM282*(1+BJ$6))</f>
        <v/>
      </c>
      <c r="BK283" s="152">
        <f>MIN(BJ283,BJ$7)</f>
        <v/>
      </c>
      <c r="BL283" s="152">
        <f>MAX(0,MIN(BJ283-BK283,CL283-(AZ283+BD283+BH283)))</f>
        <v/>
      </c>
      <c r="BM283" s="152">
        <f>BJ283-BK283-BL283</f>
        <v/>
      </c>
      <c r="BN283" s="152">
        <f>IF(BQ282&lt;=0.005,0,BQ282*(1+BN$6))</f>
        <v/>
      </c>
      <c r="BO283" s="152">
        <f>MIN(BN283,BN$7)</f>
        <v/>
      </c>
      <c r="BP283" s="152">
        <f>MAX(0,MIN(BN283-BO283,CL283-(AZ283+BD283+BH283+BL283)))</f>
        <v/>
      </c>
      <c r="BQ283" s="152">
        <f>BN283-BO283-BP283</f>
        <v/>
      </c>
      <c r="BR283" s="152">
        <f>IF(BU282&lt;=0.005,0,BU282*(1+BR$6))</f>
        <v/>
      </c>
      <c r="BS283" s="152">
        <f>MIN(BR283,BR$7)</f>
        <v/>
      </c>
      <c r="BT283" s="152">
        <f>MAX(0,MIN(BR283-BS283,CL283-(AZ283+BD283+BH283+BL283+BP283)))</f>
        <v/>
      </c>
      <c r="BU283" s="152">
        <f>BR283-BS283-BT283</f>
        <v/>
      </c>
      <c r="BV283" s="152">
        <f>IF(BY282&lt;=0.005,0,BY282*(1+BV$6))</f>
        <v/>
      </c>
      <c r="BW283" s="152">
        <f>MIN(BV283,BV$7)</f>
        <v/>
      </c>
      <c r="BX283" s="152">
        <f>MAX(0,MIN(BV283-BW283,CL283-(AZ283+BD283+BH283+BL283+BP283+BT283)))</f>
        <v/>
      </c>
      <c r="BY283" s="152">
        <f>BV283-BW283-BX283</f>
        <v/>
      </c>
      <c r="BZ283" s="152">
        <f>IF(CC282&lt;=0.005,0,CC282*(1+BZ$6))</f>
        <v/>
      </c>
      <c r="CA283" s="152">
        <f>MIN(BZ283,BZ$7)</f>
        <v/>
      </c>
      <c r="CB283" s="152">
        <f>MAX(0,MIN(BZ283-CA283,CL283-(AZ283+BD283+BH283+BL283+BP283+BT283+BX283)))</f>
        <v/>
      </c>
      <c r="CC283" s="152">
        <f>BZ283-CA283-CB283</f>
        <v/>
      </c>
      <c r="CD283" s="152">
        <f>IF(CG282&lt;=0.005,0,CG282*(1+CD$6))</f>
        <v/>
      </c>
      <c r="CE283" s="152">
        <f>MIN(CD283,CD$7)</f>
        <v/>
      </c>
      <c r="CF283" s="152">
        <f>MAX(0,MIN(CD283-CE283,CL283-(AZ283+BD283+BH283+BL283+BP283+BT283+BX283+CB283)))</f>
        <v/>
      </c>
      <c r="CG283" s="152">
        <f>CD283-CE283-CF283</f>
        <v/>
      </c>
      <c r="CH283" s="152">
        <f>IF(CK282&lt;=0.005,0,CK282*(1+CH$6))</f>
        <v/>
      </c>
      <c r="CI283" s="152">
        <f>MIN(CH283,CH$7)</f>
        <v/>
      </c>
      <c r="CJ283" s="152">
        <f>MAX(0,MIN(CH283-CI283,CL283-(AZ283+BD283+BH283+BL283+BP283+BT283+BX283+CB283+CF283)))</f>
        <v/>
      </c>
      <c r="CK283" s="152">
        <f>CH283-CI283-CJ283</f>
        <v/>
      </c>
      <c r="CL283" s="152">
        <f>'Debt Payoff'!$C$8-SUM(AY283,BC283,BG283,BK283,BO283,BS283,BW283,CA283,CE283,CI283)</f>
        <v/>
      </c>
      <c r="CM283" s="152">
        <f>SUM(AY283,BC283,BG283,BK283,BO283,BS283,BW283,CA283,CE283,CI283)+SUM(AZ283,BD283,BH283,BL283,BP283,BT283,BX283,CB283,CF283,CJ283)</f>
        <v/>
      </c>
      <c r="CN283" s="152">
        <f>SUM(BA283,BE283,BI283,BM283,BQ283,BU283,BY283,CC283,CG283,CK283)</f>
        <v/>
      </c>
      <c r="CO283" s="152">
        <f>IF(AW283&gt;CN$6,NA(),AW283)</f>
        <v/>
      </c>
      <c r="CP283" s="152">
        <f>IF(AW283&gt;CN$6,NA(),CN283)</f>
        <v/>
      </c>
    </row>
    <row r="284">
      <c r="B284" s="152" t="n">
        <v>273</v>
      </c>
      <c r="C284" s="152">
        <f>IF(F283&lt;=0.005,0,F283*(1+C$6))</f>
        <v/>
      </c>
      <c r="D284" s="152">
        <f>MIN(C284,C$7)</f>
        <v/>
      </c>
      <c r="E284" s="152">
        <f>MAX(0,MIN(C284-D284,AQ284))</f>
        <v/>
      </c>
      <c r="F284" s="152">
        <f>C284-D284-E284</f>
        <v/>
      </c>
      <c r="G284" s="152">
        <f>IF(J283&lt;=0.005,0,J283*(1+G$6))</f>
        <v/>
      </c>
      <c r="H284" s="152">
        <f>MIN(G284,G$7)</f>
        <v/>
      </c>
      <c r="I284" s="152">
        <f>MAX(0,MIN(G284-H284,AQ284-(E284)))</f>
        <v/>
      </c>
      <c r="J284" s="152">
        <f>G284-H284-I284</f>
        <v/>
      </c>
      <c r="K284" s="152">
        <f>IF(N283&lt;=0.005,0,N283*(1+K$6))</f>
        <v/>
      </c>
      <c r="L284" s="152">
        <f>MIN(K284,K$7)</f>
        <v/>
      </c>
      <c r="M284" s="152">
        <f>MAX(0,MIN(K284-L284,AQ284-(E284+I284)))</f>
        <v/>
      </c>
      <c r="N284" s="152">
        <f>K284-L284-M284</f>
        <v/>
      </c>
      <c r="O284" s="152">
        <f>IF(R283&lt;=0.005,0,R283*(1+O$6))</f>
        <v/>
      </c>
      <c r="P284" s="152">
        <f>MIN(O284,O$7)</f>
        <v/>
      </c>
      <c r="Q284" s="152">
        <f>MAX(0,MIN(O284-P284,AQ284-(E284+I284+M284)))</f>
        <v/>
      </c>
      <c r="R284" s="152">
        <f>O284-P284-Q284</f>
        <v/>
      </c>
      <c r="S284" s="152">
        <f>IF(V283&lt;=0.005,0,V283*(1+S$6))</f>
        <v/>
      </c>
      <c r="T284" s="152">
        <f>MIN(S284,S$7)</f>
        <v/>
      </c>
      <c r="U284" s="152">
        <f>MAX(0,MIN(S284-T284,AQ284-(E284+I284+M284+Q284)))</f>
        <v/>
      </c>
      <c r="V284" s="152">
        <f>S284-T284-U284</f>
        <v/>
      </c>
      <c r="W284" s="152">
        <f>IF(Z283&lt;=0.005,0,Z283*(1+W$6))</f>
        <v/>
      </c>
      <c r="X284" s="152">
        <f>MIN(W284,W$7)</f>
        <v/>
      </c>
      <c r="Y284" s="152">
        <f>MAX(0,MIN(W284-X284,AQ284-(E284+I284+M284+Q284+U284)))</f>
        <v/>
      </c>
      <c r="Z284" s="152">
        <f>W284-X284-Y284</f>
        <v/>
      </c>
      <c r="AA284" s="152">
        <f>IF(AD283&lt;=0.005,0,AD283*(1+AA$6))</f>
        <v/>
      </c>
      <c r="AB284" s="152">
        <f>MIN(AA284,AA$7)</f>
        <v/>
      </c>
      <c r="AC284" s="152">
        <f>MAX(0,MIN(AA284-AB284,AQ284-(E284+I284+M284+Q284+U284+Y284)))</f>
        <v/>
      </c>
      <c r="AD284" s="152">
        <f>AA284-AB284-AC284</f>
        <v/>
      </c>
      <c r="AE284" s="152">
        <f>IF(AH283&lt;=0.005,0,AH283*(1+AE$6))</f>
        <v/>
      </c>
      <c r="AF284" s="152">
        <f>MIN(AE284,AE$7)</f>
        <v/>
      </c>
      <c r="AG284" s="152">
        <f>MAX(0,MIN(AE284-AF284,AQ284-(E284+I284+M284+Q284+U284+Y284+AC284)))</f>
        <v/>
      </c>
      <c r="AH284" s="152">
        <f>AE284-AF284-AG284</f>
        <v/>
      </c>
      <c r="AI284" s="152">
        <f>IF(AL283&lt;=0.005,0,AL283*(1+AI$6))</f>
        <v/>
      </c>
      <c r="AJ284" s="152">
        <f>MIN(AI284,AI$7)</f>
        <v/>
      </c>
      <c r="AK284" s="152">
        <f>MAX(0,MIN(AI284-AJ284,AQ284-(E284+I284+M284+Q284+U284+Y284+AC284+AG284)))</f>
        <v/>
      </c>
      <c r="AL284" s="152">
        <f>AI284-AJ284-AK284</f>
        <v/>
      </c>
      <c r="AM284" s="152">
        <f>IF(AP283&lt;=0.005,0,AP283*(1+AM$6))</f>
        <v/>
      </c>
      <c r="AN284" s="152">
        <f>MIN(AM284,AM$7)</f>
        <v/>
      </c>
      <c r="AO284" s="152">
        <f>MAX(0,MIN(AM284-AN284,AQ284-(E284+I284+M284+Q284+U284+Y284+AC284+AG284+AK284)))</f>
        <v/>
      </c>
      <c r="AP284" s="152">
        <f>AM284-AN284-AO284</f>
        <v/>
      </c>
      <c r="AQ284" s="152">
        <f>'Debt Payoff'!$C$8-SUM(D284,H284,L284,P284,T284,X284,AB284,AF284,AJ284,AN284)</f>
        <v/>
      </c>
      <c r="AR284" s="152">
        <f>SUM(D284,H284,L284,P284,T284,X284,AB284,AF284,AJ284,AN284)+SUM(E284,I284,M284,Q284,U284,Y284,AC284,AG284,AK284,AO284)</f>
        <v/>
      </c>
      <c r="AS284" s="152">
        <f>SUM(F284,J284,N284,R284,V284,Z284,AD284,AH284,AL284,AP284)</f>
        <v/>
      </c>
      <c r="AT284" s="152">
        <f>IF(B284&gt;AS$6,NA(),B284)</f>
        <v/>
      </c>
      <c r="AU284" s="152">
        <f>IF(B284&gt;AS$6,NA(),AS284)</f>
        <v/>
      </c>
      <c r="AV284" s="152" t="n"/>
      <c r="AW284" s="152" t="n">
        <v>273</v>
      </c>
      <c r="AX284" s="152">
        <f>IF(BA283&lt;=0.005,0,BA283*(1+AX$6))</f>
        <v/>
      </c>
      <c r="AY284" s="152">
        <f>MIN(AX284,AX$7)</f>
        <v/>
      </c>
      <c r="AZ284" s="152">
        <f>MAX(0,MIN(AX284-AY284,CL284))</f>
        <v/>
      </c>
      <c r="BA284" s="152">
        <f>AX284-AY284-AZ284</f>
        <v/>
      </c>
      <c r="BB284" s="152">
        <f>IF(BE283&lt;=0.005,0,BE283*(1+BB$6))</f>
        <v/>
      </c>
      <c r="BC284" s="152">
        <f>MIN(BB284,BB$7)</f>
        <v/>
      </c>
      <c r="BD284" s="152">
        <f>MAX(0,MIN(BB284-BC284,CL284-(AZ284)))</f>
        <v/>
      </c>
      <c r="BE284" s="152">
        <f>BB284-BC284-BD284</f>
        <v/>
      </c>
      <c r="BF284" s="152">
        <f>IF(BI283&lt;=0.005,0,BI283*(1+BF$6))</f>
        <v/>
      </c>
      <c r="BG284" s="152">
        <f>MIN(BF284,BF$7)</f>
        <v/>
      </c>
      <c r="BH284" s="152">
        <f>MAX(0,MIN(BF284-BG284,CL284-(AZ284+BD284)))</f>
        <v/>
      </c>
      <c r="BI284" s="152">
        <f>BF284-BG284-BH284</f>
        <v/>
      </c>
      <c r="BJ284" s="152">
        <f>IF(BM283&lt;=0.005,0,BM283*(1+BJ$6))</f>
        <v/>
      </c>
      <c r="BK284" s="152">
        <f>MIN(BJ284,BJ$7)</f>
        <v/>
      </c>
      <c r="BL284" s="152">
        <f>MAX(0,MIN(BJ284-BK284,CL284-(AZ284+BD284+BH284)))</f>
        <v/>
      </c>
      <c r="BM284" s="152">
        <f>BJ284-BK284-BL284</f>
        <v/>
      </c>
      <c r="BN284" s="152">
        <f>IF(BQ283&lt;=0.005,0,BQ283*(1+BN$6))</f>
        <v/>
      </c>
      <c r="BO284" s="152">
        <f>MIN(BN284,BN$7)</f>
        <v/>
      </c>
      <c r="BP284" s="152">
        <f>MAX(0,MIN(BN284-BO284,CL284-(AZ284+BD284+BH284+BL284)))</f>
        <v/>
      </c>
      <c r="BQ284" s="152">
        <f>BN284-BO284-BP284</f>
        <v/>
      </c>
      <c r="BR284" s="152">
        <f>IF(BU283&lt;=0.005,0,BU283*(1+BR$6))</f>
        <v/>
      </c>
      <c r="BS284" s="152">
        <f>MIN(BR284,BR$7)</f>
        <v/>
      </c>
      <c r="BT284" s="152">
        <f>MAX(0,MIN(BR284-BS284,CL284-(AZ284+BD284+BH284+BL284+BP284)))</f>
        <v/>
      </c>
      <c r="BU284" s="152">
        <f>BR284-BS284-BT284</f>
        <v/>
      </c>
      <c r="BV284" s="152">
        <f>IF(BY283&lt;=0.005,0,BY283*(1+BV$6))</f>
        <v/>
      </c>
      <c r="BW284" s="152">
        <f>MIN(BV284,BV$7)</f>
        <v/>
      </c>
      <c r="BX284" s="152">
        <f>MAX(0,MIN(BV284-BW284,CL284-(AZ284+BD284+BH284+BL284+BP284+BT284)))</f>
        <v/>
      </c>
      <c r="BY284" s="152">
        <f>BV284-BW284-BX284</f>
        <v/>
      </c>
      <c r="BZ284" s="152">
        <f>IF(CC283&lt;=0.005,0,CC283*(1+BZ$6))</f>
        <v/>
      </c>
      <c r="CA284" s="152">
        <f>MIN(BZ284,BZ$7)</f>
        <v/>
      </c>
      <c r="CB284" s="152">
        <f>MAX(0,MIN(BZ284-CA284,CL284-(AZ284+BD284+BH284+BL284+BP284+BT284+BX284)))</f>
        <v/>
      </c>
      <c r="CC284" s="152">
        <f>BZ284-CA284-CB284</f>
        <v/>
      </c>
      <c r="CD284" s="152">
        <f>IF(CG283&lt;=0.005,0,CG283*(1+CD$6))</f>
        <v/>
      </c>
      <c r="CE284" s="152">
        <f>MIN(CD284,CD$7)</f>
        <v/>
      </c>
      <c r="CF284" s="152">
        <f>MAX(0,MIN(CD284-CE284,CL284-(AZ284+BD284+BH284+BL284+BP284+BT284+BX284+CB284)))</f>
        <v/>
      </c>
      <c r="CG284" s="152">
        <f>CD284-CE284-CF284</f>
        <v/>
      </c>
      <c r="CH284" s="152">
        <f>IF(CK283&lt;=0.005,0,CK283*(1+CH$6))</f>
        <v/>
      </c>
      <c r="CI284" s="152">
        <f>MIN(CH284,CH$7)</f>
        <v/>
      </c>
      <c r="CJ284" s="152">
        <f>MAX(0,MIN(CH284-CI284,CL284-(AZ284+BD284+BH284+BL284+BP284+BT284+BX284+CB284+CF284)))</f>
        <v/>
      </c>
      <c r="CK284" s="152">
        <f>CH284-CI284-CJ284</f>
        <v/>
      </c>
      <c r="CL284" s="152">
        <f>'Debt Payoff'!$C$8-SUM(AY284,BC284,BG284,BK284,BO284,BS284,BW284,CA284,CE284,CI284)</f>
        <v/>
      </c>
      <c r="CM284" s="152">
        <f>SUM(AY284,BC284,BG284,BK284,BO284,BS284,BW284,CA284,CE284,CI284)+SUM(AZ284,BD284,BH284,BL284,BP284,BT284,BX284,CB284,CF284,CJ284)</f>
        <v/>
      </c>
      <c r="CN284" s="152">
        <f>SUM(BA284,BE284,BI284,BM284,BQ284,BU284,BY284,CC284,CG284,CK284)</f>
        <v/>
      </c>
      <c r="CO284" s="152">
        <f>IF(AW284&gt;CN$6,NA(),AW284)</f>
        <v/>
      </c>
      <c r="CP284" s="152">
        <f>IF(AW284&gt;CN$6,NA(),CN284)</f>
        <v/>
      </c>
    </row>
    <row r="285">
      <c r="B285" s="152" t="n">
        <v>274</v>
      </c>
      <c r="C285" s="152">
        <f>IF(F284&lt;=0.005,0,F284*(1+C$6))</f>
        <v/>
      </c>
      <c r="D285" s="152">
        <f>MIN(C285,C$7)</f>
        <v/>
      </c>
      <c r="E285" s="152">
        <f>MAX(0,MIN(C285-D285,AQ285))</f>
        <v/>
      </c>
      <c r="F285" s="152">
        <f>C285-D285-E285</f>
        <v/>
      </c>
      <c r="G285" s="152">
        <f>IF(J284&lt;=0.005,0,J284*(1+G$6))</f>
        <v/>
      </c>
      <c r="H285" s="152">
        <f>MIN(G285,G$7)</f>
        <v/>
      </c>
      <c r="I285" s="152">
        <f>MAX(0,MIN(G285-H285,AQ285-(E285)))</f>
        <v/>
      </c>
      <c r="J285" s="152">
        <f>G285-H285-I285</f>
        <v/>
      </c>
      <c r="K285" s="152">
        <f>IF(N284&lt;=0.005,0,N284*(1+K$6))</f>
        <v/>
      </c>
      <c r="L285" s="152">
        <f>MIN(K285,K$7)</f>
        <v/>
      </c>
      <c r="M285" s="152">
        <f>MAX(0,MIN(K285-L285,AQ285-(E285+I285)))</f>
        <v/>
      </c>
      <c r="N285" s="152">
        <f>K285-L285-M285</f>
        <v/>
      </c>
      <c r="O285" s="152">
        <f>IF(R284&lt;=0.005,0,R284*(1+O$6))</f>
        <v/>
      </c>
      <c r="P285" s="152">
        <f>MIN(O285,O$7)</f>
        <v/>
      </c>
      <c r="Q285" s="152">
        <f>MAX(0,MIN(O285-P285,AQ285-(E285+I285+M285)))</f>
        <v/>
      </c>
      <c r="R285" s="152">
        <f>O285-P285-Q285</f>
        <v/>
      </c>
      <c r="S285" s="152">
        <f>IF(V284&lt;=0.005,0,V284*(1+S$6))</f>
        <v/>
      </c>
      <c r="T285" s="152">
        <f>MIN(S285,S$7)</f>
        <v/>
      </c>
      <c r="U285" s="152">
        <f>MAX(0,MIN(S285-T285,AQ285-(E285+I285+M285+Q285)))</f>
        <v/>
      </c>
      <c r="V285" s="152">
        <f>S285-T285-U285</f>
        <v/>
      </c>
      <c r="W285" s="152">
        <f>IF(Z284&lt;=0.005,0,Z284*(1+W$6))</f>
        <v/>
      </c>
      <c r="X285" s="152">
        <f>MIN(W285,W$7)</f>
        <v/>
      </c>
      <c r="Y285" s="152">
        <f>MAX(0,MIN(W285-X285,AQ285-(E285+I285+M285+Q285+U285)))</f>
        <v/>
      </c>
      <c r="Z285" s="152">
        <f>W285-X285-Y285</f>
        <v/>
      </c>
      <c r="AA285" s="152">
        <f>IF(AD284&lt;=0.005,0,AD284*(1+AA$6))</f>
        <v/>
      </c>
      <c r="AB285" s="152">
        <f>MIN(AA285,AA$7)</f>
        <v/>
      </c>
      <c r="AC285" s="152">
        <f>MAX(0,MIN(AA285-AB285,AQ285-(E285+I285+M285+Q285+U285+Y285)))</f>
        <v/>
      </c>
      <c r="AD285" s="152">
        <f>AA285-AB285-AC285</f>
        <v/>
      </c>
      <c r="AE285" s="152">
        <f>IF(AH284&lt;=0.005,0,AH284*(1+AE$6))</f>
        <v/>
      </c>
      <c r="AF285" s="152">
        <f>MIN(AE285,AE$7)</f>
        <v/>
      </c>
      <c r="AG285" s="152">
        <f>MAX(0,MIN(AE285-AF285,AQ285-(E285+I285+M285+Q285+U285+Y285+AC285)))</f>
        <v/>
      </c>
      <c r="AH285" s="152">
        <f>AE285-AF285-AG285</f>
        <v/>
      </c>
      <c r="AI285" s="152">
        <f>IF(AL284&lt;=0.005,0,AL284*(1+AI$6))</f>
        <v/>
      </c>
      <c r="AJ285" s="152">
        <f>MIN(AI285,AI$7)</f>
        <v/>
      </c>
      <c r="AK285" s="152">
        <f>MAX(0,MIN(AI285-AJ285,AQ285-(E285+I285+M285+Q285+U285+Y285+AC285+AG285)))</f>
        <v/>
      </c>
      <c r="AL285" s="152">
        <f>AI285-AJ285-AK285</f>
        <v/>
      </c>
      <c r="AM285" s="152">
        <f>IF(AP284&lt;=0.005,0,AP284*(1+AM$6))</f>
        <v/>
      </c>
      <c r="AN285" s="152">
        <f>MIN(AM285,AM$7)</f>
        <v/>
      </c>
      <c r="AO285" s="152">
        <f>MAX(0,MIN(AM285-AN285,AQ285-(E285+I285+M285+Q285+U285+Y285+AC285+AG285+AK285)))</f>
        <v/>
      </c>
      <c r="AP285" s="152">
        <f>AM285-AN285-AO285</f>
        <v/>
      </c>
      <c r="AQ285" s="152">
        <f>'Debt Payoff'!$C$8-SUM(D285,H285,L285,P285,T285,X285,AB285,AF285,AJ285,AN285)</f>
        <v/>
      </c>
      <c r="AR285" s="152">
        <f>SUM(D285,H285,L285,P285,T285,X285,AB285,AF285,AJ285,AN285)+SUM(E285,I285,M285,Q285,U285,Y285,AC285,AG285,AK285,AO285)</f>
        <v/>
      </c>
      <c r="AS285" s="152">
        <f>SUM(F285,J285,N285,R285,V285,Z285,AD285,AH285,AL285,AP285)</f>
        <v/>
      </c>
      <c r="AT285" s="152">
        <f>IF(B285&gt;AS$6,NA(),B285)</f>
        <v/>
      </c>
      <c r="AU285" s="152">
        <f>IF(B285&gt;AS$6,NA(),AS285)</f>
        <v/>
      </c>
      <c r="AV285" s="152" t="n"/>
      <c r="AW285" s="152" t="n">
        <v>274</v>
      </c>
      <c r="AX285" s="152">
        <f>IF(BA284&lt;=0.005,0,BA284*(1+AX$6))</f>
        <v/>
      </c>
      <c r="AY285" s="152">
        <f>MIN(AX285,AX$7)</f>
        <v/>
      </c>
      <c r="AZ285" s="152">
        <f>MAX(0,MIN(AX285-AY285,CL285))</f>
        <v/>
      </c>
      <c r="BA285" s="152">
        <f>AX285-AY285-AZ285</f>
        <v/>
      </c>
      <c r="BB285" s="152">
        <f>IF(BE284&lt;=0.005,0,BE284*(1+BB$6))</f>
        <v/>
      </c>
      <c r="BC285" s="152">
        <f>MIN(BB285,BB$7)</f>
        <v/>
      </c>
      <c r="BD285" s="152">
        <f>MAX(0,MIN(BB285-BC285,CL285-(AZ285)))</f>
        <v/>
      </c>
      <c r="BE285" s="152">
        <f>BB285-BC285-BD285</f>
        <v/>
      </c>
      <c r="BF285" s="152">
        <f>IF(BI284&lt;=0.005,0,BI284*(1+BF$6))</f>
        <v/>
      </c>
      <c r="BG285" s="152">
        <f>MIN(BF285,BF$7)</f>
        <v/>
      </c>
      <c r="BH285" s="152">
        <f>MAX(0,MIN(BF285-BG285,CL285-(AZ285+BD285)))</f>
        <v/>
      </c>
      <c r="BI285" s="152">
        <f>BF285-BG285-BH285</f>
        <v/>
      </c>
      <c r="BJ285" s="152">
        <f>IF(BM284&lt;=0.005,0,BM284*(1+BJ$6))</f>
        <v/>
      </c>
      <c r="BK285" s="152">
        <f>MIN(BJ285,BJ$7)</f>
        <v/>
      </c>
      <c r="BL285" s="152">
        <f>MAX(0,MIN(BJ285-BK285,CL285-(AZ285+BD285+BH285)))</f>
        <v/>
      </c>
      <c r="BM285" s="152">
        <f>BJ285-BK285-BL285</f>
        <v/>
      </c>
      <c r="BN285" s="152">
        <f>IF(BQ284&lt;=0.005,0,BQ284*(1+BN$6))</f>
        <v/>
      </c>
      <c r="BO285" s="152">
        <f>MIN(BN285,BN$7)</f>
        <v/>
      </c>
      <c r="BP285" s="152">
        <f>MAX(0,MIN(BN285-BO285,CL285-(AZ285+BD285+BH285+BL285)))</f>
        <v/>
      </c>
      <c r="BQ285" s="152">
        <f>BN285-BO285-BP285</f>
        <v/>
      </c>
      <c r="BR285" s="152">
        <f>IF(BU284&lt;=0.005,0,BU284*(1+BR$6))</f>
        <v/>
      </c>
      <c r="BS285" s="152">
        <f>MIN(BR285,BR$7)</f>
        <v/>
      </c>
      <c r="BT285" s="152">
        <f>MAX(0,MIN(BR285-BS285,CL285-(AZ285+BD285+BH285+BL285+BP285)))</f>
        <v/>
      </c>
      <c r="BU285" s="152">
        <f>BR285-BS285-BT285</f>
        <v/>
      </c>
      <c r="BV285" s="152">
        <f>IF(BY284&lt;=0.005,0,BY284*(1+BV$6))</f>
        <v/>
      </c>
      <c r="BW285" s="152">
        <f>MIN(BV285,BV$7)</f>
        <v/>
      </c>
      <c r="BX285" s="152">
        <f>MAX(0,MIN(BV285-BW285,CL285-(AZ285+BD285+BH285+BL285+BP285+BT285)))</f>
        <v/>
      </c>
      <c r="BY285" s="152">
        <f>BV285-BW285-BX285</f>
        <v/>
      </c>
      <c r="BZ285" s="152">
        <f>IF(CC284&lt;=0.005,0,CC284*(1+BZ$6))</f>
        <v/>
      </c>
      <c r="CA285" s="152">
        <f>MIN(BZ285,BZ$7)</f>
        <v/>
      </c>
      <c r="CB285" s="152">
        <f>MAX(0,MIN(BZ285-CA285,CL285-(AZ285+BD285+BH285+BL285+BP285+BT285+BX285)))</f>
        <v/>
      </c>
      <c r="CC285" s="152">
        <f>BZ285-CA285-CB285</f>
        <v/>
      </c>
      <c r="CD285" s="152">
        <f>IF(CG284&lt;=0.005,0,CG284*(1+CD$6))</f>
        <v/>
      </c>
      <c r="CE285" s="152">
        <f>MIN(CD285,CD$7)</f>
        <v/>
      </c>
      <c r="CF285" s="152">
        <f>MAX(0,MIN(CD285-CE285,CL285-(AZ285+BD285+BH285+BL285+BP285+BT285+BX285+CB285)))</f>
        <v/>
      </c>
      <c r="CG285" s="152">
        <f>CD285-CE285-CF285</f>
        <v/>
      </c>
      <c r="CH285" s="152">
        <f>IF(CK284&lt;=0.005,0,CK284*(1+CH$6))</f>
        <v/>
      </c>
      <c r="CI285" s="152">
        <f>MIN(CH285,CH$7)</f>
        <v/>
      </c>
      <c r="CJ285" s="152">
        <f>MAX(0,MIN(CH285-CI285,CL285-(AZ285+BD285+BH285+BL285+BP285+BT285+BX285+CB285+CF285)))</f>
        <v/>
      </c>
      <c r="CK285" s="152">
        <f>CH285-CI285-CJ285</f>
        <v/>
      </c>
      <c r="CL285" s="152">
        <f>'Debt Payoff'!$C$8-SUM(AY285,BC285,BG285,BK285,BO285,BS285,BW285,CA285,CE285,CI285)</f>
        <v/>
      </c>
      <c r="CM285" s="152">
        <f>SUM(AY285,BC285,BG285,BK285,BO285,BS285,BW285,CA285,CE285,CI285)+SUM(AZ285,BD285,BH285,BL285,BP285,BT285,BX285,CB285,CF285,CJ285)</f>
        <v/>
      </c>
      <c r="CN285" s="152">
        <f>SUM(BA285,BE285,BI285,BM285,BQ285,BU285,BY285,CC285,CG285,CK285)</f>
        <v/>
      </c>
      <c r="CO285" s="152">
        <f>IF(AW285&gt;CN$6,NA(),AW285)</f>
        <v/>
      </c>
      <c r="CP285" s="152">
        <f>IF(AW285&gt;CN$6,NA(),CN285)</f>
        <v/>
      </c>
    </row>
    <row r="286">
      <c r="B286" s="152" t="n">
        <v>275</v>
      </c>
      <c r="C286" s="152">
        <f>IF(F285&lt;=0.005,0,F285*(1+C$6))</f>
        <v/>
      </c>
      <c r="D286" s="152">
        <f>MIN(C286,C$7)</f>
        <v/>
      </c>
      <c r="E286" s="152">
        <f>MAX(0,MIN(C286-D286,AQ286))</f>
        <v/>
      </c>
      <c r="F286" s="152">
        <f>C286-D286-E286</f>
        <v/>
      </c>
      <c r="G286" s="152">
        <f>IF(J285&lt;=0.005,0,J285*(1+G$6))</f>
        <v/>
      </c>
      <c r="H286" s="152">
        <f>MIN(G286,G$7)</f>
        <v/>
      </c>
      <c r="I286" s="152">
        <f>MAX(0,MIN(G286-H286,AQ286-(E286)))</f>
        <v/>
      </c>
      <c r="J286" s="152">
        <f>G286-H286-I286</f>
        <v/>
      </c>
      <c r="K286" s="152">
        <f>IF(N285&lt;=0.005,0,N285*(1+K$6))</f>
        <v/>
      </c>
      <c r="L286" s="152">
        <f>MIN(K286,K$7)</f>
        <v/>
      </c>
      <c r="M286" s="152">
        <f>MAX(0,MIN(K286-L286,AQ286-(E286+I286)))</f>
        <v/>
      </c>
      <c r="N286" s="152">
        <f>K286-L286-M286</f>
        <v/>
      </c>
      <c r="O286" s="152">
        <f>IF(R285&lt;=0.005,0,R285*(1+O$6))</f>
        <v/>
      </c>
      <c r="P286" s="152">
        <f>MIN(O286,O$7)</f>
        <v/>
      </c>
      <c r="Q286" s="152">
        <f>MAX(0,MIN(O286-P286,AQ286-(E286+I286+M286)))</f>
        <v/>
      </c>
      <c r="R286" s="152">
        <f>O286-P286-Q286</f>
        <v/>
      </c>
      <c r="S286" s="152">
        <f>IF(V285&lt;=0.005,0,V285*(1+S$6))</f>
        <v/>
      </c>
      <c r="T286" s="152">
        <f>MIN(S286,S$7)</f>
        <v/>
      </c>
      <c r="U286" s="152">
        <f>MAX(0,MIN(S286-T286,AQ286-(E286+I286+M286+Q286)))</f>
        <v/>
      </c>
      <c r="V286" s="152">
        <f>S286-T286-U286</f>
        <v/>
      </c>
      <c r="W286" s="152">
        <f>IF(Z285&lt;=0.005,0,Z285*(1+W$6))</f>
        <v/>
      </c>
      <c r="X286" s="152">
        <f>MIN(W286,W$7)</f>
        <v/>
      </c>
      <c r="Y286" s="152">
        <f>MAX(0,MIN(W286-X286,AQ286-(E286+I286+M286+Q286+U286)))</f>
        <v/>
      </c>
      <c r="Z286" s="152">
        <f>W286-X286-Y286</f>
        <v/>
      </c>
      <c r="AA286" s="152">
        <f>IF(AD285&lt;=0.005,0,AD285*(1+AA$6))</f>
        <v/>
      </c>
      <c r="AB286" s="152">
        <f>MIN(AA286,AA$7)</f>
        <v/>
      </c>
      <c r="AC286" s="152">
        <f>MAX(0,MIN(AA286-AB286,AQ286-(E286+I286+M286+Q286+U286+Y286)))</f>
        <v/>
      </c>
      <c r="AD286" s="152">
        <f>AA286-AB286-AC286</f>
        <v/>
      </c>
      <c r="AE286" s="152">
        <f>IF(AH285&lt;=0.005,0,AH285*(1+AE$6))</f>
        <v/>
      </c>
      <c r="AF286" s="152">
        <f>MIN(AE286,AE$7)</f>
        <v/>
      </c>
      <c r="AG286" s="152">
        <f>MAX(0,MIN(AE286-AF286,AQ286-(E286+I286+M286+Q286+U286+Y286+AC286)))</f>
        <v/>
      </c>
      <c r="AH286" s="152">
        <f>AE286-AF286-AG286</f>
        <v/>
      </c>
      <c r="AI286" s="152">
        <f>IF(AL285&lt;=0.005,0,AL285*(1+AI$6))</f>
        <v/>
      </c>
      <c r="AJ286" s="152">
        <f>MIN(AI286,AI$7)</f>
        <v/>
      </c>
      <c r="AK286" s="152">
        <f>MAX(0,MIN(AI286-AJ286,AQ286-(E286+I286+M286+Q286+U286+Y286+AC286+AG286)))</f>
        <v/>
      </c>
      <c r="AL286" s="152">
        <f>AI286-AJ286-AK286</f>
        <v/>
      </c>
      <c r="AM286" s="152">
        <f>IF(AP285&lt;=0.005,0,AP285*(1+AM$6))</f>
        <v/>
      </c>
      <c r="AN286" s="152">
        <f>MIN(AM286,AM$7)</f>
        <v/>
      </c>
      <c r="AO286" s="152">
        <f>MAX(0,MIN(AM286-AN286,AQ286-(E286+I286+M286+Q286+U286+Y286+AC286+AG286+AK286)))</f>
        <v/>
      </c>
      <c r="AP286" s="152">
        <f>AM286-AN286-AO286</f>
        <v/>
      </c>
      <c r="AQ286" s="152">
        <f>'Debt Payoff'!$C$8-SUM(D286,H286,L286,P286,T286,X286,AB286,AF286,AJ286,AN286)</f>
        <v/>
      </c>
      <c r="AR286" s="152">
        <f>SUM(D286,H286,L286,P286,T286,X286,AB286,AF286,AJ286,AN286)+SUM(E286,I286,M286,Q286,U286,Y286,AC286,AG286,AK286,AO286)</f>
        <v/>
      </c>
      <c r="AS286" s="152">
        <f>SUM(F286,J286,N286,R286,V286,Z286,AD286,AH286,AL286,AP286)</f>
        <v/>
      </c>
      <c r="AT286" s="152">
        <f>IF(B286&gt;AS$6,NA(),B286)</f>
        <v/>
      </c>
      <c r="AU286" s="152">
        <f>IF(B286&gt;AS$6,NA(),AS286)</f>
        <v/>
      </c>
      <c r="AV286" s="152" t="n"/>
      <c r="AW286" s="152" t="n">
        <v>275</v>
      </c>
      <c r="AX286" s="152">
        <f>IF(BA285&lt;=0.005,0,BA285*(1+AX$6))</f>
        <v/>
      </c>
      <c r="AY286" s="152">
        <f>MIN(AX286,AX$7)</f>
        <v/>
      </c>
      <c r="AZ286" s="152">
        <f>MAX(0,MIN(AX286-AY286,CL286))</f>
        <v/>
      </c>
      <c r="BA286" s="152">
        <f>AX286-AY286-AZ286</f>
        <v/>
      </c>
      <c r="BB286" s="152">
        <f>IF(BE285&lt;=0.005,0,BE285*(1+BB$6))</f>
        <v/>
      </c>
      <c r="BC286" s="152">
        <f>MIN(BB286,BB$7)</f>
        <v/>
      </c>
      <c r="BD286" s="152">
        <f>MAX(0,MIN(BB286-BC286,CL286-(AZ286)))</f>
        <v/>
      </c>
      <c r="BE286" s="152">
        <f>BB286-BC286-BD286</f>
        <v/>
      </c>
      <c r="BF286" s="152">
        <f>IF(BI285&lt;=0.005,0,BI285*(1+BF$6))</f>
        <v/>
      </c>
      <c r="BG286" s="152">
        <f>MIN(BF286,BF$7)</f>
        <v/>
      </c>
      <c r="BH286" s="152">
        <f>MAX(0,MIN(BF286-BG286,CL286-(AZ286+BD286)))</f>
        <v/>
      </c>
      <c r="BI286" s="152">
        <f>BF286-BG286-BH286</f>
        <v/>
      </c>
      <c r="BJ286" s="152">
        <f>IF(BM285&lt;=0.005,0,BM285*(1+BJ$6))</f>
        <v/>
      </c>
      <c r="BK286" s="152">
        <f>MIN(BJ286,BJ$7)</f>
        <v/>
      </c>
      <c r="BL286" s="152">
        <f>MAX(0,MIN(BJ286-BK286,CL286-(AZ286+BD286+BH286)))</f>
        <v/>
      </c>
      <c r="BM286" s="152">
        <f>BJ286-BK286-BL286</f>
        <v/>
      </c>
      <c r="BN286" s="152">
        <f>IF(BQ285&lt;=0.005,0,BQ285*(1+BN$6))</f>
        <v/>
      </c>
      <c r="BO286" s="152">
        <f>MIN(BN286,BN$7)</f>
        <v/>
      </c>
      <c r="BP286" s="152">
        <f>MAX(0,MIN(BN286-BO286,CL286-(AZ286+BD286+BH286+BL286)))</f>
        <v/>
      </c>
      <c r="BQ286" s="152">
        <f>BN286-BO286-BP286</f>
        <v/>
      </c>
      <c r="BR286" s="152">
        <f>IF(BU285&lt;=0.005,0,BU285*(1+BR$6))</f>
        <v/>
      </c>
      <c r="BS286" s="152">
        <f>MIN(BR286,BR$7)</f>
        <v/>
      </c>
      <c r="BT286" s="152">
        <f>MAX(0,MIN(BR286-BS286,CL286-(AZ286+BD286+BH286+BL286+BP286)))</f>
        <v/>
      </c>
      <c r="BU286" s="152">
        <f>BR286-BS286-BT286</f>
        <v/>
      </c>
      <c r="BV286" s="152">
        <f>IF(BY285&lt;=0.005,0,BY285*(1+BV$6))</f>
        <v/>
      </c>
      <c r="BW286" s="152">
        <f>MIN(BV286,BV$7)</f>
        <v/>
      </c>
      <c r="BX286" s="152">
        <f>MAX(0,MIN(BV286-BW286,CL286-(AZ286+BD286+BH286+BL286+BP286+BT286)))</f>
        <v/>
      </c>
      <c r="BY286" s="152">
        <f>BV286-BW286-BX286</f>
        <v/>
      </c>
      <c r="BZ286" s="152">
        <f>IF(CC285&lt;=0.005,0,CC285*(1+BZ$6))</f>
        <v/>
      </c>
      <c r="CA286" s="152">
        <f>MIN(BZ286,BZ$7)</f>
        <v/>
      </c>
      <c r="CB286" s="152">
        <f>MAX(0,MIN(BZ286-CA286,CL286-(AZ286+BD286+BH286+BL286+BP286+BT286+BX286)))</f>
        <v/>
      </c>
      <c r="CC286" s="152">
        <f>BZ286-CA286-CB286</f>
        <v/>
      </c>
      <c r="CD286" s="152">
        <f>IF(CG285&lt;=0.005,0,CG285*(1+CD$6))</f>
        <v/>
      </c>
      <c r="CE286" s="152">
        <f>MIN(CD286,CD$7)</f>
        <v/>
      </c>
      <c r="CF286" s="152">
        <f>MAX(0,MIN(CD286-CE286,CL286-(AZ286+BD286+BH286+BL286+BP286+BT286+BX286+CB286)))</f>
        <v/>
      </c>
      <c r="CG286" s="152">
        <f>CD286-CE286-CF286</f>
        <v/>
      </c>
      <c r="CH286" s="152">
        <f>IF(CK285&lt;=0.005,0,CK285*(1+CH$6))</f>
        <v/>
      </c>
      <c r="CI286" s="152">
        <f>MIN(CH286,CH$7)</f>
        <v/>
      </c>
      <c r="CJ286" s="152">
        <f>MAX(0,MIN(CH286-CI286,CL286-(AZ286+BD286+BH286+BL286+BP286+BT286+BX286+CB286+CF286)))</f>
        <v/>
      </c>
      <c r="CK286" s="152">
        <f>CH286-CI286-CJ286</f>
        <v/>
      </c>
      <c r="CL286" s="152">
        <f>'Debt Payoff'!$C$8-SUM(AY286,BC286,BG286,BK286,BO286,BS286,BW286,CA286,CE286,CI286)</f>
        <v/>
      </c>
      <c r="CM286" s="152">
        <f>SUM(AY286,BC286,BG286,BK286,BO286,BS286,BW286,CA286,CE286,CI286)+SUM(AZ286,BD286,BH286,BL286,BP286,BT286,BX286,CB286,CF286,CJ286)</f>
        <v/>
      </c>
      <c r="CN286" s="152">
        <f>SUM(BA286,BE286,BI286,BM286,BQ286,BU286,BY286,CC286,CG286,CK286)</f>
        <v/>
      </c>
      <c r="CO286" s="152">
        <f>IF(AW286&gt;CN$6,NA(),AW286)</f>
        <v/>
      </c>
      <c r="CP286" s="152">
        <f>IF(AW286&gt;CN$6,NA(),CN286)</f>
        <v/>
      </c>
    </row>
    <row r="287">
      <c r="B287" s="152" t="n">
        <v>276</v>
      </c>
      <c r="C287" s="152">
        <f>IF(F286&lt;=0.005,0,F286*(1+C$6))</f>
        <v/>
      </c>
      <c r="D287" s="152">
        <f>MIN(C287,C$7)</f>
        <v/>
      </c>
      <c r="E287" s="152">
        <f>MAX(0,MIN(C287-D287,AQ287))</f>
        <v/>
      </c>
      <c r="F287" s="152">
        <f>C287-D287-E287</f>
        <v/>
      </c>
      <c r="G287" s="152">
        <f>IF(J286&lt;=0.005,0,J286*(1+G$6))</f>
        <v/>
      </c>
      <c r="H287" s="152">
        <f>MIN(G287,G$7)</f>
        <v/>
      </c>
      <c r="I287" s="152">
        <f>MAX(0,MIN(G287-H287,AQ287-(E287)))</f>
        <v/>
      </c>
      <c r="J287" s="152">
        <f>G287-H287-I287</f>
        <v/>
      </c>
      <c r="K287" s="152">
        <f>IF(N286&lt;=0.005,0,N286*(1+K$6))</f>
        <v/>
      </c>
      <c r="L287" s="152">
        <f>MIN(K287,K$7)</f>
        <v/>
      </c>
      <c r="M287" s="152">
        <f>MAX(0,MIN(K287-L287,AQ287-(E287+I287)))</f>
        <v/>
      </c>
      <c r="N287" s="152">
        <f>K287-L287-M287</f>
        <v/>
      </c>
      <c r="O287" s="152">
        <f>IF(R286&lt;=0.005,0,R286*(1+O$6))</f>
        <v/>
      </c>
      <c r="P287" s="152">
        <f>MIN(O287,O$7)</f>
        <v/>
      </c>
      <c r="Q287" s="152">
        <f>MAX(0,MIN(O287-P287,AQ287-(E287+I287+M287)))</f>
        <v/>
      </c>
      <c r="R287" s="152">
        <f>O287-P287-Q287</f>
        <v/>
      </c>
      <c r="S287" s="152">
        <f>IF(V286&lt;=0.005,0,V286*(1+S$6))</f>
        <v/>
      </c>
      <c r="T287" s="152">
        <f>MIN(S287,S$7)</f>
        <v/>
      </c>
      <c r="U287" s="152">
        <f>MAX(0,MIN(S287-T287,AQ287-(E287+I287+M287+Q287)))</f>
        <v/>
      </c>
      <c r="V287" s="152">
        <f>S287-T287-U287</f>
        <v/>
      </c>
      <c r="W287" s="152">
        <f>IF(Z286&lt;=0.005,0,Z286*(1+W$6))</f>
        <v/>
      </c>
      <c r="X287" s="152">
        <f>MIN(W287,W$7)</f>
        <v/>
      </c>
      <c r="Y287" s="152">
        <f>MAX(0,MIN(W287-X287,AQ287-(E287+I287+M287+Q287+U287)))</f>
        <v/>
      </c>
      <c r="Z287" s="152">
        <f>W287-X287-Y287</f>
        <v/>
      </c>
      <c r="AA287" s="152">
        <f>IF(AD286&lt;=0.005,0,AD286*(1+AA$6))</f>
        <v/>
      </c>
      <c r="AB287" s="152">
        <f>MIN(AA287,AA$7)</f>
        <v/>
      </c>
      <c r="AC287" s="152">
        <f>MAX(0,MIN(AA287-AB287,AQ287-(E287+I287+M287+Q287+U287+Y287)))</f>
        <v/>
      </c>
      <c r="AD287" s="152">
        <f>AA287-AB287-AC287</f>
        <v/>
      </c>
      <c r="AE287" s="152">
        <f>IF(AH286&lt;=0.005,0,AH286*(1+AE$6))</f>
        <v/>
      </c>
      <c r="AF287" s="152">
        <f>MIN(AE287,AE$7)</f>
        <v/>
      </c>
      <c r="AG287" s="152">
        <f>MAX(0,MIN(AE287-AF287,AQ287-(E287+I287+M287+Q287+U287+Y287+AC287)))</f>
        <v/>
      </c>
      <c r="AH287" s="152">
        <f>AE287-AF287-AG287</f>
        <v/>
      </c>
      <c r="AI287" s="152">
        <f>IF(AL286&lt;=0.005,0,AL286*(1+AI$6))</f>
        <v/>
      </c>
      <c r="AJ287" s="152">
        <f>MIN(AI287,AI$7)</f>
        <v/>
      </c>
      <c r="AK287" s="152">
        <f>MAX(0,MIN(AI287-AJ287,AQ287-(E287+I287+M287+Q287+U287+Y287+AC287+AG287)))</f>
        <v/>
      </c>
      <c r="AL287" s="152">
        <f>AI287-AJ287-AK287</f>
        <v/>
      </c>
      <c r="AM287" s="152">
        <f>IF(AP286&lt;=0.005,0,AP286*(1+AM$6))</f>
        <v/>
      </c>
      <c r="AN287" s="152">
        <f>MIN(AM287,AM$7)</f>
        <v/>
      </c>
      <c r="AO287" s="152">
        <f>MAX(0,MIN(AM287-AN287,AQ287-(E287+I287+M287+Q287+U287+Y287+AC287+AG287+AK287)))</f>
        <v/>
      </c>
      <c r="AP287" s="152">
        <f>AM287-AN287-AO287</f>
        <v/>
      </c>
      <c r="AQ287" s="152">
        <f>'Debt Payoff'!$C$8-SUM(D287,H287,L287,P287,T287,X287,AB287,AF287,AJ287,AN287)</f>
        <v/>
      </c>
      <c r="AR287" s="152">
        <f>SUM(D287,H287,L287,P287,T287,X287,AB287,AF287,AJ287,AN287)+SUM(E287,I287,M287,Q287,U287,Y287,AC287,AG287,AK287,AO287)</f>
        <v/>
      </c>
      <c r="AS287" s="152">
        <f>SUM(F287,J287,N287,R287,V287,Z287,AD287,AH287,AL287,AP287)</f>
        <v/>
      </c>
      <c r="AT287" s="152">
        <f>IF(B287&gt;AS$6,NA(),B287)</f>
        <v/>
      </c>
      <c r="AU287" s="152">
        <f>IF(B287&gt;AS$6,NA(),AS287)</f>
        <v/>
      </c>
      <c r="AV287" s="152" t="n"/>
      <c r="AW287" s="152" t="n">
        <v>276</v>
      </c>
      <c r="AX287" s="152">
        <f>IF(BA286&lt;=0.005,0,BA286*(1+AX$6))</f>
        <v/>
      </c>
      <c r="AY287" s="152">
        <f>MIN(AX287,AX$7)</f>
        <v/>
      </c>
      <c r="AZ287" s="152">
        <f>MAX(0,MIN(AX287-AY287,CL287))</f>
        <v/>
      </c>
      <c r="BA287" s="152">
        <f>AX287-AY287-AZ287</f>
        <v/>
      </c>
      <c r="BB287" s="152">
        <f>IF(BE286&lt;=0.005,0,BE286*(1+BB$6))</f>
        <v/>
      </c>
      <c r="BC287" s="152">
        <f>MIN(BB287,BB$7)</f>
        <v/>
      </c>
      <c r="BD287" s="152">
        <f>MAX(0,MIN(BB287-BC287,CL287-(AZ287)))</f>
        <v/>
      </c>
      <c r="BE287" s="152">
        <f>BB287-BC287-BD287</f>
        <v/>
      </c>
      <c r="BF287" s="152">
        <f>IF(BI286&lt;=0.005,0,BI286*(1+BF$6))</f>
        <v/>
      </c>
      <c r="BG287" s="152">
        <f>MIN(BF287,BF$7)</f>
        <v/>
      </c>
      <c r="BH287" s="152">
        <f>MAX(0,MIN(BF287-BG287,CL287-(AZ287+BD287)))</f>
        <v/>
      </c>
      <c r="BI287" s="152">
        <f>BF287-BG287-BH287</f>
        <v/>
      </c>
      <c r="BJ287" s="152">
        <f>IF(BM286&lt;=0.005,0,BM286*(1+BJ$6))</f>
        <v/>
      </c>
      <c r="BK287" s="152">
        <f>MIN(BJ287,BJ$7)</f>
        <v/>
      </c>
      <c r="BL287" s="152">
        <f>MAX(0,MIN(BJ287-BK287,CL287-(AZ287+BD287+BH287)))</f>
        <v/>
      </c>
      <c r="BM287" s="152">
        <f>BJ287-BK287-BL287</f>
        <v/>
      </c>
      <c r="BN287" s="152">
        <f>IF(BQ286&lt;=0.005,0,BQ286*(1+BN$6))</f>
        <v/>
      </c>
      <c r="BO287" s="152">
        <f>MIN(BN287,BN$7)</f>
        <v/>
      </c>
      <c r="BP287" s="152">
        <f>MAX(0,MIN(BN287-BO287,CL287-(AZ287+BD287+BH287+BL287)))</f>
        <v/>
      </c>
      <c r="BQ287" s="152">
        <f>BN287-BO287-BP287</f>
        <v/>
      </c>
      <c r="BR287" s="152">
        <f>IF(BU286&lt;=0.005,0,BU286*(1+BR$6))</f>
        <v/>
      </c>
      <c r="BS287" s="152">
        <f>MIN(BR287,BR$7)</f>
        <v/>
      </c>
      <c r="BT287" s="152">
        <f>MAX(0,MIN(BR287-BS287,CL287-(AZ287+BD287+BH287+BL287+BP287)))</f>
        <v/>
      </c>
      <c r="BU287" s="152">
        <f>BR287-BS287-BT287</f>
        <v/>
      </c>
      <c r="BV287" s="152">
        <f>IF(BY286&lt;=0.005,0,BY286*(1+BV$6))</f>
        <v/>
      </c>
      <c r="BW287" s="152">
        <f>MIN(BV287,BV$7)</f>
        <v/>
      </c>
      <c r="BX287" s="152">
        <f>MAX(0,MIN(BV287-BW287,CL287-(AZ287+BD287+BH287+BL287+BP287+BT287)))</f>
        <v/>
      </c>
      <c r="BY287" s="152">
        <f>BV287-BW287-BX287</f>
        <v/>
      </c>
      <c r="BZ287" s="152">
        <f>IF(CC286&lt;=0.005,0,CC286*(1+BZ$6))</f>
        <v/>
      </c>
      <c r="CA287" s="152">
        <f>MIN(BZ287,BZ$7)</f>
        <v/>
      </c>
      <c r="CB287" s="152">
        <f>MAX(0,MIN(BZ287-CA287,CL287-(AZ287+BD287+BH287+BL287+BP287+BT287+BX287)))</f>
        <v/>
      </c>
      <c r="CC287" s="152">
        <f>BZ287-CA287-CB287</f>
        <v/>
      </c>
      <c r="CD287" s="152">
        <f>IF(CG286&lt;=0.005,0,CG286*(1+CD$6))</f>
        <v/>
      </c>
      <c r="CE287" s="152">
        <f>MIN(CD287,CD$7)</f>
        <v/>
      </c>
      <c r="CF287" s="152">
        <f>MAX(0,MIN(CD287-CE287,CL287-(AZ287+BD287+BH287+BL287+BP287+BT287+BX287+CB287)))</f>
        <v/>
      </c>
      <c r="CG287" s="152">
        <f>CD287-CE287-CF287</f>
        <v/>
      </c>
      <c r="CH287" s="152">
        <f>IF(CK286&lt;=0.005,0,CK286*(1+CH$6))</f>
        <v/>
      </c>
      <c r="CI287" s="152">
        <f>MIN(CH287,CH$7)</f>
        <v/>
      </c>
      <c r="CJ287" s="152">
        <f>MAX(0,MIN(CH287-CI287,CL287-(AZ287+BD287+BH287+BL287+BP287+BT287+BX287+CB287+CF287)))</f>
        <v/>
      </c>
      <c r="CK287" s="152">
        <f>CH287-CI287-CJ287</f>
        <v/>
      </c>
      <c r="CL287" s="152">
        <f>'Debt Payoff'!$C$8-SUM(AY287,BC287,BG287,BK287,BO287,BS287,BW287,CA287,CE287,CI287)</f>
        <v/>
      </c>
      <c r="CM287" s="152">
        <f>SUM(AY287,BC287,BG287,BK287,BO287,BS287,BW287,CA287,CE287,CI287)+SUM(AZ287,BD287,BH287,BL287,BP287,BT287,BX287,CB287,CF287,CJ287)</f>
        <v/>
      </c>
      <c r="CN287" s="152">
        <f>SUM(BA287,BE287,BI287,BM287,BQ287,BU287,BY287,CC287,CG287,CK287)</f>
        <v/>
      </c>
      <c r="CO287" s="152">
        <f>IF(AW287&gt;CN$6,NA(),AW287)</f>
        <v/>
      </c>
      <c r="CP287" s="152">
        <f>IF(AW287&gt;CN$6,NA(),CN287)</f>
        <v/>
      </c>
    </row>
    <row r="288">
      <c r="B288" s="152" t="n">
        <v>277</v>
      </c>
      <c r="C288" s="152">
        <f>IF(F287&lt;=0.005,0,F287*(1+C$6))</f>
        <v/>
      </c>
      <c r="D288" s="152">
        <f>MIN(C288,C$7)</f>
        <v/>
      </c>
      <c r="E288" s="152">
        <f>MAX(0,MIN(C288-D288,AQ288))</f>
        <v/>
      </c>
      <c r="F288" s="152">
        <f>C288-D288-E288</f>
        <v/>
      </c>
      <c r="G288" s="152">
        <f>IF(J287&lt;=0.005,0,J287*(1+G$6))</f>
        <v/>
      </c>
      <c r="H288" s="152">
        <f>MIN(G288,G$7)</f>
        <v/>
      </c>
      <c r="I288" s="152">
        <f>MAX(0,MIN(G288-H288,AQ288-(E288)))</f>
        <v/>
      </c>
      <c r="J288" s="152">
        <f>G288-H288-I288</f>
        <v/>
      </c>
      <c r="K288" s="152">
        <f>IF(N287&lt;=0.005,0,N287*(1+K$6))</f>
        <v/>
      </c>
      <c r="L288" s="152">
        <f>MIN(K288,K$7)</f>
        <v/>
      </c>
      <c r="M288" s="152">
        <f>MAX(0,MIN(K288-L288,AQ288-(E288+I288)))</f>
        <v/>
      </c>
      <c r="N288" s="152">
        <f>K288-L288-M288</f>
        <v/>
      </c>
      <c r="O288" s="152">
        <f>IF(R287&lt;=0.005,0,R287*(1+O$6))</f>
        <v/>
      </c>
      <c r="P288" s="152">
        <f>MIN(O288,O$7)</f>
        <v/>
      </c>
      <c r="Q288" s="152">
        <f>MAX(0,MIN(O288-P288,AQ288-(E288+I288+M288)))</f>
        <v/>
      </c>
      <c r="R288" s="152">
        <f>O288-P288-Q288</f>
        <v/>
      </c>
      <c r="S288" s="152">
        <f>IF(V287&lt;=0.005,0,V287*(1+S$6))</f>
        <v/>
      </c>
      <c r="T288" s="152">
        <f>MIN(S288,S$7)</f>
        <v/>
      </c>
      <c r="U288" s="152">
        <f>MAX(0,MIN(S288-T288,AQ288-(E288+I288+M288+Q288)))</f>
        <v/>
      </c>
      <c r="V288" s="152">
        <f>S288-T288-U288</f>
        <v/>
      </c>
      <c r="W288" s="152">
        <f>IF(Z287&lt;=0.005,0,Z287*(1+W$6))</f>
        <v/>
      </c>
      <c r="X288" s="152">
        <f>MIN(W288,W$7)</f>
        <v/>
      </c>
      <c r="Y288" s="152">
        <f>MAX(0,MIN(W288-X288,AQ288-(E288+I288+M288+Q288+U288)))</f>
        <v/>
      </c>
      <c r="Z288" s="152">
        <f>W288-X288-Y288</f>
        <v/>
      </c>
      <c r="AA288" s="152">
        <f>IF(AD287&lt;=0.005,0,AD287*(1+AA$6))</f>
        <v/>
      </c>
      <c r="AB288" s="152">
        <f>MIN(AA288,AA$7)</f>
        <v/>
      </c>
      <c r="AC288" s="152">
        <f>MAX(0,MIN(AA288-AB288,AQ288-(E288+I288+M288+Q288+U288+Y288)))</f>
        <v/>
      </c>
      <c r="AD288" s="152">
        <f>AA288-AB288-AC288</f>
        <v/>
      </c>
      <c r="AE288" s="152">
        <f>IF(AH287&lt;=0.005,0,AH287*(1+AE$6))</f>
        <v/>
      </c>
      <c r="AF288" s="152">
        <f>MIN(AE288,AE$7)</f>
        <v/>
      </c>
      <c r="AG288" s="152">
        <f>MAX(0,MIN(AE288-AF288,AQ288-(E288+I288+M288+Q288+U288+Y288+AC288)))</f>
        <v/>
      </c>
      <c r="AH288" s="152">
        <f>AE288-AF288-AG288</f>
        <v/>
      </c>
      <c r="AI288" s="152">
        <f>IF(AL287&lt;=0.005,0,AL287*(1+AI$6))</f>
        <v/>
      </c>
      <c r="AJ288" s="152">
        <f>MIN(AI288,AI$7)</f>
        <v/>
      </c>
      <c r="AK288" s="152">
        <f>MAX(0,MIN(AI288-AJ288,AQ288-(E288+I288+M288+Q288+U288+Y288+AC288+AG288)))</f>
        <v/>
      </c>
      <c r="AL288" s="152">
        <f>AI288-AJ288-AK288</f>
        <v/>
      </c>
      <c r="AM288" s="152">
        <f>IF(AP287&lt;=0.005,0,AP287*(1+AM$6))</f>
        <v/>
      </c>
      <c r="AN288" s="152">
        <f>MIN(AM288,AM$7)</f>
        <v/>
      </c>
      <c r="AO288" s="152">
        <f>MAX(0,MIN(AM288-AN288,AQ288-(E288+I288+M288+Q288+U288+Y288+AC288+AG288+AK288)))</f>
        <v/>
      </c>
      <c r="AP288" s="152">
        <f>AM288-AN288-AO288</f>
        <v/>
      </c>
      <c r="AQ288" s="152">
        <f>'Debt Payoff'!$C$8-SUM(D288,H288,L288,P288,T288,X288,AB288,AF288,AJ288,AN288)</f>
        <v/>
      </c>
      <c r="AR288" s="152">
        <f>SUM(D288,H288,L288,P288,T288,X288,AB288,AF288,AJ288,AN288)+SUM(E288,I288,M288,Q288,U288,Y288,AC288,AG288,AK288,AO288)</f>
        <v/>
      </c>
      <c r="AS288" s="152">
        <f>SUM(F288,J288,N288,R288,V288,Z288,AD288,AH288,AL288,AP288)</f>
        <v/>
      </c>
      <c r="AT288" s="152">
        <f>IF(B288&gt;AS$6,NA(),B288)</f>
        <v/>
      </c>
      <c r="AU288" s="152">
        <f>IF(B288&gt;AS$6,NA(),AS288)</f>
        <v/>
      </c>
      <c r="AV288" s="152" t="n"/>
      <c r="AW288" s="152" t="n">
        <v>277</v>
      </c>
      <c r="AX288" s="152">
        <f>IF(BA287&lt;=0.005,0,BA287*(1+AX$6))</f>
        <v/>
      </c>
      <c r="AY288" s="152">
        <f>MIN(AX288,AX$7)</f>
        <v/>
      </c>
      <c r="AZ288" s="152">
        <f>MAX(0,MIN(AX288-AY288,CL288))</f>
        <v/>
      </c>
      <c r="BA288" s="152">
        <f>AX288-AY288-AZ288</f>
        <v/>
      </c>
      <c r="BB288" s="152">
        <f>IF(BE287&lt;=0.005,0,BE287*(1+BB$6))</f>
        <v/>
      </c>
      <c r="BC288" s="152">
        <f>MIN(BB288,BB$7)</f>
        <v/>
      </c>
      <c r="BD288" s="152">
        <f>MAX(0,MIN(BB288-BC288,CL288-(AZ288)))</f>
        <v/>
      </c>
      <c r="BE288" s="152">
        <f>BB288-BC288-BD288</f>
        <v/>
      </c>
      <c r="BF288" s="152">
        <f>IF(BI287&lt;=0.005,0,BI287*(1+BF$6))</f>
        <v/>
      </c>
      <c r="BG288" s="152">
        <f>MIN(BF288,BF$7)</f>
        <v/>
      </c>
      <c r="BH288" s="152">
        <f>MAX(0,MIN(BF288-BG288,CL288-(AZ288+BD288)))</f>
        <v/>
      </c>
      <c r="BI288" s="152">
        <f>BF288-BG288-BH288</f>
        <v/>
      </c>
      <c r="BJ288" s="152">
        <f>IF(BM287&lt;=0.005,0,BM287*(1+BJ$6))</f>
        <v/>
      </c>
      <c r="BK288" s="152">
        <f>MIN(BJ288,BJ$7)</f>
        <v/>
      </c>
      <c r="BL288" s="152">
        <f>MAX(0,MIN(BJ288-BK288,CL288-(AZ288+BD288+BH288)))</f>
        <v/>
      </c>
      <c r="BM288" s="152">
        <f>BJ288-BK288-BL288</f>
        <v/>
      </c>
      <c r="BN288" s="152">
        <f>IF(BQ287&lt;=0.005,0,BQ287*(1+BN$6))</f>
        <v/>
      </c>
      <c r="BO288" s="152">
        <f>MIN(BN288,BN$7)</f>
        <v/>
      </c>
      <c r="BP288" s="152">
        <f>MAX(0,MIN(BN288-BO288,CL288-(AZ288+BD288+BH288+BL288)))</f>
        <v/>
      </c>
      <c r="BQ288" s="152">
        <f>BN288-BO288-BP288</f>
        <v/>
      </c>
      <c r="BR288" s="152">
        <f>IF(BU287&lt;=0.005,0,BU287*(1+BR$6))</f>
        <v/>
      </c>
      <c r="BS288" s="152">
        <f>MIN(BR288,BR$7)</f>
        <v/>
      </c>
      <c r="BT288" s="152">
        <f>MAX(0,MIN(BR288-BS288,CL288-(AZ288+BD288+BH288+BL288+BP288)))</f>
        <v/>
      </c>
      <c r="BU288" s="152">
        <f>BR288-BS288-BT288</f>
        <v/>
      </c>
      <c r="BV288" s="152">
        <f>IF(BY287&lt;=0.005,0,BY287*(1+BV$6))</f>
        <v/>
      </c>
      <c r="BW288" s="152">
        <f>MIN(BV288,BV$7)</f>
        <v/>
      </c>
      <c r="BX288" s="152">
        <f>MAX(0,MIN(BV288-BW288,CL288-(AZ288+BD288+BH288+BL288+BP288+BT288)))</f>
        <v/>
      </c>
      <c r="BY288" s="152">
        <f>BV288-BW288-BX288</f>
        <v/>
      </c>
      <c r="BZ288" s="152">
        <f>IF(CC287&lt;=0.005,0,CC287*(1+BZ$6))</f>
        <v/>
      </c>
      <c r="CA288" s="152">
        <f>MIN(BZ288,BZ$7)</f>
        <v/>
      </c>
      <c r="CB288" s="152">
        <f>MAX(0,MIN(BZ288-CA288,CL288-(AZ288+BD288+BH288+BL288+BP288+BT288+BX288)))</f>
        <v/>
      </c>
      <c r="CC288" s="152">
        <f>BZ288-CA288-CB288</f>
        <v/>
      </c>
      <c r="CD288" s="152">
        <f>IF(CG287&lt;=0.005,0,CG287*(1+CD$6))</f>
        <v/>
      </c>
      <c r="CE288" s="152">
        <f>MIN(CD288,CD$7)</f>
        <v/>
      </c>
      <c r="CF288" s="152">
        <f>MAX(0,MIN(CD288-CE288,CL288-(AZ288+BD288+BH288+BL288+BP288+BT288+BX288+CB288)))</f>
        <v/>
      </c>
      <c r="CG288" s="152">
        <f>CD288-CE288-CF288</f>
        <v/>
      </c>
      <c r="CH288" s="152">
        <f>IF(CK287&lt;=0.005,0,CK287*(1+CH$6))</f>
        <v/>
      </c>
      <c r="CI288" s="152">
        <f>MIN(CH288,CH$7)</f>
        <v/>
      </c>
      <c r="CJ288" s="152">
        <f>MAX(0,MIN(CH288-CI288,CL288-(AZ288+BD288+BH288+BL288+BP288+BT288+BX288+CB288+CF288)))</f>
        <v/>
      </c>
      <c r="CK288" s="152">
        <f>CH288-CI288-CJ288</f>
        <v/>
      </c>
      <c r="CL288" s="152">
        <f>'Debt Payoff'!$C$8-SUM(AY288,BC288,BG288,BK288,BO288,BS288,BW288,CA288,CE288,CI288)</f>
        <v/>
      </c>
      <c r="CM288" s="152">
        <f>SUM(AY288,BC288,BG288,BK288,BO288,BS288,BW288,CA288,CE288,CI288)+SUM(AZ288,BD288,BH288,BL288,BP288,BT288,BX288,CB288,CF288,CJ288)</f>
        <v/>
      </c>
      <c r="CN288" s="152">
        <f>SUM(BA288,BE288,BI288,BM288,BQ288,BU288,BY288,CC288,CG288,CK288)</f>
        <v/>
      </c>
      <c r="CO288" s="152">
        <f>IF(AW288&gt;CN$6,NA(),AW288)</f>
        <v/>
      </c>
      <c r="CP288" s="152">
        <f>IF(AW288&gt;CN$6,NA(),CN288)</f>
        <v/>
      </c>
    </row>
    <row r="289">
      <c r="B289" s="152" t="n">
        <v>278</v>
      </c>
      <c r="C289" s="152">
        <f>IF(F288&lt;=0.005,0,F288*(1+C$6))</f>
        <v/>
      </c>
      <c r="D289" s="152">
        <f>MIN(C289,C$7)</f>
        <v/>
      </c>
      <c r="E289" s="152">
        <f>MAX(0,MIN(C289-D289,AQ289))</f>
        <v/>
      </c>
      <c r="F289" s="152">
        <f>C289-D289-E289</f>
        <v/>
      </c>
      <c r="G289" s="152">
        <f>IF(J288&lt;=0.005,0,J288*(1+G$6))</f>
        <v/>
      </c>
      <c r="H289" s="152">
        <f>MIN(G289,G$7)</f>
        <v/>
      </c>
      <c r="I289" s="152">
        <f>MAX(0,MIN(G289-H289,AQ289-(E289)))</f>
        <v/>
      </c>
      <c r="J289" s="152">
        <f>G289-H289-I289</f>
        <v/>
      </c>
      <c r="K289" s="152">
        <f>IF(N288&lt;=0.005,0,N288*(1+K$6))</f>
        <v/>
      </c>
      <c r="L289" s="152">
        <f>MIN(K289,K$7)</f>
        <v/>
      </c>
      <c r="M289" s="152">
        <f>MAX(0,MIN(K289-L289,AQ289-(E289+I289)))</f>
        <v/>
      </c>
      <c r="N289" s="152">
        <f>K289-L289-M289</f>
        <v/>
      </c>
      <c r="O289" s="152">
        <f>IF(R288&lt;=0.005,0,R288*(1+O$6))</f>
        <v/>
      </c>
      <c r="P289" s="152">
        <f>MIN(O289,O$7)</f>
        <v/>
      </c>
      <c r="Q289" s="152">
        <f>MAX(0,MIN(O289-P289,AQ289-(E289+I289+M289)))</f>
        <v/>
      </c>
      <c r="R289" s="152">
        <f>O289-P289-Q289</f>
        <v/>
      </c>
      <c r="S289" s="152">
        <f>IF(V288&lt;=0.005,0,V288*(1+S$6))</f>
        <v/>
      </c>
      <c r="T289" s="152">
        <f>MIN(S289,S$7)</f>
        <v/>
      </c>
      <c r="U289" s="152">
        <f>MAX(0,MIN(S289-T289,AQ289-(E289+I289+M289+Q289)))</f>
        <v/>
      </c>
      <c r="V289" s="152">
        <f>S289-T289-U289</f>
        <v/>
      </c>
      <c r="W289" s="152">
        <f>IF(Z288&lt;=0.005,0,Z288*(1+W$6))</f>
        <v/>
      </c>
      <c r="X289" s="152">
        <f>MIN(W289,W$7)</f>
        <v/>
      </c>
      <c r="Y289" s="152">
        <f>MAX(0,MIN(W289-X289,AQ289-(E289+I289+M289+Q289+U289)))</f>
        <v/>
      </c>
      <c r="Z289" s="152">
        <f>W289-X289-Y289</f>
        <v/>
      </c>
      <c r="AA289" s="152">
        <f>IF(AD288&lt;=0.005,0,AD288*(1+AA$6))</f>
        <v/>
      </c>
      <c r="AB289" s="152">
        <f>MIN(AA289,AA$7)</f>
        <v/>
      </c>
      <c r="AC289" s="152">
        <f>MAX(0,MIN(AA289-AB289,AQ289-(E289+I289+M289+Q289+U289+Y289)))</f>
        <v/>
      </c>
      <c r="AD289" s="152">
        <f>AA289-AB289-AC289</f>
        <v/>
      </c>
      <c r="AE289" s="152">
        <f>IF(AH288&lt;=0.005,0,AH288*(1+AE$6))</f>
        <v/>
      </c>
      <c r="AF289" s="152">
        <f>MIN(AE289,AE$7)</f>
        <v/>
      </c>
      <c r="AG289" s="152">
        <f>MAX(0,MIN(AE289-AF289,AQ289-(E289+I289+M289+Q289+U289+Y289+AC289)))</f>
        <v/>
      </c>
      <c r="AH289" s="152">
        <f>AE289-AF289-AG289</f>
        <v/>
      </c>
      <c r="AI289" s="152">
        <f>IF(AL288&lt;=0.005,0,AL288*(1+AI$6))</f>
        <v/>
      </c>
      <c r="AJ289" s="152">
        <f>MIN(AI289,AI$7)</f>
        <v/>
      </c>
      <c r="AK289" s="152">
        <f>MAX(0,MIN(AI289-AJ289,AQ289-(E289+I289+M289+Q289+U289+Y289+AC289+AG289)))</f>
        <v/>
      </c>
      <c r="AL289" s="152">
        <f>AI289-AJ289-AK289</f>
        <v/>
      </c>
      <c r="AM289" s="152">
        <f>IF(AP288&lt;=0.005,0,AP288*(1+AM$6))</f>
        <v/>
      </c>
      <c r="AN289" s="152">
        <f>MIN(AM289,AM$7)</f>
        <v/>
      </c>
      <c r="AO289" s="152">
        <f>MAX(0,MIN(AM289-AN289,AQ289-(E289+I289+M289+Q289+U289+Y289+AC289+AG289+AK289)))</f>
        <v/>
      </c>
      <c r="AP289" s="152">
        <f>AM289-AN289-AO289</f>
        <v/>
      </c>
      <c r="AQ289" s="152">
        <f>'Debt Payoff'!$C$8-SUM(D289,H289,L289,P289,T289,X289,AB289,AF289,AJ289,AN289)</f>
        <v/>
      </c>
      <c r="AR289" s="152">
        <f>SUM(D289,H289,L289,P289,T289,X289,AB289,AF289,AJ289,AN289)+SUM(E289,I289,M289,Q289,U289,Y289,AC289,AG289,AK289,AO289)</f>
        <v/>
      </c>
      <c r="AS289" s="152">
        <f>SUM(F289,J289,N289,R289,V289,Z289,AD289,AH289,AL289,AP289)</f>
        <v/>
      </c>
      <c r="AT289" s="152">
        <f>IF(B289&gt;AS$6,NA(),B289)</f>
        <v/>
      </c>
      <c r="AU289" s="152">
        <f>IF(B289&gt;AS$6,NA(),AS289)</f>
        <v/>
      </c>
      <c r="AV289" s="152" t="n"/>
      <c r="AW289" s="152" t="n">
        <v>278</v>
      </c>
      <c r="AX289" s="152">
        <f>IF(BA288&lt;=0.005,0,BA288*(1+AX$6))</f>
        <v/>
      </c>
      <c r="AY289" s="152">
        <f>MIN(AX289,AX$7)</f>
        <v/>
      </c>
      <c r="AZ289" s="152">
        <f>MAX(0,MIN(AX289-AY289,CL289))</f>
        <v/>
      </c>
      <c r="BA289" s="152">
        <f>AX289-AY289-AZ289</f>
        <v/>
      </c>
      <c r="BB289" s="152">
        <f>IF(BE288&lt;=0.005,0,BE288*(1+BB$6))</f>
        <v/>
      </c>
      <c r="BC289" s="152">
        <f>MIN(BB289,BB$7)</f>
        <v/>
      </c>
      <c r="BD289" s="152">
        <f>MAX(0,MIN(BB289-BC289,CL289-(AZ289)))</f>
        <v/>
      </c>
      <c r="BE289" s="152">
        <f>BB289-BC289-BD289</f>
        <v/>
      </c>
      <c r="BF289" s="152">
        <f>IF(BI288&lt;=0.005,0,BI288*(1+BF$6))</f>
        <v/>
      </c>
      <c r="BG289" s="152">
        <f>MIN(BF289,BF$7)</f>
        <v/>
      </c>
      <c r="BH289" s="152">
        <f>MAX(0,MIN(BF289-BG289,CL289-(AZ289+BD289)))</f>
        <v/>
      </c>
      <c r="BI289" s="152">
        <f>BF289-BG289-BH289</f>
        <v/>
      </c>
      <c r="BJ289" s="152">
        <f>IF(BM288&lt;=0.005,0,BM288*(1+BJ$6))</f>
        <v/>
      </c>
      <c r="BK289" s="152">
        <f>MIN(BJ289,BJ$7)</f>
        <v/>
      </c>
      <c r="BL289" s="152">
        <f>MAX(0,MIN(BJ289-BK289,CL289-(AZ289+BD289+BH289)))</f>
        <v/>
      </c>
      <c r="BM289" s="152">
        <f>BJ289-BK289-BL289</f>
        <v/>
      </c>
      <c r="BN289" s="152">
        <f>IF(BQ288&lt;=0.005,0,BQ288*(1+BN$6))</f>
        <v/>
      </c>
      <c r="BO289" s="152">
        <f>MIN(BN289,BN$7)</f>
        <v/>
      </c>
      <c r="BP289" s="152">
        <f>MAX(0,MIN(BN289-BO289,CL289-(AZ289+BD289+BH289+BL289)))</f>
        <v/>
      </c>
      <c r="BQ289" s="152">
        <f>BN289-BO289-BP289</f>
        <v/>
      </c>
      <c r="BR289" s="152">
        <f>IF(BU288&lt;=0.005,0,BU288*(1+BR$6))</f>
        <v/>
      </c>
      <c r="BS289" s="152">
        <f>MIN(BR289,BR$7)</f>
        <v/>
      </c>
      <c r="BT289" s="152">
        <f>MAX(0,MIN(BR289-BS289,CL289-(AZ289+BD289+BH289+BL289+BP289)))</f>
        <v/>
      </c>
      <c r="BU289" s="152">
        <f>BR289-BS289-BT289</f>
        <v/>
      </c>
      <c r="BV289" s="152">
        <f>IF(BY288&lt;=0.005,0,BY288*(1+BV$6))</f>
        <v/>
      </c>
      <c r="BW289" s="152">
        <f>MIN(BV289,BV$7)</f>
        <v/>
      </c>
      <c r="BX289" s="152">
        <f>MAX(0,MIN(BV289-BW289,CL289-(AZ289+BD289+BH289+BL289+BP289+BT289)))</f>
        <v/>
      </c>
      <c r="BY289" s="152">
        <f>BV289-BW289-BX289</f>
        <v/>
      </c>
      <c r="BZ289" s="152">
        <f>IF(CC288&lt;=0.005,0,CC288*(1+BZ$6))</f>
        <v/>
      </c>
      <c r="CA289" s="152">
        <f>MIN(BZ289,BZ$7)</f>
        <v/>
      </c>
      <c r="CB289" s="152">
        <f>MAX(0,MIN(BZ289-CA289,CL289-(AZ289+BD289+BH289+BL289+BP289+BT289+BX289)))</f>
        <v/>
      </c>
      <c r="CC289" s="152">
        <f>BZ289-CA289-CB289</f>
        <v/>
      </c>
      <c r="CD289" s="152">
        <f>IF(CG288&lt;=0.005,0,CG288*(1+CD$6))</f>
        <v/>
      </c>
      <c r="CE289" s="152">
        <f>MIN(CD289,CD$7)</f>
        <v/>
      </c>
      <c r="CF289" s="152">
        <f>MAX(0,MIN(CD289-CE289,CL289-(AZ289+BD289+BH289+BL289+BP289+BT289+BX289+CB289)))</f>
        <v/>
      </c>
      <c r="CG289" s="152">
        <f>CD289-CE289-CF289</f>
        <v/>
      </c>
      <c r="CH289" s="152">
        <f>IF(CK288&lt;=0.005,0,CK288*(1+CH$6))</f>
        <v/>
      </c>
      <c r="CI289" s="152">
        <f>MIN(CH289,CH$7)</f>
        <v/>
      </c>
      <c r="CJ289" s="152">
        <f>MAX(0,MIN(CH289-CI289,CL289-(AZ289+BD289+BH289+BL289+BP289+BT289+BX289+CB289+CF289)))</f>
        <v/>
      </c>
      <c r="CK289" s="152">
        <f>CH289-CI289-CJ289</f>
        <v/>
      </c>
      <c r="CL289" s="152">
        <f>'Debt Payoff'!$C$8-SUM(AY289,BC289,BG289,BK289,BO289,BS289,BW289,CA289,CE289,CI289)</f>
        <v/>
      </c>
      <c r="CM289" s="152">
        <f>SUM(AY289,BC289,BG289,BK289,BO289,BS289,BW289,CA289,CE289,CI289)+SUM(AZ289,BD289,BH289,BL289,BP289,BT289,BX289,CB289,CF289,CJ289)</f>
        <v/>
      </c>
      <c r="CN289" s="152">
        <f>SUM(BA289,BE289,BI289,BM289,BQ289,BU289,BY289,CC289,CG289,CK289)</f>
        <v/>
      </c>
      <c r="CO289" s="152">
        <f>IF(AW289&gt;CN$6,NA(),AW289)</f>
        <v/>
      </c>
      <c r="CP289" s="152">
        <f>IF(AW289&gt;CN$6,NA(),CN289)</f>
        <v/>
      </c>
    </row>
    <row r="290">
      <c r="B290" s="152" t="n">
        <v>279</v>
      </c>
      <c r="C290" s="152">
        <f>IF(F289&lt;=0.005,0,F289*(1+C$6))</f>
        <v/>
      </c>
      <c r="D290" s="152">
        <f>MIN(C290,C$7)</f>
        <v/>
      </c>
      <c r="E290" s="152">
        <f>MAX(0,MIN(C290-D290,AQ290))</f>
        <v/>
      </c>
      <c r="F290" s="152">
        <f>C290-D290-E290</f>
        <v/>
      </c>
      <c r="G290" s="152">
        <f>IF(J289&lt;=0.005,0,J289*(1+G$6))</f>
        <v/>
      </c>
      <c r="H290" s="152">
        <f>MIN(G290,G$7)</f>
        <v/>
      </c>
      <c r="I290" s="152">
        <f>MAX(0,MIN(G290-H290,AQ290-(E290)))</f>
        <v/>
      </c>
      <c r="J290" s="152">
        <f>G290-H290-I290</f>
        <v/>
      </c>
      <c r="K290" s="152">
        <f>IF(N289&lt;=0.005,0,N289*(1+K$6))</f>
        <v/>
      </c>
      <c r="L290" s="152">
        <f>MIN(K290,K$7)</f>
        <v/>
      </c>
      <c r="M290" s="152">
        <f>MAX(0,MIN(K290-L290,AQ290-(E290+I290)))</f>
        <v/>
      </c>
      <c r="N290" s="152">
        <f>K290-L290-M290</f>
        <v/>
      </c>
      <c r="O290" s="152">
        <f>IF(R289&lt;=0.005,0,R289*(1+O$6))</f>
        <v/>
      </c>
      <c r="P290" s="152">
        <f>MIN(O290,O$7)</f>
        <v/>
      </c>
      <c r="Q290" s="152">
        <f>MAX(0,MIN(O290-P290,AQ290-(E290+I290+M290)))</f>
        <v/>
      </c>
      <c r="R290" s="152">
        <f>O290-P290-Q290</f>
        <v/>
      </c>
      <c r="S290" s="152">
        <f>IF(V289&lt;=0.005,0,V289*(1+S$6))</f>
        <v/>
      </c>
      <c r="T290" s="152">
        <f>MIN(S290,S$7)</f>
        <v/>
      </c>
      <c r="U290" s="152">
        <f>MAX(0,MIN(S290-T290,AQ290-(E290+I290+M290+Q290)))</f>
        <v/>
      </c>
      <c r="V290" s="152">
        <f>S290-T290-U290</f>
        <v/>
      </c>
      <c r="W290" s="152">
        <f>IF(Z289&lt;=0.005,0,Z289*(1+W$6))</f>
        <v/>
      </c>
      <c r="X290" s="152">
        <f>MIN(W290,W$7)</f>
        <v/>
      </c>
      <c r="Y290" s="152">
        <f>MAX(0,MIN(W290-X290,AQ290-(E290+I290+M290+Q290+U290)))</f>
        <v/>
      </c>
      <c r="Z290" s="152">
        <f>W290-X290-Y290</f>
        <v/>
      </c>
      <c r="AA290" s="152">
        <f>IF(AD289&lt;=0.005,0,AD289*(1+AA$6))</f>
        <v/>
      </c>
      <c r="AB290" s="152">
        <f>MIN(AA290,AA$7)</f>
        <v/>
      </c>
      <c r="AC290" s="152">
        <f>MAX(0,MIN(AA290-AB290,AQ290-(E290+I290+M290+Q290+U290+Y290)))</f>
        <v/>
      </c>
      <c r="AD290" s="152">
        <f>AA290-AB290-AC290</f>
        <v/>
      </c>
      <c r="AE290" s="152">
        <f>IF(AH289&lt;=0.005,0,AH289*(1+AE$6))</f>
        <v/>
      </c>
      <c r="AF290" s="152">
        <f>MIN(AE290,AE$7)</f>
        <v/>
      </c>
      <c r="AG290" s="152">
        <f>MAX(0,MIN(AE290-AF290,AQ290-(E290+I290+M290+Q290+U290+Y290+AC290)))</f>
        <v/>
      </c>
      <c r="AH290" s="152">
        <f>AE290-AF290-AG290</f>
        <v/>
      </c>
      <c r="AI290" s="152">
        <f>IF(AL289&lt;=0.005,0,AL289*(1+AI$6))</f>
        <v/>
      </c>
      <c r="AJ290" s="152">
        <f>MIN(AI290,AI$7)</f>
        <v/>
      </c>
      <c r="AK290" s="152">
        <f>MAX(0,MIN(AI290-AJ290,AQ290-(E290+I290+M290+Q290+U290+Y290+AC290+AG290)))</f>
        <v/>
      </c>
      <c r="AL290" s="152">
        <f>AI290-AJ290-AK290</f>
        <v/>
      </c>
      <c r="AM290" s="152">
        <f>IF(AP289&lt;=0.005,0,AP289*(1+AM$6))</f>
        <v/>
      </c>
      <c r="AN290" s="152">
        <f>MIN(AM290,AM$7)</f>
        <v/>
      </c>
      <c r="AO290" s="152">
        <f>MAX(0,MIN(AM290-AN290,AQ290-(E290+I290+M290+Q290+U290+Y290+AC290+AG290+AK290)))</f>
        <v/>
      </c>
      <c r="AP290" s="152">
        <f>AM290-AN290-AO290</f>
        <v/>
      </c>
      <c r="AQ290" s="152">
        <f>'Debt Payoff'!$C$8-SUM(D290,H290,L290,P290,T290,X290,AB290,AF290,AJ290,AN290)</f>
        <v/>
      </c>
      <c r="AR290" s="152">
        <f>SUM(D290,H290,L290,P290,T290,X290,AB290,AF290,AJ290,AN290)+SUM(E290,I290,M290,Q290,U290,Y290,AC290,AG290,AK290,AO290)</f>
        <v/>
      </c>
      <c r="AS290" s="152">
        <f>SUM(F290,J290,N290,R290,V290,Z290,AD290,AH290,AL290,AP290)</f>
        <v/>
      </c>
      <c r="AT290" s="152">
        <f>IF(B290&gt;AS$6,NA(),B290)</f>
        <v/>
      </c>
      <c r="AU290" s="152">
        <f>IF(B290&gt;AS$6,NA(),AS290)</f>
        <v/>
      </c>
      <c r="AV290" s="152" t="n"/>
      <c r="AW290" s="152" t="n">
        <v>279</v>
      </c>
      <c r="AX290" s="152">
        <f>IF(BA289&lt;=0.005,0,BA289*(1+AX$6))</f>
        <v/>
      </c>
      <c r="AY290" s="152">
        <f>MIN(AX290,AX$7)</f>
        <v/>
      </c>
      <c r="AZ290" s="152">
        <f>MAX(0,MIN(AX290-AY290,CL290))</f>
        <v/>
      </c>
      <c r="BA290" s="152">
        <f>AX290-AY290-AZ290</f>
        <v/>
      </c>
      <c r="BB290" s="152">
        <f>IF(BE289&lt;=0.005,0,BE289*(1+BB$6))</f>
        <v/>
      </c>
      <c r="BC290" s="152">
        <f>MIN(BB290,BB$7)</f>
        <v/>
      </c>
      <c r="BD290" s="152">
        <f>MAX(0,MIN(BB290-BC290,CL290-(AZ290)))</f>
        <v/>
      </c>
      <c r="BE290" s="152">
        <f>BB290-BC290-BD290</f>
        <v/>
      </c>
      <c r="BF290" s="152">
        <f>IF(BI289&lt;=0.005,0,BI289*(1+BF$6))</f>
        <v/>
      </c>
      <c r="BG290" s="152">
        <f>MIN(BF290,BF$7)</f>
        <v/>
      </c>
      <c r="BH290" s="152">
        <f>MAX(0,MIN(BF290-BG290,CL290-(AZ290+BD290)))</f>
        <v/>
      </c>
      <c r="BI290" s="152">
        <f>BF290-BG290-BH290</f>
        <v/>
      </c>
      <c r="BJ290" s="152">
        <f>IF(BM289&lt;=0.005,0,BM289*(1+BJ$6))</f>
        <v/>
      </c>
      <c r="BK290" s="152">
        <f>MIN(BJ290,BJ$7)</f>
        <v/>
      </c>
      <c r="BL290" s="152">
        <f>MAX(0,MIN(BJ290-BK290,CL290-(AZ290+BD290+BH290)))</f>
        <v/>
      </c>
      <c r="BM290" s="152">
        <f>BJ290-BK290-BL290</f>
        <v/>
      </c>
      <c r="BN290" s="152">
        <f>IF(BQ289&lt;=0.005,0,BQ289*(1+BN$6))</f>
        <v/>
      </c>
      <c r="BO290" s="152">
        <f>MIN(BN290,BN$7)</f>
        <v/>
      </c>
      <c r="BP290" s="152">
        <f>MAX(0,MIN(BN290-BO290,CL290-(AZ290+BD290+BH290+BL290)))</f>
        <v/>
      </c>
      <c r="BQ290" s="152">
        <f>BN290-BO290-BP290</f>
        <v/>
      </c>
      <c r="BR290" s="152">
        <f>IF(BU289&lt;=0.005,0,BU289*(1+BR$6))</f>
        <v/>
      </c>
      <c r="BS290" s="152">
        <f>MIN(BR290,BR$7)</f>
        <v/>
      </c>
      <c r="BT290" s="152">
        <f>MAX(0,MIN(BR290-BS290,CL290-(AZ290+BD290+BH290+BL290+BP290)))</f>
        <v/>
      </c>
      <c r="BU290" s="152">
        <f>BR290-BS290-BT290</f>
        <v/>
      </c>
      <c r="BV290" s="152">
        <f>IF(BY289&lt;=0.005,0,BY289*(1+BV$6))</f>
        <v/>
      </c>
      <c r="BW290" s="152">
        <f>MIN(BV290,BV$7)</f>
        <v/>
      </c>
      <c r="BX290" s="152">
        <f>MAX(0,MIN(BV290-BW290,CL290-(AZ290+BD290+BH290+BL290+BP290+BT290)))</f>
        <v/>
      </c>
      <c r="BY290" s="152">
        <f>BV290-BW290-BX290</f>
        <v/>
      </c>
      <c r="BZ290" s="152">
        <f>IF(CC289&lt;=0.005,0,CC289*(1+BZ$6))</f>
        <v/>
      </c>
      <c r="CA290" s="152">
        <f>MIN(BZ290,BZ$7)</f>
        <v/>
      </c>
      <c r="CB290" s="152">
        <f>MAX(0,MIN(BZ290-CA290,CL290-(AZ290+BD290+BH290+BL290+BP290+BT290+BX290)))</f>
        <v/>
      </c>
      <c r="CC290" s="152">
        <f>BZ290-CA290-CB290</f>
        <v/>
      </c>
      <c r="CD290" s="152">
        <f>IF(CG289&lt;=0.005,0,CG289*(1+CD$6))</f>
        <v/>
      </c>
      <c r="CE290" s="152">
        <f>MIN(CD290,CD$7)</f>
        <v/>
      </c>
      <c r="CF290" s="152">
        <f>MAX(0,MIN(CD290-CE290,CL290-(AZ290+BD290+BH290+BL290+BP290+BT290+BX290+CB290)))</f>
        <v/>
      </c>
      <c r="CG290" s="152">
        <f>CD290-CE290-CF290</f>
        <v/>
      </c>
      <c r="CH290" s="152">
        <f>IF(CK289&lt;=0.005,0,CK289*(1+CH$6))</f>
        <v/>
      </c>
      <c r="CI290" s="152">
        <f>MIN(CH290,CH$7)</f>
        <v/>
      </c>
      <c r="CJ290" s="152">
        <f>MAX(0,MIN(CH290-CI290,CL290-(AZ290+BD290+BH290+BL290+BP290+BT290+BX290+CB290+CF290)))</f>
        <v/>
      </c>
      <c r="CK290" s="152">
        <f>CH290-CI290-CJ290</f>
        <v/>
      </c>
      <c r="CL290" s="152">
        <f>'Debt Payoff'!$C$8-SUM(AY290,BC290,BG290,BK290,BO290,BS290,BW290,CA290,CE290,CI290)</f>
        <v/>
      </c>
      <c r="CM290" s="152">
        <f>SUM(AY290,BC290,BG290,BK290,BO290,BS290,BW290,CA290,CE290,CI290)+SUM(AZ290,BD290,BH290,BL290,BP290,BT290,BX290,CB290,CF290,CJ290)</f>
        <v/>
      </c>
      <c r="CN290" s="152">
        <f>SUM(BA290,BE290,BI290,BM290,BQ290,BU290,BY290,CC290,CG290,CK290)</f>
        <v/>
      </c>
      <c r="CO290" s="152">
        <f>IF(AW290&gt;CN$6,NA(),AW290)</f>
        <v/>
      </c>
      <c r="CP290" s="152">
        <f>IF(AW290&gt;CN$6,NA(),CN290)</f>
        <v/>
      </c>
    </row>
    <row r="291">
      <c r="B291" s="152" t="n">
        <v>280</v>
      </c>
      <c r="C291" s="152">
        <f>IF(F290&lt;=0.005,0,F290*(1+C$6))</f>
        <v/>
      </c>
      <c r="D291" s="152">
        <f>MIN(C291,C$7)</f>
        <v/>
      </c>
      <c r="E291" s="152">
        <f>MAX(0,MIN(C291-D291,AQ291))</f>
        <v/>
      </c>
      <c r="F291" s="152">
        <f>C291-D291-E291</f>
        <v/>
      </c>
      <c r="G291" s="152">
        <f>IF(J290&lt;=0.005,0,J290*(1+G$6))</f>
        <v/>
      </c>
      <c r="H291" s="152">
        <f>MIN(G291,G$7)</f>
        <v/>
      </c>
      <c r="I291" s="152">
        <f>MAX(0,MIN(G291-H291,AQ291-(E291)))</f>
        <v/>
      </c>
      <c r="J291" s="152">
        <f>G291-H291-I291</f>
        <v/>
      </c>
      <c r="K291" s="152">
        <f>IF(N290&lt;=0.005,0,N290*(1+K$6))</f>
        <v/>
      </c>
      <c r="L291" s="152">
        <f>MIN(K291,K$7)</f>
        <v/>
      </c>
      <c r="M291" s="152">
        <f>MAX(0,MIN(K291-L291,AQ291-(E291+I291)))</f>
        <v/>
      </c>
      <c r="N291" s="152">
        <f>K291-L291-M291</f>
        <v/>
      </c>
      <c r="O291" s="152">
        <f>IF(R290&lt;=0.005,0,R290*(1+O$6))</f>
        <v/>
      </c>
      <c r="P291" s="152">
        <f>MIN(O291,O$7)</f>
        <v/>
      </c>
      <c r="Q291" s="152">
        <f>MAX(0,MIN(O291-P291,AQ291-(E291+I291+M291)))</f>
        <v/>
      </c>
      <c r="R291" s="152">
        <f>O291-P291-Q291</f>
        <v/>
      </c>
      <c r="S291" s="152">
        <f>IF(V290&lt;=0.005,0,V290*(1+S$6))</f>
        <v/>
      </c>
      <c r="T291" s="152">
        <f>MIN(S291,S$7)</f>
        <v/>
      </c>
      <c r="U291" s="152">
        <f>MAX(0,MIN(S291-T291,AQ291-(E291+I291+M291+Q291)))</f>
        <v/>
      </c>
      <c r="V291" s="152">
        <f>S291-T291-U291</f>
        <v/>
      </c>
      <c r="W291" s="152">
        <f>IF(Z290&lt;=0.005,0,Z290*(1+W$6))</f>
        <v/>
      </c>
      <c r="X291" s="152">
        <f>MIN(W291,W$7)</f>
        <v/>
      </c>
      <c r="Y291" s="152">
        <f>MAX(0,MIN(W291-X291,AQ291-(E291+I291+M291+Q291+U291)))</f>
        <v/>
      </c>
      <c r="Z291" s="152">
        <f>W291-X291-Y291</f>
        <v/>
      </c>
      <c r="AA291" s="152">
        <f>IF(AD290&lt;=0.005,0,AD290*(1+AA$6))</f>
        <v/>
      </c>
      <c r="AB291" s="152">
        <f>MIN(AA291,AA$7)</f>
        <v/>
      </c>
      <c r="AC291" s="152">
        <f>MAX(0,MIN(AA291-AB291,AQ291-(E291+I291+M291+Q291+U291+Y291)))</f>
        <v/>
      </c>
      <c r="AD291" s="152">
        <f>AA291-AB291-AC291</f>
        <v/>
      </c>
      <c r="AE291" s="152">
        <f>IF(AH290&lt;=0.005,0,AH290*(1+AE$6))</f>
        <v/>
      </c>
      <c r="AF291" s="152">
        <f>MIN(AE291,AE$7)</f>
        <v/>
      </c>
      <c r="AG291" s="152">
        <f>MAX(0,MIN(AE291-AF291,AQ291-(E291+I291+M291+Q291+U291+Y291+AC291)))</f>
        <v/>
      </c>
      <c r="AH291" s="152">
        <f>AE291-AF291-AG291</f>
        <v/>
      </c>
      <c r="AI291" s="152">
        <f>IF(AL290&lt;=0.005,0,AL290*(1+AI$6))</f>
        <v/>
      </c>
      <c r="AJ291" s="152">
        <f>MIN(AI291,AI$7)</f>
        <v/>
      </c>
      <c r="AK291" s="152">
        <f>MAX(0,MIN(AI291-AJ291,AQ291-(E291+I291+M291+Q291+U291+Y291+AC291+AG291)))</f>
        <v/>
      </c>
      <c r="AL291" s="152">
        <f>AI291-AJ291-AK291</f>
        <v/>
      </c>
      <c r="AM291" s="152">
        <f>IF(AP290&lt;=0.005,0,AP290*(1+AM$6))</f>
        <v/>
      </c>
      <c r="AN291" s="152">
        <f>MIN(AM291,AM$7)</f>
        <v/>
      </c>
      <c r="AO291" s="152">
        <f>MAX(0,MIN(AM291-AN291,AQ291-(E291+I291+M291+Q291+U291+Y291+AC291+AG291+AK291)))</f>
        <v/>
      </c>
      <c r="AP291" s="152">
        <f>AM291-AN291-AO291</f>
        <v/>
      </c>
      <c r="AQ291" s="152">
        <f>'Debt Payoff'!$C$8-SUM(D291,H291,L291,P291,T291,X291,AB291,AF291,AJ291,AN291)</f>
        <v/>
      </c>
      <c r="AR291" s="152">
        <f>SUM(D291,H291,L291,P291,T291,X291,AB291,AF291,AJ291,AN291)+SUM(E291,I291,M291,Q291,U291,Y291,AC291,AG291,AK291,AO291)</f>
        <v/>
      </c>
      <c r="AS291" s="152">
        <f>SUM(F291,J291,N291,R291,V291,Z291,AD291,AH291,AL291,AP291)</f>
        <v/>
      </c>
      <c r="AT291" s="152">
        <f>IF(B291&gt;AS$6,NA(),B291)</f>
        <v/>
      </c>
      <c r="AU291" s="152">
        <f>IF(B291&gt;AS$6,NA(),AS291)</f>
        <v/>
      </c>
      <c r="AV291" s="152" t="n"/>
      <c r="AW291" s="152" t="n">
        <v>280</v>
      </c>
      <c r="AX291" s="152">
        <f>IF(BA290&lt;=0.005,0,BA290*(1+AX$6))</f>
        <v/>
      </c>
      <c r="AY291" s="152">
        <f>MIN(AX291,AX$7)</f>
        <v/>
      </c>
      <c r="AZ291" s="152">
        <f>MAX(0,MIN(AX291-AY291,CL291))</f>
        <v/>
      </c>
      <c r="BA291" s="152">
        <f>AX291-AY291-AZ291</f>
        <v/>
      </c>
      <c r="BB291" s="152">
        <f>IF(BE290&lt;=0.005,0,BE290*(1+BB$6))</f>
        <v/>
      </c>
      <c r="BC291" s="152">
        <f>MIN(BB291,BB$7)</f>
        <v/>
      </c>
      <c r="BD291" s="152">
        <f>MAX(0,MIN(BB291-BC291,CL291-(AZ291)))</f>
        <v/>
      </c>
      <c r="BE291" s="152">
        <f>BB291-BC291-BD291</f>
        <v/>
      </c>
      <c r="BF291" s="152">
        <f>IF(BI290&lt;=0.005,0,BI290*(1+BF$6))</f>
        <v/>
      </c>
      <c r="BG291" s="152">
        <f>MIN(BF291,BF$7)</f>
        <v/>
      </c>
      <c r="BH291" s="152">
        <f>MAX(0,MIN(BF291-BG291,CL291-(AZ291+BD291)))</f>
        <v/>
      </c>
      <c r="BI291" s="152">
        <f>BF291-BG291-BH291</f>
        <v/>
      </c>
      <c r="BJ291" s="152">
        <f>IF(BM290&lt;=0.005,0,BM290*(1+BJ$6))</f>
        <v/>
      </c>
      <c r="BK291" s="152">
        <f>MIN(BJ291,BJ$7)</f>
        <v/>
      </c>
      <c r="BL291" s="152">
        <f>MAX(0,MIN(BJ291-BK291,CL291-(AZ291+BD291+BH291)))</f>
        <v/>
      </c>
      <c r="BM291" s="152">
        <f>BJ291-BK291-BL291</f>
        <v/>
      </c>
      <c r="BN291" s="152">
        <f>IF(BQ290&lt;=0.005,0,BQ290*(1+BN$6))</f>
        <v/>
      </c>
      <c r="BO291" s="152">
        <f>MIN(BN291,BN$7)</f>
        <v/>
      </c>
      <c r="BP291" s="152">
        <f>MAX(0,MIN(BN291-BO291,CL291-(AZ291+BD291+BH291+BL291)))</f>
        <v/>
      </c>
      <c r="BQ291" s="152">
        <f>BN291-BO291-BP291</f>
        <v/>
      </c>
      <c r="BR291" s="152">
        <f>IF(BU290&lt;=0.005,0,BU290*(1+BR$6))</f>
        <v/>
      </c>
      <c r="BS291" s="152">
        <f>MIN(BR291,BR$7)</f>
        <v/>
      </c>
      <c r="BT291" s="152">
        <f>MAX(0,MIN(BR291-BS291,CL291-(AZ291+BD291+BH291+BL291+BP291)))</f>
        <v/>
      </c>
      <c r="BU291" s="152">
        <f>BR291-BS291-BT291</f>
        <v/>
      </c>
      <c r="BV291" s="152">
        <f>IF(BY290&lt;=0.005,0,BY290*(1+BV$6))</f>
        <v/>
      </c>
      <c r="BW291" s="152">
        <f>MIN(BV291,BV$7)</f>
        <v/>
      </c>
      <c r="BX291" s="152">
        <f>MAX(0,MIN(BV291-BW291,CL291-(AZ291+BD291+BH291+BL291+BP291+BT291)))</f>
        <v/>
      </c>
      <c r="BY291" s="152">
        <f>BV291-BW291-BX291</f>
        <v/>
      </c>
      <c r="BZ291" s="152">
        <f>IF(CC290&lt;=0.005,0,CC290*(1+BZ$6))</f>
        <v/>
      </c>
      <c r="CA291" s="152">
        <f>MIN(BZ291,BZ$7)</f>
        <v/>
      </c>
      <c r="CB291" s="152">
        <f>MAX(0,MIN(BZ291-CA291,CL291-(AZ291+BD291+BH291+BL291+BP291+BT291+BX291)))</f>
        <v/>
      </c>
      <c r="CC291" s="152">
        <f>BZ291-CA291-CB291</f>
        <v/>
      </c>
      <c r="CD291" s="152">
        <f>IF(CG290&lt;=0.005,0,CG290*(1+CD$6))</f>
        <v/>
      </c>
      <c r="CE291" s="152">
        <f>MIN(CD291,CD$7)</f>
        <v/>
      </c>
      <c r="CF291" s="152">
        <f>MAX(0,MIN(CD291-CE291,CL291-(AZ291+BD291+BH291+BL291+BP291+BT291+BX291+CB291)))</f>
        <v/>
      </c>
      <c r="CG291" s="152">
        <f>CD291-CE291-CF291</f>
        <v/>
      </c>
      <c r="CH291" s="152">
        <f>IF(CK290&lt;=0.005,0,CK290*(1+CH$6))</f>
        <v/>
      </c>
      <c r="CI291" s="152">
        <f>MIN(CH291,CH$7)</f>
        <v/>
      </c>
      <c r="CJ291" s="152">
        <f>MAX(0,MIN(CH291-CI291,CL291-(AZ291+BD291+BH291+BL291+BP291+BT291+BX291+CB291+CF291)))</f>
        <v/>
      </c>
      <c r="CK291" s="152">
        <f>CH291-CI291-CJ291</f>
        <v/>
      </c>
      <c r="CL291" s="152">
        <f>'Debt Payoff'!$C$8-SUM(AY291,BC291,BG291,BK291,BO291,BS291,BW291,CA291,CE291,CI291)</f>
        <v/>
      </c>
      <c r="CM291" s="152">
        <f>SUM(AY291,BC291,BG291,BK291,BO291,BS291,BW291,CA291,CE291,CI291)+SUM(AZ291,BD291,BH291,BL291,BP291,BT291,BX291,CB291,CF291,CJ291)</f>
        <v/>
      </c>
      <c r="CN291" s="152">
        <f>SUM(BA291,BE291,BI291,BM291,BQ291,BU291,BY291,CC291,CG291,CK291)</f>
        <v/>
      </c>
      <c r="CO291" s="152">
        <f>IF(AW291&gt;CN$6,NA(),AW291)</f>
        <v/>
      </c>
      <c r="CP291" s="152">
        <f>IF(AW291&gt;CN$6,NA(),CN291)</f>
        <v/>
      </c>
    </row>
    <row r="292">
      <c r="B292" s="152" t="n">
        <v>281</v>
      </c>
      <c r="C292" s="152">
        <f>IF(F291&lt;=0.005,0,F291*(1+C$6))</f>
        <v/>
      </c>
      <c r="D292" s="152">
        <f>MIN(C292,C$7)</f>
        <v/>
      </c>
      <c r="E292" s="152">
        <f>MAX(0,MIN(C292-D292,AQ292))</f>
        <v/>
      </c>
      <c r="F292" s="152">
        <f>C292-D292-E292</f>
        <v/>
      </c>
      <c r="G292" s="152">
        <f>IF(J291&lt;=0.005,0,J291*(1+G$6))</f>
        <v/>
      </c>
      <c r="H292" s="152">
        <f>MIN(G292,G$7)</f>
        <v/>
      </c>
      <c r="I292" s="152">
        <f>MAX(0,MIN(G292-H292,AQ292-(E292)))</f>
        <v/>
      </c>
      <c r="J292" s="152">
        <f>G292-H292-I292</f>
        <v/>
      </c>
      <c r="K292" s="152">
        <f>IF(N291&lt;=0.005,0,N291*(1+K$6))</f>
        <v/>
      </c>
      <c r="L292" s="152">
        <f>MIN(K292,K$7)</f>
        <v/>
      </c>
      <c r="M292" s="152">
        <f>MAX(0,MIN(K292-L292,AQ292-(E292+I292)))</f>
        <v/>
      </c>
      <c r="N292" s="152">
        <f>K292-L292-M292</f>
        <v/>
      </c>
      <c r="O292" s="152">
        <f>IF(R291&lt;=0.005,0,R291*(1+O$6))</f>
        <v/>
      </c>
      <c r="P292" s="152">
        <f>MIN(O292,O$7)</f>
        <v/>
      </c>
      <c r="Q292" s="152">
        <f>MAX(0,MIN(O292-P292,AQ292-(E292+I292+M292)))</f>
        <v/>
      </c>
      <c r="R292" s="152">
        <f>O292-P292-Q292</f>
        <v/>
      </c>
      <c r="S292" s="152">
        <f>IF(V291&lt;=0.005,0,V291*(1+S$6))</f>
        <v/>
      </c>
      <c r="T292" s="152">
        <f>MIN(S292,S$7)</f>
        <v/>
      </c>
      <c r="U292" s="152">
        <f>MAX(0,MIN(S292-T292,AQ292-(E292+I292+M292+Q292)))</f>
        <v/>
      </c>
      <c r="V292" s="152">
        <f>S292-T292-U292</f>
        <v/>
      </c>
      <c r="W292" s="152">
        <f>IF(Z291&lt;=0.005,0,Z291*(1+W$6))</f>
        <v/>
      </c>
      <c r="X292" s="152">
        <f>MIN(W292,W$7)</f>
        <v/>
      </c>
      <c r="Y292" s="152">
        <f>MAX(0,MIN(W292-X292,AQ292-(E292+I292+M292+Q292+U292)))</f>
        <v/>
      </c>
      <c r="Z292" s="152">
        <f>W292-X292-Y292</f>
        <v/>
      </c>
      <c r="AA292" s="152">
        <f>IF(AD291&lt;=0.005,0,AD291*(1+AA$6))</f>
        <v/>
      </c>
      <c r="AB292" s="152">
        <f>MIN(AA292,AA$7)</f>
        <v/>
      </c>
      <c r="AC292" s="152">
        <f>MAX(0,MIN(AA292-AB292,AQ292-(E292+I292+M292+Q292+U292+Y292)))</f>
        <v/>
      </c>
      <c r="AD292" s="152">
        <f>AA292-AB292-AC292</f>
        <v/>
      </c>
      <c r="AE292" s="152">
        <f>IF(AH291&lt;=0.005,0,AH291*(1+AE$6))</f>
        <v/>
      </c>
      <c r="AF292" s="152">
        <f>MIN(AE292,AE$7)</f>
        <v/>
      </c>
      <c r="AG292" s="152">
        <f>MAX(0,MIN(AE292-AF292,AQ292-(E292+I292+M292+Q292+U292+Y292+AC292)))</f>
        <v/>
      </c>
      <c r="AH292" s="152">
        <f>AE292-AF292-AG292</f>
        <v/>
      </c>
      <c r="AI292" s="152">
        <f>IF(AL291&lt;=0.005,0,AL291*(1+AI$6))</f>
        <v/>
      </c>
      <c r="AJ292" s="152">
        <f>MIN(AI292,AI$7)</f>
        <v/>
      </c>
      <c r="AK292" s="152">
        <f>MAX(0,MIN(AI292-AJ292,AQ292-(E292+I292+M292+Q292+U292+Y292+AC292+AG292)))</f>
        <v/>
      </c>
      <c r="AL292" s="152">
        <f>AI292-AJ292-AK292</f>
        <v/>
      </c>
      <c r="AM292" s="152">
        <f>IF(AP291&lt;=0.005,0,AP291*(1+AM$6))</f>
        <v/>
      </c>
      <c r="AN292" s="152">
        <f>MIN(AM292,AM$7)</f>
        <v/>
      </c>
      <c r="AO292" s="152">
        <f>MAX(0,MIN(AM292-AN292,AQ292-(E292+I292+M292+Q292+U292+Y292+AC292+AG292+AK292)))</f>
        <v/>
      </c>
      <c r="AP292" s="152">
        <f>AM292-AN292-AO292</f>
        <v/>
      </c>
      <c r="AQ292" s="152">
        <f>'Debt Payoff'!$C$8-SUM(D292,H292,L292,P292,T292,X292,AB292,AF292,AJ292,AN292)</f>
        <v/>
      </c>
      <c r="AR292" s="152">
        <f>SUM(D292,H292,L292,P292,T292,X292,AB292,AF292,AJ292,AN292)+SUM(E292,I292,M292,Q292,U292,Y292,AC292,AG292,AK292,AO292)</f>
        <v/>
      </c>
      <c r="AS292" s="152">
        <f>SUM(F292,J292,N292,R292,V292,Z292,AD292,AH292,AL292,AP292)</f>
        <v/>
      </c>
      <c r="AT292" s="152">
        <f>IF(B292&gt;AS$6,NA(),B292)</f>
        <v/>
      </c>
      <c r="AU292" s="152">
        <f>IF(B292&gt;AS$6,NA(),AS292)</f>
        <v/>
      </c>
      <c r="AV292" s="152" t="n"/>
      <c r="AW292" s="152" t="n">
        <v>281</v>
      </c>
      <c r="AX292" s="152">
        <f>IF(BA291&lt;=0.005,0,BA291*(1+AX$6))</f>
        <v/>
      </c>
      <c r="AY292" s="152">
        <f>MIN(AX292,AX$7)</f>
        <v/>
      </c>
      <c r="AZ292" s="152">
        <f>MAX(0,MIN(AX292-AY292,CL292))</f>
        <v/>
      </c>
      <c r="BA292" s="152">
        <f>AX292-AY292-AZ292</f>
        <v/>
      </c>
      <c r="BB292" s="152">
        <f>IF(BE291&lt;=0.005,0,BE291*(1+BB$6))</f>
        <v/>
      </c>
      <c r="BC292" s="152">
        <f>MIN(BB292,BB$7)</f>
        <v/>
      </c>
      <c r="BD292" s="152">
        <f>MAX(0,MIN(BB292-BC292,CL292-(AZ292)))</f>
        <v/>
      </c>
      <c r="BE292" s="152">
        <f>BB292-BC292-BD292</f>
        <v/>
      </c>
      <c r="BF292" s="152">
        <f>IF(BI291&lt;=0.005,0,BI291*(1+BF$6))</f>
        <v/>
      </c>
      <c r="BG292" s="152">
        <f>MIN(BF292,BF$7)</f>
        <v/>
      </c>
      <c r="BH292" s="152">
        <f>MAX(0,MIN(BF292-BG292,CL292-(AZ292+BD292)))</f>
        <v/>
      </c>
      <c r="BI292" s="152">
        <f>BF292-BG292-BH292</f>
        <v/>
      </c>
      <c r="BJ292" s="152">
        <f>IF(BM291&lt;=0.005,0,BM291*(1+BJ$6))</f>
        <v/>
      </c>
      <c r="BK292" s="152">
        <f>MIN(BJ292,BJ$7)</f>
        <v/>
      </c>
      <c r="BL292" s="152">
        <f>MAX(0,MIN(BJ292-BK292,CL292-(AZ292+BD292+BH292)))</f>
        <v/>
      </c>
      <c r="BM292" s="152">
        <f>BJ292-BK292-BL292</f>
        <v/>
      </c>
      <c r="BN292" s="152">
        <f>IF(BQ291&lt;=0.005,0,BQ291*(1+BN$6))</f>
        <v/>
      </c>
      <c r="BO292" s="152">
        <f>MIN(BN292,BN$7)</f>
        <v/>
      </c>
      <c r="BP292" s="152">
        <f>MAX(0,MIN(BN292-BO292,CL292-(AZ292+BD292+BH292+BL292)))</f>
        <v/>
      </c>
      <c r="BQ292" s="152">
        <f>BN292-BO292-BP292</f>
        <v/>
      </c>
      <c r="BR292" s="152">
        <f>IF(BU291&lt;=0.005,0,BU291*(1+BR$6))</f>
        <v/>
      </c>
      <c r="BS292" s="152">
        <f>MIN(BR292,BR$7)</f>
        <v/>
      </c>
      <c r="BT292" s="152">
        <f>MAX(0,MIN(BR292-BS292,CL292-(AZ292+BD292+BH292+BL292+BP292)))</f>
        <v/>
      </c>
      <c r="BU292" s="152">
        <f>BR292-BS292-BT292</f>
        <v/>
      </c>
      <c r="BV292" s="152">
        <f>IF(BY291&lt;=0.005,0,BY291*(1+BV$6))</f>
        <v/>
      </c>
      <c r="BW292" s="152">
        <f>MIN(BV292,BV$7)</f>
        <v/>
      </c>
      <c r="BX292" s="152">
        <f>MAX(0,MIN(BV292-BW292,CL292-(AZ292+BD292+BH292+BL292+BP292+BT292)))</f>
        <v/>
      </c>
      <c r="BY292" s="152">
        <f>BV292-BW292-BX292</f>
        <v/>
      </c>
      <c r="BZ292" s="152">
        <f>IF(CC291&lt;=0.005,0,CC291*(1+BZ$6))</f>
        <v/>
      </c>
      <c r="CA292" s="152">
        <f>MIN(BZ292,BZ$7)</f>
        <v/>
      </c>
      <c r="CB292" s="152">
        <f>MAX(0,MIN(BZ292-CA292,CL292-(AZ292+BD292+BH292+BL292+BP292+BT292+BX292)))</f>
        <v/>
      </c>
      <c r="CC292" s="152">
        <f>BZ292-CA292-CB292</f>
        <v/>
      </c>
      <c r="CD292" s="152">
        <f>IF(CG291&lt;=0.005,0,CG291*(1+CD$6))</f>
        <v/>
      </c>
      <c r="CE292" s="152">
        <f>MIN(CD292,CD$7)</f>
        <v/>
      </c>
      <c r="CF292" s="152">
        <f>MAX(0,MIN(CD292-CE292,CL292-(AZ292+BD292+BH292+BL292+BP292+BT292+BX292+CB292)))</f>
        <v/>
      </c>
      <c r="CG292" s="152">
        <f>CD292-CE292-CF292</f>
        <v/>
      </c>
      <c r="CH292" s="152">
        <f>IF(CK291&lt;=0.005,0,CK291*(1+CH$6))</f>
        <v/>
      </c>
      <c r="CI292" s="152">
        <f>MIN(CH292,CH$7)</f>
        <v/>
      </c>
      <c r="CJ292" s="152">
        <f>MAX(0,MIN(CH292-CI292,CL292-(AZ292+BD292+BH292+BL292+BP292+BT292+BX292+CB292+CF292)))</f>
        <v/>
      </c>
      <c r="CK292" s="152">
        <f>CH292-CI292-CJ292</f>
        <v/>
      </c>
      <c r="CL292" s="152">
        <f>'Debt Payoff'!$C$8-SUM(AY292,BC292,BG292,BK292,BO292,BS292,BW292,CA292,CE292,CI292)</f>
        <v/>
      </c>
      <c r="CM292" s="152">
        <f>SUM(AY292,BC292,BG292,BK292,BO292,BS292,BW292,CA292,CE292,CI292)+SUM(AZ292,BD292,BH292,BL292,BP292,BT292,BX292,CB292,CF292,CJ292)</f>
        <v/>
      </c>
      <c r="CN292" s="152">
        <f>SUM(BA292,BE292,BI292,BM292,BQ292,BU292,BY292,CC292,CG292,CK292)</f>
        <v/>
      </c>
      <c r="CO292" s="152">
        <f>IF(AW292&gt;CN$6,NA(),AW292)</f>
        <v/>
      </c>
      <c r="CP292" s="152">
        <f>IF(AW292&gt;CN$6,NA(),CN292)</f>
        <v/>
      </c>
    </row>
    <row r="293">
      <c r="B293" s="152" t="n">
        <v>282</v>
      </c>
      <c r="C293" s="152">
        <f>IF(F292&lt;=0.005,0,F292*(1+C$6))</f>
        <v/>
      </c>
      <c r="D293" s="152">
        <f>MIN(C293,C$7)</f>
        <v/>
      </c>
      <c r="E293" s="152">
        <f>MAX(0,MIN(C293-D293,AQ293))</f>
        <v/>
      </c>
      <c r="F293" s="152">
        <f>C293-D293-E293</f>
        <v/>
      </c>
      <c r="G293" s="152">
        <f>IF(J292&lt;=0.005,0,J292*(1+G$6))</f>
        <v/>
      </c>
      <c r="H293" s="152">
        <f>MIN(G293,G$7)</f>
        <v/>
      </c>
      <c r="I293" s="152">
        <f>MAX(0,MIN(G293-H293,AQ293-(E293)))</f>
        <v/>
      </c>
      <c r="J293" s="152">
        <f>G293-H293-I293</f>
        <v/>
      </c>
      <c r="K293" s="152">
        <f>IF(N292&lt;=0.005,0,N292*(1+K$6))</f>
        <v/>
      </c>
      <c r="L293" s="152">
        <f>MIN(K293,K$7)</f>
        <v/>
      </c>
      <c r="M293" s="152">
        <f>MAX(0,MIN(K293-L293,AQ293-(E293+I293)))</f>
        <v/>
      </c>
      <c r="N293" s="152">
        <f>K293-L293-M293</f>
        <v/>
      </c>
      <c r="O293" s="152">
        <f>IF(R292&lt;=0.005,0,R292*(1+O$6))</f>
        <v/>
      </c>
      <c r="P293" s="152">
        <f>MIN(O293,O$7)</f>
        <v/>
      </c>
      <c r="Q293" s="152">
        <f>MAX(0,MIN(O293-P293,AQ293-(E293+I293+M293)))</f>
        <v/>
      </c>
      <c r="R293" s="152">
        <f>O293-P293-Q293</f>
        <v/>
      </c>
      <c r="S293" s="152">
        <f>IF(V292&lt;=0.005,0,V292*(1+S$6))</f>
        <v/>
      </c>
      <c r="T293" s="152">
        <f>MIN(S293,S$7)</f>
        <v/>
      </c>
      <c r="U293" s="152">
        <f>MAX(0,MIN(S293-T293,AQ293-(E293+I293+M293+Q293)))</f>
        <v/>
      </c>
      <c r="V293" s="152">
        <f>S293-T293-U293</f>
        <v/>
      </c>
      <c r="W293" s="152">
        <f>IF(Z292&lt;=0.005,0,Z292*(1+W$6))</f>
        <v/>
      </c>
      <c r="X293" s="152">
        <f>MIN(W293,W$7)</f>
        <v/>
      </c>
      <c r="Y293" s="152">
        <f>MAX(0,MIN(W293-X293,AQ293-(E293+I293+M293+Q293+U293)))</f>
        <v/>
      </c>
      <c r="Z293" s="152">
        <f>W293-X293-Y293</f>
        <v/>
      </c>
      <c r="AA293" s="152">
        <f>IF(AD292&lt;=0.005,0,AD292*(1+AA$6))</f>
        <v/>
      </c>
      <c r="AB293" s="152">
        <f>MIN(AA293,AA$7)</f>
        <v/>
      </c>
      <c r="AC293" s="152">
        <f>MAX(0,MIN(AA293-AB293,AQ293-(E293+I293+M293+Q293+U293+Y293)))</f>
        <v/>
      </c>
      <c r="AD293" s="152">
        <f>AA293-AB293-AC293</f>
        <v/>
      </c>
      <c r="AE293" s="152">
        <f>IF(AH292&lt;=0.005,0,AH292*(1+AE$6))</f>
        <v/>
      </c>
      <c r="AF293" s="152">
        <f>MIN(AE293,AE$7)</f>
        <v/>
      </c>
      <c r="AG293" s="152">
        <f>MAX(0,MIN(AE293-AF293,AQ293-(E293+I293+M293+Q293+U293+Y293+AC293)))</f>
        <v/>
      </c>
      <c r="AH293" s="152">
        <f>AE293-AF293-AG293</f>
        <v/>
      </c>
      <c r="AI293" s="152">
        <f>IF(AL292&lt;=0.005,0,AL292*(1+AI$6))</f>
        <v/>
      </c>
      <c r="AJ293" s="152">
        <f>MIN(AI293,AI$7)</f>
        <v/>
      </c>
      <c r="AK293" s="152">
        <f>MAX(0,MIN(AI293-AJ293,AQ293-(E293+I293+M293+Q293+U293+Y293+AC293+AG293)))</f>
        <v/>
      </c>
      <c r="AL293" s="152">
        <f>AI293-AJ293-AK293</f>
        <v/>
      </c>
      <c r="AM293" s="152">
        <f>IF(AP292&lt;=0.005,0,AP292*(1+AM$6))</f>
        <v/>
      </c>
      <c r="AN293" s="152">
        <f>MIN(AM293,AM$7)</f>
        <v/>
      </c>
      <c r="AO293" s="152">
        <f>MAX(0,MIN(AM293-AN293,AQ293-(E293+I293+M293+Q293+U293+Y293+AC293+AG293+AK293)))</f>
        <v/>
      </c>
      <c r="AP293" s="152">
        <f>AM293-AN293-AO293</f>
        <v/>
      </c>
      <c r="AQ293" s="152">
        <f>'Debt Payoff'!$C$8-SUM(D293,H293,L293,P293,T293,X293,AB293,AF293,AJ293,AN293)</f>
        <v/>
      </c>
      <c r="AR293" s="152">
        <f>SUM(D293,H293,L293,P293,T293,X293,AB293,AF293,AJ293,AN293)+SUM(E293,I293,M293,Q293,U293,Y293,AC293,AG293,AK293,AO293)</f>
        <v/>
      </c>
      <c r="AS293" s="152">
        <f>SUM(F293,J293,N293,R293,V293,Z293,AD293,AH293,AL293,AP293)</f>
        <v/>
      </c>
      <c r="AT293" s="152">
        <f>IF(B293&gt;AS$6,NA(),B293)</f>
        <v/>
      </c>
      <c r="AU293" s="152">
        <f>IF(B293&gt;AS$6,NA(),AS293)</f>
        <v/>
      </c>
      <c r="AV293" s="152" t="n"/>
      <c r="AW293" s="152" t="n">
        <v>282</v>
      </c>
      <c r="AX293" s="152">
        <f>IF(BA292&lt;=0.005,0,BA292*(1+AX$6))</f>
        <v/>
      </c>
      <c r="AY293" s="152">
        <f>MIN(AX293,AX$7)</f>
        <v/>
      </c>
      <c r="AZ293" s="152">
        <f>MAX(0,MIN(AX293-AY293,CL293))</f>
        <v/>
      </c>
      <c r="BA293" s="152">
        <f>AX293-AY293-AZ293</f>
        <v/>
      </c>
      <c r="BB293" s="152">
        <f>IF(BE292&lt;=0.005,0,BE292*(1+BB$6))</f>
        <v/>
      </c>
      <c r="BC293" s="152">
        <f>MIN(BB293,BB$7)</f>
        <v/>
      </c>
      <c r="BD293" s="152">
        <f>MAX(0,MIN(BB293-BC293,CL293-(AZ293)))</f>
        <v/>
      </c>
      <c r="BE293" s="152">
        <f>BB293-BC293-BD293</f>
        <v/>
      </c>
      <c r="BF293" s="152">
        <f>IF(BI292&lt;=0.005,0,BI292*(1+BF$6))</f>
        <v/>
      </c>
      <c r="BG293" s="152">
        <f>MIN(BF293,BF$7)</f>
        <v/>
      </c>
      <c r="BH293" s="152">
        <f>MAX(0,MIN(BF293-BG293,CL293-(AZ293+BD293)))</f>
        <v/>
      </c>
      <c r="BI293" s="152">
        <f>BF293-BG293-BH293</f>
        <v/>
      </c>
      <c r="BJ293" s="152">
        <f>IF(BM292&lt;=0.005,0,BM292*(1+BJ$6))</f>
        <v/>
      </c>
      <c r="BK293" s="152">
        <f>MIN(BJ293,BJ$7)</f>
        <v/>
      </c>
      <c r="BL293" s="152">
        <f>MAX(0,MIN(BJ293-BK293,CL293-(AZ293+BD293+BH293)))</f>
        <v/>
      </c>
      <c r="BM293" s="152">
        <f>BJ293-BK293-BL293</f>
        <v/>
      </c>
      <c r="BN293" s="152">
        <f>IF(BQ292&lt;=0.005,0,BQ292*(1+BN$6))</f>
        <v/>
      </c>
      <c r="BO293" s="152">
        <f>MIN(BN293,BN$7)</f>
        <v/>
      </c>
      <c r="BP293" s="152">
        <f>MAX(0,MIN(BN293-BO293,CL293-(AZ293+BD293+BH293+BL293)))</f>
        <v/>
      </c>
      <c r="BQ293" s="152">
        <f>BN293-BO293-BP293</f>
        <v/>
      </c>
      <c r="BR293" s="152">
        <f>IF(BU292&lt;=0.005,0,BU292*(1+BR$6))</f>
        <v/>
      </c>
      <c r="BS293" s="152">
        <f>MIN(BR293,BR$7)</f>
        <v/>
      </c>
      <c r="BT293" s="152">
        <f>MAX(0,MIN(BR293-BS293,CL293-(AZ293+BD293+BH293+BL293+BP293)))</f>
        <v/>
      </c>
      <c r="BU293" s="152">
        <f>BR293-BS293-BT293</f>
        <v/>
      </c>
      <c r="BV293" s="152">
        <f>IF(BY292&lt;=0.005,0,BY292*(1+BV$6))</f>
        <v/>
      </c>
      <c r="BW293" s="152">
        <f>MIN(BV293,BV$7)</f>
        <v/>
      </c>
      <c r="BX293" s="152">
        <f>MAX(0,MIN(BV293-BW293,CL293-(AZ293+BD293+BH293+BL293+BP293+BT293)))</f>
        <v/>
      </c>
      <c r="BY293" s="152">
        <f>BV293-BW293-BX293</f>
        <v/>
      </c>
      <c r="BZ293" s="152">
        <f>IF(CC292&lt;=0.005,0,CC292*(1+BZ$6))</f>
        <v/>
      </c>
      <c r="CA293" s="152">
        <f>MIN(BZ293,BZ$7)</f>
        <v/>
      </c>
      <c r="CB293" s="152">
        <f>MAX(0,MIN(BZ293-CA293,CL293-(AZ293+BD293+BH293+BL293+BP293+BT293+BX293)))</f>
        <v/>
      </c>
      <c r="CC293" s="152">
        <f>BZ293-CA293-CB293</f>
        <v/>
      </c>
      <c r="CD293" s="152">
        <f>IF(CG292&lt;=0.005,0,CG292*(1+CD$6))</f>
        <v/>
      </c>
      <c r="CE293" s="152">
        <f>MIN(CD293,CD$7)</f>
        <v/>
      </c>
      <c r="CF293" s="152">
        <f>MAX(0,MIN(CD293-CE293,CL293-(AZ293+BD293+BH293+BL293+BP293+BT293+BX293+CB293)))</f>
        <v/>
      </c>
      <c r="CG293" s="152">
        <f>CD293-CE293-CF293</f>
        <v/>
      </c>
      <c r="CH293" s="152">
        <f>IF(CK292&lt;=0.005,0,CK292*(1+CH$6))</f>
        <v/>
      </c>
      <c r="CI293" s="152">
        <f>MIN(CH293,CH$7)</f>
        <v/>
      </c>
      <c r="CJ293" s="152">
        <f>MAX(0,MIN(CH293-CI293,CL293-(AZ293+BD293+BH293+BL293+BP293+BT293+BX293+CB293+CF293)))</f>
        <v/>
      </c>
      <c r="CK293" s="152">
        <f>CH293-CI293-CJ293</f>
        <v/>
      </c>
      <c r="CL293" s="152">
        <f>'Debt Payoff'!$C$8-SUM(AY293,BC293,BG293,BK293,BO293,BS293,BW293,CA293,CE293,CI293)</f>
        <v/>
      </c>
      <c r="CM293" s="152">
        <f>SUM(AY293,BC293,BG293,BK293,BO293,BS293,BW293,CA293,CE293,CI293)+SUM(AZ293,BD293,BH293,BL293,BP293,BT293,BX293,CB293,CF293,CJ293)</f>
        <v/>
      </c>
      <c r="CN293" s="152">
        <f>SUM(BA293,BE293,BI293,BM293,BQ293,BU293,BY293,CC293,CG293,CK293)</f>
        <v/>
      </c>
      <c r="CO293" s="152">
        <f>IF(AW293&gt;CN$6,NA(),AW293)</f>
        <v/>
      </c>
      <c r="CP293" s="152">
        <f>IF(AW293&gt;CN$6,NA(),CN293)</f>
        <v/>
      </c>
    </row>
    <row r="294">
      <c r="B294" s="152" t="n">
        <v>283</v>
      </c>
      <c r="C294" s="152">
        <f>IF(F293&lt;=0.005,0,F293*(1+C$6))</f>
        <v/>
      </c>
      <c r="D294" s="152">
        <f>MIN(C294,C$7)</f>
        <v/>
      </c>
      <c r="E294" s="152">
        <f>MAX(0,MIN(C294-D294,AQ294))</f>
        <v/>
      </c>
      <c r="F294" s="152">
        <f>C294-D294-E294</f>
        <v/>
      </c>
      <c r="G294" s="152">
        <f>IF(J293&lt;=0.005,0,J293*(1+G$6))</f>
        <v/>
      </c>
      <c r="H294" s="152">
        <f>MIN(G294,G$7)</f>
        <v/>
      </c>
      <c r="I294" s="152">
        <f>MAX(0,MIN(G294-H294,AQ294-(E294)))</f>
        <v/>
      </c>
      <c r="J294" s="152">
        <f>G294-H294-I294</f>
        <v/>
      </c>
      <c r="K294" s="152">
        <f>IF(N293&lt;=0.005,0,N293*(1+K$6))</f>
        <v/>
      </c>
      <c r="L294" s="152">
        <f>MIN(K294,K$7)</f>
        <v/>
      </c>
      <c r="M294" s="152">
        <f>MAX(0,MIN(K294-L294,AQ294-(E294+I294)))</f>
        <v/>
      </c>
      <c r="N294" s="152">
        <f>K294-L294-M294</f>
        <v/>
      </c>
      <c r="O294" s="152">
        <f>IF(R293&lt;=0.005,0,R293*(1+O$6))</f>
        <v/>
      </c>
      <c r="P294" s="152">
        <f>MIN(O294,O$7)</f>
        <v/>
      </c>
      <c r="Q294" s="152">
        <f>MAX(0,MIN(O294-P294,AQ294-(E294+I294+M294)))</f>
        <v/>
      </c>
      <c r="R294" s="152">
        <f>O294-P294-Q294</f>
        <v/>
      </c>
      <c r="S294" s="152">
        <f>IF(V293&lt;=0.005,0,V293*(1+S$6))</f>
        <v/>
      </c>
      <c r="T294" s="152">
        <f>MIN(S294,S$7)</f>
        <v/>
      </c>
      <c r="U294" s="152">
        <f>MAX(0,MIN(S294-T294,AQ294-(E294+I294+M294+Q294)))</f>
        <v/>
      </c>
      <c r="V294" s="152">
        <f>S294-T294-U294</f>
        <v/>
      </c>
      <c r="W294" s="152">
        <f>IF(Z293&lt;=0.005,0,Z293*(1+W$6))</f>
        <v/>
      </c>
      <c r="X294" s="152">
        <f>MIN(W294,W$7)</f>
        <v/>
      </c>
      <c r="Y294" s="152">
        <f>MAX(0,MIN(W294-X294,AQ294-(E294+I294+M294+Q294+U294)))</f>
        <v/>
      </c>
      <c r="Z294" s="152">
        <f>W294-X294-Y294</f>
        <v/>
      </c>
      <c r="AA294" s="152">
        <f>IF(AD293&lt;=0.005,0,AD293*(1+AA$6))</f>
        <v/>
      </c>
      <c r="AB294" s="152">
        <f>MIN(AA294,AA$7)</f>
        <v/>
      </c>
      <c r="AC294" s="152">
        <f>MAX(0,MIN(AA294-AB294,AQ294-(E294+I294+M294+Q294+U294+Y294)))</f>
        <v/>
      </c>
      <c r="AD294" s="152">
        <f>AA294-AB294-AC294</f>
        <v/>
      </c>
      <c r="AE294" s="152">
        <f>IF(AH293&lt;=0.005,0,AH293*(1+AE$6))</f>
        <v/>
      </c>
      <c r="AF294" s="152">
        <f>MIN(AE294,AE$7)</f>
        <v/>
      </c>
      <c r="AG294" s="152">
        <f>MAX(0,MIN(AE294-AF294,AQ294-(E294+I294+M294+Q294+U294+Y294+AC294)))</f>
        <v/>
      </c>
      <c r="AH294" s="152">
        <f>AE294-AF294-AG294</f>
        <v/>
      </c>
      <c r="AI294" s="152">
        <f>IF(AL293&lt;=0.005,0,AL293*(1+AI$6))</f>
        <v/>
      </c>
      <c r="AJ294" s="152">
        <f>MIN(AI294,AI$7)</f>
        <v/>
      </c>
      <c r="AK294" s="152">
        <f>MAX(0,MIN(AI294-AJ294,AQ294-(E294+I294+M294+Q294+U294+Y294+AC294+AG294)))</f>
        <v/>
      </c>
      <c r="AL294" s="152">
        <f>AI294-AJ294-AK294</f>
        <v/>
      </c>
      <c r="AM294" s="152">
        <f>IF(AP293&lt;=0.005,0,AP293*(1+AM$6))</f>
        <v/>
      </c>
      <c r="AN294" s="152">
        <f>MIN(AM294,AM$7)</f>
        <v/>
      </c>
      <c r="AO294" s="152">
        <f>MAX(0,MIN(AM294-AN294,AQ294-(E294+I294+M294+Q294+U294+Y294+AC294+AG294+AK294)))</f>
        <v/>
      </c>
      <c r="AP294" s="152">
        <f>AM294-AN294-AO294</f>
        <v/>
      </c>
      <c r="AQ294" s="152">
        <f>'Debt Payoff'!$C$8-SUM(D294,H294,L294,P294,T294,X294,AB294,AF294,AJ294,AN294)</f>
        <v/>
      </c>
      <c r="AR294" s="152">
        <f>SUM(D294,H294,L294,P294,T294,X294,AB294,AF294,AJ294,AN294)+SUM(E294,I294,M294,Q294,U294,Y294,AC294,AG294,AK294,AO294)</f>
        <v/>
      </c>
      <c r="AS294" s="152">
        <f>SUM(F294,J294,N294,R294,V294,Z294,AD294,AH294,AL294,AP294)</f>
        <v/>
      </c>
      <c r="AT294" s="152">
        <f>IF(B294&gt;AS$6,NA(),B294)</f>
        <v/>
      </c>
      <c r="AU294" s="152">
        <f>IF(B294&gt;AS$6,NA(),AS294)</f>
        <v/>
      </c>
      <c r="AV294" s="152" t="n"/>
      <c r="AW294" s="152" t="n">
        <v>283</v>
      </c>
      <c r="AX294" s="152">
        <f>IF(BA293&lt;=0.005,0,BA293*(1+AX$6))</f>
        <v/>
      </c>
      <c r="AY294" s="152">
        <f>MIN(AX294,AX$7)</f>
        <v/>
      </c>
      <c r="AZ294" s="152">
        <f>MAX(0,MIN(AX294-AY294,CL294))</f>
        <v/>
      </c>
      <c r="BA294" s="152">
        <f>AX294-AY294-AZ294</f>
        <v/>
      </c>
      <c r="BB294" s="152">
        <f>IF(BE293&lt;=0.005,0,BE293*(1+BB$6))</f>
        <v/>
      </c>
      <c r="BC294" s="152">
        <f>MIN(BB294,BB$7)</f>
        <v/>
      </c>
      <c r="BD294" s="152">
        <f>MAX(0,MIN(BB294-BC294,CL294-(AZ294)))</f>
        <v/>
      </c>
      <c r="BE294" s="152">
        <f>BB294-BC294-BD294</f>
        <v/>
      </c>
      <c r="BF294" s="152">
        <f>IF(BI293&lt;=0.005,0,BI293*(1+BF$6))</f>
        <v/>
      </c>
      <c r="BG294" s="152">
        <f>MIN(BF294,BF$7)</f>
        <v/>
      </c>
      <c r="BH294" s="152">
        <f>MAX(0,MIN(BF294-BG294,CL294-(AZ294+BD294)))</f>
        <v/>
      </c>
      <c r="BI294" s="152">
        <f>BF294-BG294-BH294</f>
        <v/>
      </c>
      <c r="BJ294" s="152">
        <f>IF(BM293&lt;=0.005,0,BM293*(1+BJ$6))</f>
        <v/>
      </c>
      <c r="BK294" s="152">
        <f>MIN(BJ294,BJ$7)</f>
        <v/>
      </c>
      <c r="BL294" s="152">
        <f>MAX(0,MIN(BJ294-BK294,CL294-(AZ294+BD294+BH294)))</f>
        <v/>
      </c>
      <c r="BM294" s="152">
        <f>BJ294-BK294-BL294</f>
        <v/>
      </c>
      <c r="BN294" s="152">
        <f>IF(BQ293&lt;=0.005,0,BQ293*(1+BN$6))</f>
        <v/>
      </c>
      <c r="BO294" s="152">
        <f>MIN(BN294,BN$7)</f>
        <v/>
      </c>
      <c r="BP294" s="152">
        <f>MAX(0,MIN(BN294-BO294,CL294-(AZ294+BD294+BH294+BL294)))</f>
        <v/>
      </c>
      <c r="BQ294" s="152">
        <f>BN294-BO294-BP294</f>
        <v/>
      </c>
      <c r="BR294" s="152">
        <f>IF(BU293&lt;=0.005,0,BU293*(1+BR$6))</f>
        <v/>
      </c>
      <c r="BS294" s="152">
        <f>MIN(BR294,BR$7)</f>
        <v/>
      </c>
      <c r="BT294" s="152">
        <f>MAX(0,MIN(BR294-BS294,CL294-(AZ294+BD294+BH294+BL294+BP294)))</f>
        <v/>
      </c>
      <c r="BU294" s="152">
        <f>BR294-BS294-BT294</f>
        <v/>
      </c>
      <c r="BV294" s="152">
        <f>IF(BY293&lt;=0.005,0,BY293*(1+BV$6))</f>
        <v/>
      </c>
      <c r="BW294" s="152">
        <f>MIN(BV294,BV$7)</f>
        <v/>
      </c>
      <c r="BX294" s="152">
        <f>MAX(0,MIN(BV294-BW294,CL294-(AZ294+BD294+BH294+BL294+BP294+BT294)))</f>
        <v/>
      </c>
      <c r="BY294" s="152">
        <f>BV294-BW294-BX294</f>
        <v/>
      </c>
      <c r="BZ294" s="152">
        <f>IF(CC293&lt;=0.005,0,CC293*(1+BZ$6))</f>
        <v/>
      </c>
      <c r="CA294" s="152">
        <f>MIN(BZ294,BZ$7)</f>
        <v/>
      </c>
      <c r="CB294" s="152">
        <f>MAX(0,MIN(BZ294-CA294,CL294-(AZ294+BD294+BH294+BL294+BP294+BT294+BX294)))</f>
        <v/>
      </c>
      <c r="CC294" s="152">
        <f>BZ294-CA294-CB294</f>
        <v/>
      </c>
      <c r="CD294" s="152">
        <f>IF(CG293&lt;=0.005,0,CG293*(1+CD$6))</f>
        <v/>
      </c>
      <c r="CE294" s="152">
        <f>MIN(CD294,CD$7)</f>
        <v/>
      </c>
      <c r="CF294" s="152">
        <f>MAX(0,MIN(CD294-CE294,CL294-(AZ294+BD294+BH294+BL294+BP294+BT294+BX294+CB294)))</f>
        <v/>
      </c>
      <c r="CG294" s="152">
        <f>CD294-CE294-CF294</f>
        <v/>
      </c>
      <c r="CH294" s="152">
        <f>IF(CK293&lt;=0.005,0,CK293*(1+CH$6))</f>
        <v/>
      </c>
      <c r="CI294" s="152">
        <f>MIN(CH294,CH$7)</f>
        <v/>
      </c>
      <c r="CJ294" s="152">
        <f>MAX(0,MIN(CH294-CI294,CL294-(AZ294+BD294+BH294+BL294+BP294+BT294+BX294+CB294+CF294)))</f>
        <v/>
      </c>
      <c r="CK294" s="152">
        <f>CH294-CI294-CJ294</f>
        <v/>
      </c>
      <c r="CL294" s="152">
        <f>'Debt Payoff'!$C$8-SUM(AY294,BC294,BG294,BK294,BO294,BS294,BW294,CA294,CE294,CI294)</f>
        <v/>
      </c>
      <c r="CM294" s="152">
        <f>SUM(AY294,BC294,BG294,BK294,BO294,BS294,BW294,CA294,CE294,CI294)+SUM(AZ294,BD294,BH294,BL294,BP294,BT294,BX294,CB294,CF294,CJ294)</f>
        <v/>
      </c>
      <c r="CN294" s="152">
        <f>SUM(BA294,BE294,BI294,BM294,BQ294,BU294,BY294,CC294,CG294,CK294)</f>
        <v/>
      </c>
      <c r="CO294" s="152">
        <f>IF(AW294&gt;CN$6,NA(),AW294)</f>
        <v/>
      </c>
      <c r="CP294" s="152">
        <f>IF(AW294&gt;CN$6,NA(),CN294)</f>
        <v/>
      </c>
    </row>
    <row r="295">
      <c r="B295" s="152" t="n">
        <v>284</v>
      </c>
      <c r="C295" s="152">
        <f>IF(F294&lt;=0.005,0,F294*(1+C$6))</f>
        <v/>
      </c>
      <c r="D295" s="152">
        <f>MIN(C295,C$7)</f>
        <v/>
      </c>
      <c r="E295" s="152">
        <f>MAX(0,MIN(C295-D295,AQ295))</f>
        <v/>
      </c>
      <c r="F295" s="152">
        <f>C295-D295-E295</f>
        <v/>
      </c>
      <c r="G295" s="152">
        <f>IF(J294&lt;=0.005,0,J294*(1+G$6))</f>
        <v/>
      </c>
      <c r="H295" s="152">
        <f>MIN(G295,G$7)</f>
        <v/>
      </c>
      <c r="I295" s="152">
        <f>MAX(0,MIN(G295-H295,AQ295-(E295)))</f>
        <v/>
      </c>
      <c r="J295" s="152">
        <f>G295-H295-I295</f>
        <v/>
      </c>
      <c r="K295" s="152">
        <f>IF(N294&lt;=0.005,0,N294*(1+K$6))</f>
        <v/>
      </c>
      <c r="L295" s="152">
        <f>MIN(K295,K$7)</f>
        <v/>
      </c>
      <c r="M295" s="152">
        <f>MAX(0,MIN(K295-L295,AQ295-(E295+I295)))</f>
        <v/>
      </c>
      <c r="N295" s="152">
        <f>K295-L295-M295</f>
        <v/>
      </c>
      <c r="O295" s="152">
        <f>IF(R294&lt;=0.005,0,R294*(1+O$6))</f>
        <v/>
      </c>
      <c r="P295" s="152">
        <f>MIN(O295,O$7)</f>
        <v/>
      </c>
      <c r="Q295" s="152">
        <f>MAX(0,MIN(O295-P295,AQ295-(E295+I295+M295)))</f>
        <v/>
      </c>
      <c r="R295" s="152">
        <f>O295-P295-Q295</f>
        <v/>
      </c>
      <c r="S295" s="152">
        <f>IF(V294&lt;=0.005,0,V294*(1+S$6))</f>
        <v/>
      </c>
      <c r="T295" s="152">
        <f>MIN(S295,S$7)</f>
        <v/>
      </c>
      <c r="U295" s="152">
        <f>MAX(0,MIN(S295-T295,AQ295-(E295+I295+M295+Q295)))</f>
        <v/>
      </c>
      <c r="V295" s="152">
        <f>S295-T295-U295</f>
        <v/>
      </c>
      <c r="W295" s="152">
        <f>IF(Z294&lt;=0.005,0,Z294*(1+W$6))</f>
        <v/>
      </c>
      <c r="X295" s="152">
        <f>MIN(W295,W$7)</f>
        <v/>
      </c>
      <c r="Y295" s="152">
        <f>MAX(0,MIN(W295-X295,AQ295-(E295+I295+M295+Q295+U295)))</f>
        <v/>
      </c>
      <c r="Z295" s="152">
        <f>W295-X295-Y295</f>
        <v/>
      </c>
      <c r="AA295" s="152">
        <f>IF(AD294&lt;=0.005,0,AD294*(1+AA$6))</f>
        <v/>
      </c>
      <c r="AB295" s="152">
        <f>MIN(AA295,AA$7)</f>
        <v/>
      </c>
      <c r="AC295" s="152">
        <f>MAX(0,MIN(AA295-AB295,AQ295-(E295+I295+M295+Q295+U295+Y295)))</f>
        <v/>
      </c>
      <c r="AD295" s="152">
        <f>AA295-AB295-AC295</f>
        <v/>
      </c>
      <c r="AE295" s="152">
        <f>IF(AH294&lt;=0.005,0,AH294*(1+AE$6))</f>
        <v/>
      </c>
      <c r="AF295" s="152">
        <f>MIN(AE295,AE$7)</f>
        <v/>
      </c>
      <c r="AG295" s="152">
        <f>MAX(0,MIN(AE295-AF295,AQ295-(E295+I295+M295+Q295+U295+Y295+AC295)))</f>
        <v/>
      </c>
      <c r="AH295" s="152">
        <f>AE295-AF295-AG295</f>
        <v/>
      </c>
      <c r="AI295" s="152">
        <f>IF(AL294&lt;=0.005,0,AL294*(1+AI$6))</f>
        <v/>
      </c>
      <c r="AJ295" s="152">
        <f>MIN(AI295,AI$7)</f>
        <v/>
      </c>
      <c r="AK295" s="152">
        <f>MAX(0,MIN(AI295-AJ295,AQ295-(E295+I295+M295+Q295+U295+Y295+AC295+AG295)))</f>
        <v/>
      </c>
      <c r="AL295" s="152">
        <f>AI295-AJ295-AK295</f>
        <v/>
      </c>
      <c r="AM295" s="152">
        <f>IF(AP294&lt;=0.005,0,AP294*(1+AM$6))</f>
        <v/>
      </c>
      <c r="AN295" s="152">
        <f>MIN(AM295,AM$7)</f>
        <v/>
      </c>
      <c r="AO295" s="152">
        <f>MAX(0,MIN(AM295-AN295,AQ295-(E295+I295+M295+Q295+U295+Y295+AC295+AG295+AK295)))</f>
        <v/>
      </c>
      <c r="AP295" s="152">
        <f>AM295-AN295-AO295</f>
        <v/>
      </c>
      <c r="AQ295" s="152">
        <f>'Debt Payoff'!$C$8-SUM(D295,H295,L295,P295,T295,X295,AB295,AF295,AJ295,AN295)</f>
        <v/>
      </c>
      <c r="AR295" s="152">
        <f>SUM(D295,H295,L295,P295,T295,X295,AB295,AF295,AJ295,AN295)+SUM(E295,I295,M295,Q295,U295,Y295,AC295,AG295,AK295,AO295)</f>
        <v/>
      </c>
      <c r="AS295" s="152">
        <f>SUM(F295,J295,N295,R295,V295,Z295,AD295,AH295,AL295,AP295)</f>
        <v/>
      </c>
      <c r="AT295" s="152">
        <f>IF(B295&gt;AS$6,NA(),B295)</f>
        <v/>
      </c>
      <c r="AU295" s="152">
        <f>IF(B295&gt;AS$6,NA(),AS295)</f>
        <v/>
      </c>
      <c r="AV295" s="152" t="n"/>
      <c r="AW295" s="152" t="n">
        <v>284</v>
      </c>
      <c r="AX295" s="152">
        <f>IF(BA294&lt;=0.005,0,BA294*(1+AX$6))</f>
        <v/>
      </c>
      <c r="AY295" s="152">
        <f>MIN(AX295,AX$7)</f>
        <v/>
      </c>
      <c r="AZ295" s="152">
        <f>MAX(0,MIN(AX295-AY295,CL295))</f>
        <v/>
      </c>
      <c r="BA295" s="152">
        <f>AX295-AY295-AZ295</f>
        <v/>
      </c>
      <c r="BB295" s="152">
        <f>IF(BE294&lt;=0.005,0,BE294*(1+BB$6))</f>
        <v/>
      </c>
      <c r="BC295" s="152">
        <f>MIN(BB295,BB$7)</f>
        <v/>
      </c>
      <c r="BD295" s="152">
        <f>MAX(0,MIN(BB295-BC295,CL295-(AZ295)))</f>
        <v/>
      </c>
      <c r="BE295" s="152">
        <f>BB295-BC295-BD295</f>
        <v/>
      </c>
      <c r="BF295" s="152">
        <f>IF(BI294&lt;=0.005,0,BI294*(1+BF$6))</f>
        <v/>
      </c>
      <c r="BG295" s="152">
        <f>MIN(BF295,BF$7)</f>
        <v/>
      </c>
      <c r="BH295" s="152">
        <f>MAX(0,MIN(BF295-BG295,CL295-(AZ295+BD295)))</f>
        <v/>
      </c>
      <c r="BI295" s="152">
        <f>BF295-BG295-BH295</f>
        <v/>
      </c>
      <c r="BJ295" s="152">
        <f>IF(BM294&lt;=0.005,0,BM294*(1+BJ$6))</f>
        <v/>
      </c>
      <c r="BK295" s="152">
        <f>MIN(BJ295,BJ$7)</f>
        <v/>
      </c>
      <c r="BL295" s="152">
        <f>MAX(0,MIN(BJ295-BK295,CL295-(AZ295+BD295+BH295)))</f>
        <v/>
      </c>
      <c r="BM295" s="152">
        <f>BJ295-BK295-BL295</f>
        <v/>
      </c>
      <c r="BN295" s="152">
        <f>IF(BQ294&lt;=0.005,0,BQ294*(1+BN$6))</f>
        <v/>
      </c>
      <c r="BO295" s="152">
        <f>MIN(BN295,BN$7)</f>
        <v/>
      </c>
      <c r="BP295" s="152">
        <f>MAX(0,MIN(BN295-BO295,CL295-(AZ295+BD295+BH295+BL295)))</f>
        <v/>
      </c>
      <c r="BQ295" s="152">
        <f>BN295-BO295-BP295</f>
        <v/>
      </c>
      <c r="BR295" s="152">
        <f>IF(BU294&lt;=0.005,0,BU294*(1+BR$6))</f>
        <v/>
      </c>
      <c r="BS295" s="152">
        <f>MIN(BR295,BR$7)</f>
        <v/>
      </c>
      <c r="BT295" s="152">
        <f>MAX(0,MIN(BR295-BS295,CL295-(AZ295+BD295+BH295+BL295+BP295)))</f>
        <v/>
      </c>
      <c r="BU295" s="152">
        <f>BR295-BS295-BT295</f>
        <v/>
      </c>
      <c r="BV295" s="152">
        <f>IF(BY294&lt;=0.005,0,BY294*(1+BV$6))</f>
        <v/>
      </c>
      <c r="BW295" s="152">
        <f>MIN(BV295,BV$7)</f>
        <v/>
      </c>
      <c r="BX295" s="152">
        <f>MAX(0,MIN(BV295-BW295,CL295-(AZ295+BD295+BH295+BL295+BP295+BT295)))</f>
        <v/>
      </c>
      <c r="BY295" s="152">
        <f>BV295-BW295-BX295</f>
        <v/>
      </c>
      <c r="BZ295" s="152">
        <f>IF(CC294&lt;=0.005,0,CC294*(1+BZ$6))</f>
        <v/>
      </c>
      <c r="CA295" s="152">
        <f>MIN(BZ295,BZ$7)</f>
        <v/>
      </c>
      <c r="CB295" s="152">
        <f>MAX(0,MIN(BZ295-CA295,CL295-(AZ295+BD295+BH295+BL295+BP295+BT295+BX295)))</f>
        <v/>
      </c>
      <c r="CC295" s="152">
        <f>BZ295-CA295-CB295</f>
        <v/>
      </c>
      <c r="CD295" s="152">
        <f>IF(CG294&lt;=0.005,0,CG294*(1+CD$6))</f>
        <v/>
      </c>
      <c r="CE295" s="152">
        <f>MIN(CD295,CD$7)</f>
        <v/>
      </c>
      <c r="CF295" s="152">
        <f>MAX(0,MIN(CD295-CE295,CL295-(AZ295+BD295+BH295+BL295+BP295+BT295+BX295+CB295)))</f>
        <v/>
      </c>
      <c r="CG295" s="152">
        <f>CD295-CE295-CF295</f>
        <v/>
      </c>
      <c r="CH295" s="152">
        <f>IF(CK294&lt;=0.005,0,CK294*(1+CH$6))</f>
        <v/>
      </c>
      <c r="CI295" s="152">
        <f>MIN(CH295,CH$7)</f>
        <v/>
      </c>
      <c r="CJ295" s="152">
        <f>MAX(0,MIN(CH295-CI295,CL295-(AZ295+BD295+BH295+BL295+BP295+BT295+BX295+CB295+CF295)))</f>
        <v/>
      </c>
      <c r="CK295" s="152">
        <f>CH295-CI295-CJ295</f>
        <v/>
      </c>
      <c r="CL295" s="152">
        <f>'Debt Payoff'!$C$8-SUM(AY295,BC295,BG295,BK295,BO295,BS295,BW295,CA295,CE295,CI295)</f>
        <v/>
      </c>
      <c r="CM295" s="152">
        <f>SUM(AY295,BC295,BG295,BK295,BO295,BS295,BW295,CA295,CE295,CI295)+SUM(AZ295,BD295,BH295,BL295,BP295,BT295,BX295,CB295,CF295,CJ295)</f>
        <v/>
      </c>
      <c r="CN295" s="152">
        <f>SUM(BA295,BE295,BI295,BM295,BQ295,BU295,BY295,CC295,CG295,CK295)</f>
        <v/>
      </c>
      <c r="CO295" s="152">
        <f>IF(AW295&gt;CN$6,NA(),AW295)</f>
        <v/>
      </c>
      <c r="CP295" s="152">
        <f>IF(AW295&gt;CN$6,NA(),CN295)</f>
        <v/>
      </c>
    </row>
    <row r="296">
      <c r="B296" s="152" t="n">
        <v>285</v>
      </c>
      <c r="C296" s="152">
        <f>IF(F295&lt;=0.005,0,F295*(1+C$6))</f>
        <v/>
      </c>
      <c r="D296" s="152">
        <f>MIN(C296,C$7)</f>
        <v/>
      </c>
      <c r="E296" s="152">
        <f>MAX(0,MIN(C296-D296,AQ296))</f>
        <v/>
      </c>
      <c r="F296" s="152">
        <f>C296-D296-E296</f>
        <v/>
      </c>
      <c r="G296" s="152">
        <f>IF(J295&lt;=0.005,0,J295*(1+G$6))</f>
        <v/>
      </c>
      <c r="H296" s="152">
        <f>MIN(G296,G$7)</f>
        <v/>
      </c>
      <c r="I296" s="152">
        <f>MAX(0,MIN(G296-H296,AQ296-(E296)))</f>
        <v/>
      </c>
      <c r="J296" s="152">
        <f>G296-H296-I296</f>
        <v/>
      </c>
      <c r="K296" s="152">
        <f>IF(N295&lt;=0.005,0,N295*(1+K$6))</f>
        <v/>
      </c>
      <c r="L296" s="152">
        <f>MIN(K296,K$7)</f>
        <v/>
      </c>
      <c r="M296" s="152">
        <f>MAX(0,MIN(K296-L296,AQ296-(E296+I296)))</f>
        <v/>
      </c>
      <c r="N296" s="152">
        <f>K296-L296-M296</f>
        <v/>
      </c>
      <c r="O296" s="152">
        <f>IF(R295&lt;=0.005,0,R295*(1+O$6))</f>
        <v/>
      </c>
      <c r="P296" s="152">
        <f>MIN(O296,O$7)</f>
        <v/>
      </c>
      <c r="Q296" s="152">
        <f>MAX(0,MIN(O296-P296,AQ296-(E296+I296+M296)))</f>
        <v/>
      </c>
      <c r="R296" s="152">
        <f>O296-P296-Q296</f>
        <v/>
      </c>
      <c r="S296" s="152">
        <f>IF(V295&lt;=0.005,0,V295*(1+S$6))</f>
        <v/>
      </c>
      <c r="T296" s="152">
        <f>MIN(S296,S$7)</f>
        <v/>
      </c>
      <c r="U296" s="152">
        <f>MAX(0,MIN(S296-T296,AQ296-(E296+I296+M296+Q296)))</f>
        <v/>
      </c>
      <c r="V296" s="152">
        <f>S296-T296-U296</f>
        <v/>
      </c>
      <c r="W296" s="152">
        <f>IF(Z295&lt;=0.005,0,Z295*(1+W$6))</f>
        <v/>
      </c>
      <c r="X296" s="152">
        <f>MIN(W296,W$7)</f>
        <v/>
      </c>
      <c r="Y296" s="152">
        <f>MAX(0,MIN(W296-X296,AQ296-(E296+I296+M296+Q296+U296)))</f>
        <v/>
      </c>
      <c r="Z296" s="152">
        <f>W296-X296-Y296</f>
        <v/>
      </c>
      <c r="AA296" s="152">
        <f>IF(AD295&lt;=0.005,0,AD295*(1+AA$6))</f>
        <v/>
      </c>
      <c r="AB296" s="152">
        <f>MIN(AA296,AA$7)</f>
        <v/>
      </c>
      <c r="AC296" s="152">
        <f>MAX(0,MIN(AA296-AB296,AQ296-(E296+I296+M296+Q296+U296+Y296)))</f>
        <v/>
      </c>
      <c r="AD296" s="152">
        <f>AA296-AB296-AC296</f>
        <v/>
      </c>
      <c r="AE296" s="152">
        <f>IF(AH295&lt;=0.005,0,AH295*(1+AE$6))</f>
        <v/>
      </c>
      <c r="AF296" s="152">
        <f>MIN(AE296,AE$7)</f>
        <v/>
      </c>
      <c r="AG296" s="152">
        <f>MAX(0,MIN(AE296-AF296,AQ296-(E296+I296+M296+Q296+U296+Y296+AC296)))</f>
        <v/>
      </c>
      <c r="AH296" s="152">
        <f>AE296-AF296-AG296</f>
        <v/>
      </c>
      <c r="AI296" s="152">
        <f>IF(AL295&lt;=0.005,0,AL295*(1+AI$6))</f>
        <v/>
      </c>
      <c r="AJ296" s="152">
        <f>MIN(AI296,AI$7)</f>
        <v/>
      </c>
      <c r="AK296" s="152">
        <f>MAX(0,MIN(AI296-AJ296,AQ296-(E296+I296+M296+Q296+U296+Y296+AC296+AG296)))</f>
        <v/>
      </c>
      <c r="AL296" s="152">
        <f>AI296-AJ296-AK296</f>
        <v/>
      </c>
      <c r="AM296" s="152">
        <f>IF(AP295&lt;=0.005,0,AP295*(1+AM$6))</f>
        <v/>
      </c>
      <c r="AN296" s="152">
        <f>MIN(AM296,AM$7)</f>
        <v/>
      </c>
      <c r="AO296" s="152">
        <f>MAX(0,MIN(AM296-AN296,AQ296-(E296+I296+M296+Q296+U296+Y296+AC296+AG296+AK296)))</f>
        <v/>
      </c>
      <c r="AP296" s="152">
        <f>AM296-AN296-AO296</f>
        <v/>
      </c>
      <c r="AQ296" s="152">
        <f>'Debt Payoff'!$C$8-SUM(D296,H296,L296,P296,T296,X296,AB296,AF296,AJ296,AN296)</f>
        <v/>
      </c>
      <c r="AR296" s="152">
        <f>SUM(D296,H296,L296,P296,T296,X296,AB296,AF296,AJ296,AN296)+SUM(E296,I296,M296,Q296,U296,Y296,AC296,AG296,AK296,AO296)</f>
        <v/>
      </c>
      <c r="AS296" s="152">
        <f>SUM(F296,J296,N296,R296,V296,Z296,AD296,AH296,AL296,AP296)</f>
        <v/>
      </c>
      <c r="AT296" s="152">
        <f>IF(B296&gt;AS$6,NA(),B296)</f>
        <v/>
      </c>
      <c r="AU296" s="152">
        <f>IF(B296&gt;AS$6,NA(),AS296)</f>
        <v/>
      </c>
      <c r="AV296" s="152" t="n"/>
      <c r="AW296" s="152" t="n">
        <v>285</v>
      </c>
      <c r="AX296" s="152">
        <f>IF(BA295&lt;=0.005,0,BA295*(1+AX$6))</f>
        <v/>
      </c>
      <c r="AY296" s="152">
        <f>MIN(AX296,AX$7)</f>
        <v/>
      </c>
      <c r="AZ296" s="152">
        <f>MAX(0,MIN(AX296-AY296,CL296))</f>
        <v/>
      </c>
      <c r="BA296" s="152">
        <f>AX296-AY296-AZ296</f>
        <v/>
      </c>
      <c r="BB296" s="152">
        <f>IF(BE295&lt;=0.005,0,BE295*(1+BB$6))</f>
        <v/>
      </c>
      <c r="BC296" s="152">
        <f>MIN(BB296,BB$7)</f>
        <v/>
      </c>
      <c r="BD296" s="152">
        <f>MAX(0,MIN(BB296-BC296,CL296-(AZ296)))</f>
        <v/>
      </c>
      <c r="BE296" s="152">
        <f>BB296-BC296-BD296</f>
        <v/>
      </c>
      <c r="BF296" s="152">
        <f>IF(BI295&lt;=0.005,0,BI295*(1+BF$6))</f>
        <v/>
      </c>
      <c r="BG296" s="152">
        <f>MIN(BF296,BF$7)</f>
        <v/>
      </c>
      <c r="BH296" s="152">
        <f>MAX(0,MIN(BF296-BG296,CL296-(AZ296+BD296)))</f>
        <v/>
      </c>
      <c r="BI296" s="152">
        <f>BF296-BG296-BH296</f>
        <v/>
      </c>
      <c r="BJ296" s="152">
        <f>IF(BM295&lt;=0.005,0,BM295*(1+BJ$6))</f>
        <v/>
      </c>
      <c r="BK296" s="152">
        <f>MIN(BJ296,BJ$7)</f>
        <v/>
      </c>
      <c r="BL296" s="152">
        <f>MAX(0,MIN(BJ296-BK296,CL296-(AZ296+BD296+BH296)))</f>
        <v/>
      </c>
      <c r="BM296" s="152">
        <f>BJ296-BK296-BL296</f>
        <v/>
      </c>
      <c r="BN296" s="152">
        <f>IF(BQ295&lt;=0.005,0,BQ295*(1+BN$6))</f>
        <v/>
      </c>
      <c r="BO296" s="152">
        <f>MIN(BN296,BN$7)</f>
        <v/>
      </c>
      <c r="BP296" s="152">
        <f>MAX(0,MIN(BN296-BO296,CL296-(AZ296+BD296+BH296+BL296)))</f>
        <v/>
      </c>
      <c r="BQ296" s="152">
        <f>BN296-BO296-BP296</f>
        <v/>
      </c>
      <c r="BR296" s="152">
        <f>IF(BU295&lt;=0.005,0,BU295*(1+BR$6))</f>
        <v/>
      </c>
      <c r="BS296" s="152">
        <f>MIN(BR296,BR$7)</f>
        <v/>
      </c>
      <c r="BT296" s="152">
        <f>MAX(0,MIN(BR296-BS296,CL296-(AZ296+BD296+BH296+BL296+BP296)))</f>
        <v/>
      </c>
      <c r="BU296" s="152">
        <f>BR296-BS296-BT296</f>
        <v/>
      </c>
      <c r="BV296" s="152">
        <f>IF(BY295&lt;=0.005,0,BY295*(1+BV$6))</f>
        <v/>
      </c>
      <c r="BW296" s="152">
        <f>MIN(BV296,BV$7)</f>
        <v/>
      </c>
      <c r="BX296" s="152">
        <f>MAX(0,MIN(BV296-BW296,CL296-(AZ296+BD296+BH296+BL296+BP296+BT296)))</f>
        <v/>
      </c>
      <c r="BY296" s="152">
        <f>BV296-BW296-BX296</f>
        <v/>
      </c>
      <c r="BZ296" s="152">
        <f>IF(CC295&lt;=0.005,0,CC295*(1+BZ$6))</f>
        <v/>
      </c>
      <c r="CA296" s="152">
        <f>MIN(BZ296,BZ$7)</f>
        <v/>
      </c>
      <c r="CB296" s="152">
        <f>MAX(0,MIN(BZ296-CA296,CL296-(AZ296+BD296+BH296+BL296+BP296+BT296+BX296)))</f>
        <v/>
      </c>
      <c r="CC296" s="152">
        <f>BZ296-CA296-CB296</f>
        <v/>
      </c>
      <c r="CD296" s="152">
        <f>IF(CG295&lt;=0.005,0,CG295*(1+CD$6))</f>
        <v/>
      </c>
      <c r="CE296" s="152">
        <f>MIN(CD296,CD$7)</f>
        <v/>
      </c>
      <c r="CF296" s="152">
        <f>MAX(0,MIN(CD296-CE296,CL296-(AZ296+BD296+BH296+BL296+BP296+BT296+BX296+CB296)))</f>
        <v/>
      </c>
      <c r="CG296" s="152">
        <f>CD296-CE296-CF296</f>
        <v/>
      </c>
      <c r="CH296" s="152">
        <f>IF(CK295&lt;=0.005,0,CK295*(1+CH$6))</f>
        <v/>
      </c>
      <c r="CI296" s="152">
        <f>MIN(CH296,CH$7)</f>
        <v/>
      </c>
      <c r="CJ296" s="152">
        <f>MAX(0,MIN(CH296-CI296,CL296-(AZ296+BD296+BH296+BL296+BP296+BT296+BX296+CB296+CF296)))</f>
        <v/>
      </c>
      <c r="CK296" s="152">
        <f>CH296-CI296-CJ296</f>
        <v/>
      </c>
      <c r="CL296" s="152">
        <f>'Debt Payoff'!$C$8-SUM(AY296,BC296,BG296,BK296,BO296,BS296,BW296,CA296,CE296,CI296)</f>
        <v/>
      </c>
      <c r="CM296" s="152">
        <f>SUM(AY296,BC296,BG296,BK296,BO296,BS296,BW296,CA296,CE296,CI296)+SUM(AZ296,BD296,BH296,BL296,BP296,BT296,BX296,CB296,CF296,CJ296)</f>
        <v/>
      </c>
      <c r="CN296" s="152">
        <f>SUM(BA296,BE296,BI296,BM296,BQ296,BU296,BY296,CC296,CG296,CK296)</f>
        <v/>
      </c>
      <c r="CO296" s="152">
        <f>IF(AW296&gt;CN$6,NA(),AW296)</f>
        <v/>
      </c>
      <c r="CP296" s="152">
        <f>IF(AW296&gt;CN$6,NA(),CN296)</f>
        <v/>
      </c>
    </row>
    <row r="297">
      <c r="B297" s="152" t="n">
        <v>286</v>
      </c>
      <c r="C297" s="152">
        <f>IF(F296&lt;=0.005,0,F296*(1+C$6))</f>
        <v/>
      </c>
      <c r="D297" s="152">
        <f>MIN(C297,C$7)</f>
        <v/>
      </c>
      <c r="E297" s="152">
        <f>MAX(0,MIN(C297-D297,AQ297))</f>
        <v/>
      </c>
      <c r="F297" s="152">
        <f>C297-D297-E297</f>
        <v/>
      </c>
      <c r="G297" s="152">
        <f>IF(J296&lt;=0.005,0,J296*(1+G$6))</f>
        <v/>
      </c>
      <c r="H297" s="152">
        <f>MIN(G297,G$7)</f>
        <v/>
      </c>
      <c r="I297" s="152">
        <f>MAX(0,MIN(G297-H297,AQ297-(E297)))</f>
        <v/>
      </c>
      <c r="J297" s="152">
        <f>G297-H297-I297</f>
        <v/>
      </c>
      <c r="K297" s="152">
        <f>IF(N296&lt;=0.005,0,N296*(1+K$6))</f>
        <v/>
      </c>
      <c r="L297" s="152">
        <f>MIN(K297,K$7)</f>
        <v/>
      </c>
      <c r="M297" s="152">
        <f>MAX(0,MIN(K297-L297,AQ297-(E297+I297)))</f>
        <v/>
      </c>
      <c r="N297" s="152">
        <f>K297-L297-M297</f>
        <v/>
      </c>
      <c r="O297" s="152">
        <f>IF(R296&lt;=0.005,0,R296*(1+O$6))</f>
        <v/>
      </c>
      <c r="P297" s="152">
        <f>MIN(O297,O$7)</f>
        <v/>
      </c>
      <c r="Q297" s="152">
        <f>MAX(0,MIN(O297-P297,AQ297-(E297+I297+M297)))</f>
        <v/>
      </c>
      <c r="R297" s="152">
        <f>O297-P297-Q297</f>
        <v/>
      </c>
      <c r="S297" s="152">
        <f>IF(V296&lt;=0.005,0,V296*(1+S$6))</f>
        <v/>
      </c>
      <c r="T297" s="152">
        <f>MIN(S297,S$7)</f>
        <v/>
      </c>
      <c r="U297" s="152">
        <f>MAX(0,MIN(S297-T297,AQ297-(E297+I297+M297+Q297)))</f>
        <v/>
      </c>
      <c r="V297" s="152">
        <f>S297-T297-U297</f>
        <v/>
      </c>
      <c r="W297" s="152">
        <f>IF(Z296&lt;=0.005,0,Z296*(1+W$6))</f>
        <v/>
      </c>
      <c r="X297" s="152">
        <f>MIN(W297,W$7)</f>
        <v/>
      </c>
      <c r="Y297" s="152">
        <f>MAX(0,MIN(W297-X297,AQ297-(E297+I297+M297+Q297+U297)))</f>
        <v/>
      </c>
      <c r="Z297" s="152">
        <f>W297-X297-Y297</f>
        <v/>
      </c>
      <c r="AA297" s="152">
        <f>IF(AD296&lt;=0.005,0,AD296*(1+AA$6))</f>
        <v/>
      </c>
      <c r="AB297" s="152">
        <f>MIN(AA297,AA$7)</f>
        <v/>
      </c>
      <c r="AC297" s="152">
        <f>MAX(0,MIN(AA297-AB297,AQ297-(E297+I297+M297+Q297+U297+Y297)))</f>
        <v/>
      </c>
      <c r="AD297" s="152">
        <f>AA297-AB297-AC297</f>
        <v/>
      </c>
      <c r="AE297" s="152">
        <f>IF(AH296&lt;=0.005,0,AH296*(1+AE$6))</f>
        <v/>
      </c>
      <c r="AF297" s="152">
        <f>MIN(AE297,AE$7)</f>
        <v/>
      </c>
      <c r="AG297" s="152">
        <f>MAX(0,MIN(AE297-AF297,AQ297-(E297+I297+M297+Q297+U297+Y297+AC297)))</f>
        <v/>
      </c>
      <c r="AH297" s="152">
        <f>AE297-AF297-AG297</f>
        <v/>
      </c>
      <c r="AI297" s="152">
        <f>IF(AL296&lt;=0.005,0,AL296*(1+AI$6))</f>
        <v/>
      </c>
      <c r="AJ297" s="152">
        <f>MIN(AI297,AI$7)</f>
        <v/>
      </c>
      <c r="AK297" s="152">
        <f>MAX(0,MIN(AI297-AJ297,AQ297-(E297+I297+M297+Q297+U297+Y297+AC297+AG297)))</f>
        <v/>
      </c>
      <c r="AL297" s="152">
        <f>AI297-AJ297-AK297</f>
        <v/>
      </c>
      <c r="AM297" s="152">
        <f>IF(AP296&lt;=0.005,0,AP296*(1+AM$6))</f>
        <v/>
      </c>
      <c r="AN297" s="152">
        <f>MIN(AM297,AM$7)</f>
        <v/>
      </c>
      <c r="AO297" s="152">
        <f>MAX(0,MIN(AM297-AN297,AQ297-(E297+I297+M297+Q297+U297+Y297+AC297+AG297+AK297)))</f>
        <v/>
      </c>
      <c r="AP297" s="152">
        <f>AM297-AN297-AO297</f>
        <v/>
      </c>
      <c r="AQ297" s="152">
        <f>'Debt Payoff'!$C$8-SUM(D297,H297,L297,P297,T297,X297,AB297,AF297,AJ297,AN297)</f>
        <v/>
      </c>
      <c r="AR297" s="152">
        <f>SUM(D297,H297,L297,P297,T297,X297,AB297,AF297,AJ297,AN297)+SUM(E297,I297,M297,Q297,U297,Y297,AC297,AG297,AK297,AO297)</f>
        <v/>
      </c>
      <c r="AS297" s="152">
        <f>SUM(F297,J297,N297,R297,V297,Z297,AD297,AH297,AL297,AP297)</f>
        <v/>
      </c>
      <c r="AT297" s="152">
        <f>IF(B297&gt;AS$6,NA(),B297)</f>
        <v/>
      </c>
      <c r="AU297" s="152">
        <f>IF(B297&gt;AS$6,NA(),AS297)</f>
        <v/>
      </c>
      <c r="AV297" s="152" t="n"/>
      <c r="AW297" s="152" t="n">
        <v>286</v>
      </c>
      <c r="AX297" s="152">
        <f>IF(BA296&lt;=0.005,0,BA296*(1+AX$6))</f>
        <v/>
      </c>
      <c r="AY297" s="152">
        <f>MIN(AX297,AX$7)</f>
        <v/>
      </c>
      <c r="AZ297" s="152">
        <f>MAX(0,MIN(AX297-AY297,CL297))</f>
        <v/>
      </c>
      <c r="BA297" s="152">
        <f>AX297-AY297-AZ297</f>
        <v/>
      </c>
      <c r="BB297" s="152">
        <f>IF(BE296&lt;=0.005,0,BE296*(1+BB$6))</f>
        <v/>
      </c>
      <c r="BC297" s="152">
        <f>MIN(BB297,BB$7)</f>
        <v/>
      </c>
      <c r="BD297" s="152">
        <f>MAX(0,MIN(BB297-BC297,CL297-(AZ297)))</f>
        <v/>
      </c>
      <c r="BE297" s="152">
        <f>BB297-BC297-BD297</f>
        <v/>
      </c>
      <c r="BF297" s="152">
        <f>IF(BI296&lt;=0.005,0,BI296*(1+BF$6))</f>
        <v/>
      </c>
      <c r="BG297" s="152">
        <f>MIN(BF297,BF$7)</f>
        <v/>
      </c>
      <c r="BH297" s="152">
        <f>MAX(0,MIN(BF297-BG297,CL297-(AZ297+BD297)))</f>
        <v/>
      </c>
      <c r="BI297" s="152">
        <f>BF297-BG297-BH297</f>
        <v/>
      </c>
      <c r="BJ297" s="152">
        <f>IF(BM296&lt;=0.005,0,BM296*(1+BJ$6))</f>
        <v/>
      </c>
      <c r="BK297" s="152">
        <f>MIN(BJ297,BJ$7)</f>
        <v/>
      </c>
      <c r="BL297" s="152">
        <f>MAX(0,MIN(BJ297-BK297,CL297-(AZ297+BD297+BH297)))</f>
        <v/>
      </c>
      <c r="BM297" s="152">
        <f>BJ297-BK297-BL297</f>
        <v/>
      </c>
      <c r="BN297" s="152">
        <f>IF(BQ296&lt;=0.005,0,BQ296*(1+BN$6))</f>
        <v/>
      </c>
      <c r="BO297" s="152">
        <f>MIN(BN297,BN$7)</f>
        <v/>
      </c>
      <c r="BP297" s="152">
        <f>MAX(0,MIN(BN297-BO297,CL297-(AZ297+BD297+BH297+BL297)))</f>
        <v/>
      </c>
      <c r="BQ297" s="152">
        <f>BN297-BO297-BP297</f>
        <v/>
      </c>
      <c r="BR297" s="152">
        <f>IF(BU296&lt;=0.005,0,BU296*(1+BR$6))</f>
        <v/>
      </c>
      <c r="BS297" s="152">
        <f>MIN(BR297,BR$7)</f>
        <v/>
      </c>
      <c r="BT297" s="152">
        <f>MAX(0,MIN(BR297-BS297,CL297-(AZ297+BD297+BH297+BL297+BP297)))</f>
        <v/>
      </c>
      <c r="BU297" s="152">
        <f>BR297-BS297-BT297</f>
        <v/>
      </c>
      <c r="BV297" s="152">
        <f>IF(BY296&lt;=0.005,0,BY296*(1+BV$6))</f>
        <v/>
      </c>
      <c r="BW297" s="152">
        <f>MIN(BV297,BV$7)</f>
        <v/>
      </c>
      <c r="BX297" s="152">
        <f>MAX(0,MIN(BV297-BW297,CL297-(AZ297+BD297+BH297+BL297+BP297+BT297)))</f>
        <v/>
      </c>
      <c r="BY297" s="152">
        <f>BV297-BW297-BX297</f>
        <v/>
      </c>
      <c r="BZ297" s="152">
        <f>IF(CC296&lt;=0.005,0,CC296*(1+BZ$6))</f>
        <v/>
      </c>
      <c r="CA297" s="152">
        <f>MIN(BZ297,BZ$7)</f>
        <v/>
      </c>
      <c r="CB297" s="152">
        <f>MAX(0,MIN(BZ297-CA297,CL297-(AZ297+BD297+BH297+BL297+BP297+BT297+BX297)))</f>
        <v/>
      </c>
      <c r="CC297" s="152">
        <f>BZ297-CA297-CB297</f>
        <v/>
      </c>
      <c r="CD297" s="152">
        <f>IF(CG296&lt;=0.005,0,CG296*(1+CD$6))</f>
        <v/>
      </c>
      <c r="CE297" s="152">
        <f>MIN(CD297,CD$7)</f>
        <v/>
      </c>
      <c r="CF297" s="152">
        <f>MAX(0,MIN(CD297-CE297,CL297-(AZ297+BD297+BH297+BL297+BP297+BT297+BX297+CB297)))</f>
        <v/>
      </c>
      <c r="CG297" s="152">
        <f>CD297-CE297-CF297</f>
        <v/>
      </c>
      <c r="CH297" s="152">
        <f>IF(CK296&lt;=0.005,0,CK296*(1+CH$6))</f>
        <v/>
      </c>
      <c r="CI297" s="152">
        <f>MIN(CH297,CH$7)</f>
        <v/>
      </c>
      <c r="CJ297" s="152">
        <f>MAX(0,MIN(CH297-CI297,CL297-(AZ297+BD297+BH297+BL297+BP297+BT297+BX297+CB297+CF297)))</f>
        <v/>
      </c>
      <c r="CK297" s="152">
        <f>CH297-CI297-CJ297</f>
        <v/>
      </c>
      <c r="CL297" s="152">
        <f>'Debt Payoff'!$C$8-SUM(AY297,BC297,BG297,BK297,BO297,BS297,BW297,CA297,CE297,CI297)</f>
        <v/>
      </c>
      <c r="CM297" s="152">
        <f>SUM(AY297,BC297,BG297,BK297,BO297,BS297,BW297,CA297,CE297,CI297)+SUM(AZ297,BD297,BH297,BL297,BP297,BT297,BX297,CB297,CF297,CJ297)</f>
        <v/>
      </c>
      <c r="CN297" s="152">
        <f>SUM(BA297,BE297,BI297,BM297,BQ297,BU297,BY297,CC297,CG297,CK297)</f>
        <v/>
      </c>
      <c r="CO297" s="152">
        <f>IF(AW297&gt;CN$6,NA(),AW297)</f>
        <v/>
      </c>
      <c r="CP297" s="152">
        <f>IF(AW297&gt;CN$6,NA(),CN297)</f>
        <v/>
      </c>
    </row>
    <row r="298">
      <c r="B298" s="152" t="n">
        <v>287</v>
      </c>
      <c r="C298" s="152">
        <f>IF(F297&lt;=0.005,0,F297*(1+C$6))</f>
        <v/>
      </c>
      <c r="D298" s="152">
        <f>MIN(C298,C$7)</f>
        <v/>
      </c>
      <c r="E298" s="152">
        <f>MAX(0,MIN(C298-D298,AQ298))</f>
        <v/>
      </c>
      <c r="F298" s="152">
        <f>C298-D298-E298</f>
        <v/>
      </c>
      <c r="G298" s="152">
        <f>IF(J297&lt;=0.005,0,J297*(1+G$6))</f>
        <v/>
      </c>
      <c r="H298" s="152">
        <f>MIN(G298,G$7)</f>
        <v/>
      </c>
      <c r="I298" s="152">
        <f>MAX(0,MIN(G298-H298,AQ298-(E298)))</f>
        <v/>
      </c>
      <c r="J298" s="152">
        <f>G298-H298-I298</f>
        <v/>
      </c>
      <c r="K298" s="152">
        <f>IF(N297&lt;=0.005,0,N297*(1+K$6))</f>
        <v/>
      </c>
      <c r="L298" s="152">
        <f>MIN(K298,K$7)</f>
        <v/>
      </c>
      <c r="M298" s="152">
        <f>MAX(0,MIN(K298-L298,AQ298-(E298+I298)))</f>
        <v/>
      </c>
      <c r="N298" s="152">
        <f>K298-L298-M298</f>
        <v/>
      </c>
      <c r="O298" s="152">
        <f>IF(R297&lt;=0.005,0,R297*(1+O$6))</f>
        <v/>
      </c>
      <c r="P298" s="152">
        <f>MIN(O298,O$7)</f>
        <v/>
      </c>
      <c r="Q298" s="152">
        <f>MAX(0,MIN(O298-P298,AQ298-(E298+I298+M298)))</f>
        <v/>
      </c>
      <c r="R298" s="152">
        <f>O298-P298-Q298</f>
        <v/>
      </c>
      <c r="S298" s="152">
        <f>IF(V297&lt;=0.005,0,V297*(1+S$6))</f>
        <v/>
      </c>
      <c r="T298" s="152">
        <f>MIN(S298,S$7)</f>
        <v/>
      </c>
      <c r="U298" s="152">
        <f>MAX(0,MIN(S298-T298,AQ298-(E298+I298+M298+Q298)))</f>
        <v/>
      </c>
      <c r="V298" s="152">
        <f>S298-T298-U298</f>
        <v/>
      </c>
      <c r="W298" s="152">
        <f>IF(Z297&lt;=0.005,0,Z297*(1+W$6))</f>
        <v/>
      </c>
      <c r="X298" s="152">
        <f>MIN(W298,W$7)</f>
        <v/>
      </c>
      <c r="Y298" s="152">
        <f>MAX(0,MIN(W298-X298,AQ298-(E298+I298+M298+Q298+U298)))</f>
        <v/>
      </c>
      <c r="Z298" s="152">
        <f>W298-X298-Y298</f>
        <v/>
      </c>
      <c r="AA298" s="152">
        <f>IF(AD297&lt;=0.005,0,AD297*(1+AA$6))</f>
        <v/>
      </c>
      <c r="AB298" s="152">
        <f>MIN(AA298,AA$7)</f>
        <v/>
      </c>
      <c r="AC298" s="152">
        <f>MAX(0,MIN(AA298-AB298,AQ298-(E298+I298+M298+Q298+U298+Y298)))</f>
        <v/>
      </c>
      <c r="AD298" s="152">
        <f>AA298-AB298-AC298</f>
        <v/>
      </c>
      <c r="AE298" s="152">
        <f>IF(AH297&lt;=0.005,0,AH297*(1+AE$6))</f>
        <v/>
      </c>
      <c r="AF298" s="152">
        <f>MIN(AE298,AE$7)</f>
        <v/>
      </c>
      <c r="AG298" s="152">
        <f>MAX(0,MIN(AE298-AF298,AQ298-(E298+I298+M298+Q298+U298+Y298+AC298)))</f>
        <v/>
      </c>
      <c r="AH298" s="152">
        <f>AE298-AF298-AG298</f>
        <v/>
      </c>
      <c r="AI298" s="152">
        <f>IF(AL297&lt;=0.005,0,AL297*(1+AI$6))</f>
        <v/>
      </c>
      <c r="AJ298" s="152">
        <f>MIN(AI298,AI$7)</f>
        <v/>
      </c>
      <c r="AK298" s="152">
        <f>MAX(0,MIN(AI298-AJ298,AQ298-(E298+I298+M298+Q298+U298+Y298+AC298+AG298)))</f>
        <v/>
      </c>
      <c r="AL298" s="152">
        <f>AI298-AJ298-AK298</f>
        <v/>
      </c>
      <c r="AM298" s="152">
        <f>IF(AP297&lt;=0.005,0,AP297*(1+AM$6))</f>
        <v/>
      </c>
      <c r="AN298" s="152">
        <f>MIN(AM298,AM$7)</f>
        <v/>
      </c>
      <c r="AO298" s="152">
        <f>MAX(0,MIN(AM298-AN298,AQ298-(E298+I298+M298+Q298+U298+Y298+AC298+AG298+AK298)))</f>
        <v/>
      </c>
      <c r="AP298" s="152">
        <f>AM298-AN298-AO298</f>
        <v/>
      </c>
      <c r="AQ298" s="152">
        <f>'Debt Payoff'!$C$8-SUM(D298,H298,L298,P298,T298,X298,AB298,AF298,AJ298,AN298)</f>
        <v/>
      </c>
      <c r="AR298" s="152">
        <f>SUM(D298,H298,L298,P298,T298,X298,AB298,AF298,AJ298,AN298)+SUM(E298,I298,M298,Q298,U298,Y298,AC298,AG298,AK298,AO298)</f>
        <v/>
      </c>
      <c r="AS298" s="152">
        <f>SUM(F298,J298,N298,R298,V298,Z298,AD298,AH298,AL298,AP298)</f>
        <v/>
      </c>
      <c r="AT298" s="152">
        <f>IF(B298&gt;AS$6,NA(),B298)</f>
        <v/>
      </c>
      <c r="AU298" s="152">
        <f>IF(B298&gt;AS$6,NA(),AS298)</f>
        <v/>
      </c>
      <c r="AV298" s="152" t="n"/>
      <c r="AW298" s="152" t="n">
        <v>287</v>
      </c>
      <c r="AX298" s="152">
        <f>IF(BA297&lt;=0.005,0,BA297*(1+AX$6))</f>
        <v/>
      </c>
      <c r="AY298" s="152">
        <f>MIN(AX298,AX$7)</f>
        <v/>
      </c>
      <c r="AZ298" s="152">
        <f>MAX(0,MIN(AX298-AY298,CL298))</f>
        <v/>
      </c>
      <c r="BA298" s="152">
        <f>AX298-AY298-AZ298</f>
        <v/>
      </c>
      <c r="BB298" s="152">
        <f>IF(BE297&lt;=0.005,0,BE297*(1+BB$6))</f>
        <v/>
      </c>
      <c r="BC298" s="152">
        <f>MIN(BB298,BB$7)</f>
        <v/>
      </c>
      <c r="BD298" s="152">
        <f>MAX(0,MIN(BB298-BC298,CL298-(AZ298)))</f>
        <v/>
      </c>
      <c r="BE298" s="152">
        <f>BB298-BC298-BD298</f>
        <v/>
      </c>
      <c r="BF298" s="152">
        <f>IF(BI297&lt;=0.005,0,BI297*(1+BF$6))</f>
        <v/>
      </c>
      <c r="BG298" s="152">
        <f>MIN(BF298,BF$7)</f>
        <v/>
      </c>
      <c r="BH298" s="152">
        <f>MAX(0,MIN(BF298-BG298,CL298-(AZ298+BD298)))</f>
        <v/>
      </c>
      <c r="BI298" s="152">
        <f>BF298-BG298-BH298</f>
        <v/>
      </c>
      <c r="BJ298" s="152">
        <f>IF(BM297&lt;=0.005,0,BM297*(1+BJ$6))</f>
        <v/>
      </c>
      <c r="BK298" s="152">
        <f>MIN(BJ298,BJ$7)</f>
        <v/>
      </c>
      <c r="BL298" s="152">
        <f>MAX(0,MIN(BJ298-BK298,CL298-(AZ298+BD298+BH298)))</f>
        <v/>
      </c>
      <c r="BM298" s="152">
        <f>BJ298-BK298-BL298</f>
        <v/>
      </c>
      <c r="BN298" s="152">
        <f>IF(BQ297&lt;=0.005,0,BQ297*(1+BN$6))</f>
        <v/>
      </c>
      <c r="BO298" s="152">
        <f>MIN(BN298,BN$7)</f>
        <v/>
      </c>
      <c r="BP298" s="152">
        <f>MAX(0,MIN(BN298-BO298,CL298-(AZ298+BD298+BH298+BL298)))</f>
        <v/>
      </c>
      <c r="BQ298" s="152">
        <f>BN298-BO298-BP298</f>
        <v/>
      </c>
      <c r="BR298" s="152">
        <f>IF(BU297&lt;=0.005,0,BU297*(1+BR$6))</f>
        <v/>
      </c>
      <c r="BS298" s="152">
        <f>MIN(BR298,BR$7)</f>
        <v/>
      </c>
      <c r="BT298" s="152">
        <f>MAX(0,MIN(BR298-BS298,CL298-(AZ298+BD298+BH298+BL298+BP298)))</f>
        <v/>
      </c>
      <c r="BU298" s="152">
        <f>BR298-BS298-BT298</f>
        <v/>
      </c>
      <c r="BV298" s="152">
        <f>IF(BY297&lt;=0.005,0,BY297*(1+BV$6))</f>
        <v/>
      </c>
      <c r="BW298" s="152">
        <f>MIN(BV298,BV$7)</f>
        <v/>
      </c>
      <c r="BX298" s="152">
        <f>MAX(0,MIN(BV298-BW298,CL298-(AZ298+BD298+BH298+BL298+BP298+BT298)))</f>
        <v/>
      </c>
      <c r="BY298" s="152">
        <f>BV298-BW298-BX298</f>
        <v/>
      </c>
      <c r="BZ298" s="152">
        <f>IF(CC297&lt;=0.005,0,CC297*(1+BZ$6))</f>
        <v/>
      </c>
      <c r="CA298" s="152">
        <f>MIN(BZ298,BZ$7)</f>
        <v/>
      </c>
      <c r="CB298" s="152">
        <f>MAX(0,MIN(BZ298-CA298,CL298-(AZ298+BD298+BH298+BL298+BP298+BT298+BX298)))</f>
        <v/>
      </c>
      <c r="CC298" s="152">
        <f>BZ298-CA298-CB298</f>
        <v/>
      </c>
      <c r="CD298" s="152">
        <f>IF(CG297&lt;=0.005,0,CG297*(1+CD$6))</f>
        <v/>
      </c>
      <c r="CE298" s="152">
        <f>MIN(CD298,CD$7)</f>
        <v/>
      </c>
      <c r="CF298" s="152">
        <f>MAX(0,MIN(CD298-CE298,CL298-(AZ298+BD298+BH298+BL298+BP298+BT298+BX298+CB298)))</f>
        <v/>
      </c>
      <c r="CG298" s="152">
        <f>CD298-CE298-CF298</f>
        <v/>
      </c>
      <c r="CH298" s="152">
        <f>IF(CK297&lt;=0.005,0,CK297*(1+CH$6))</f>
        <v/>
      </c>
      <c r="CI298" s="152">
        <f>MIN(CH298,CH$7)</f>
        <v/>
      </c>
      <c r="CJ298" s="152">
        <f>MAX(0,MIN(CH298-CI298,CL298-(AZ298+BD298+BH298+BL298+BP298+BT298+BX298+CB298+CF298)))</f>
        <v/>
      </c>
      <c r="CK298" s="152">
        <f>CH298-CI298-CJ298</f>
        <v/>
      </c>
      <c r="CL298" s="152">
        <f>'Debt Payoff'!$C$8-SUM(AY298,BC298,BG298,BK298,BO298,BS298,BW298,CA298,CE298,CI298)</f>
        <v/>
      </c>
      <c r="CM298" s="152">
        <f>SUM(AY298,BC298,BG298,BK298,BO298,BS298,BW298,CA298,CE298,CI298)+SUM(AZ298,BD298,BH298,BL298,BP298,BT298,BX298,CB298,CF298,CJ298)</f>
        <v/>
      </c>
      <c r="CN298" s="152">
        <f>SUM(BA298,BE298,BI298,BM298,BQ298,BU298,BY298,CC298,CG298,CK298)</f>
        <v/>
      </c>
      <c r="CO298" s="152">
        <f>IF(AW298&gt;CN$6,NA(),AW298)</f>
        <v/>
      </c>
      <c r="CP298" s="152">
        <f>IF(AW298&gt;CN$6,NA(),CN298)</f>
        <v/>
      </c>
    </row>
    <row r="299">
      <c r="B299" s="152" t="n">
        <v>288</v>
      </c>
      <c r="C299" s="152">
        <f>IF(F298&lt;=0.005,0,F298*(1+C$6))</f>
        <v/>
      </c>
      <c r="D299" s="152">
        <f>MIN(C299,C$7)</f>
        <v/>
      </c>
      <c r="E299" s="152">
        <f>MAX(0,MIN(C299-D299,AQ299))</f>
        <v/>
      </c>
      <c r="F299" s="152">
        <f>C299-D299-E299</f>
        <v/>
      </c>
      <c r="G299" s="152">
        <f>IF(J298&lt;=0.005,0,J298*(1+G$6))</f>
        <v/>
      </c>
      <c r="H299" s="152">
        <f>MIN(G299,G$7)</f>
        <v/>
      </c>
      <c r="I299" s="152">
        <f>MAX(0,MIN(G299-H299,AQ299-(E299)))</f>
        <v/>
      </c>
      <c r="J299" s="152">
        <f>G299-H299-I299</f>
        <v/>
      </c>
      <c r="K299" s="152">
        <f>IF(N298&lt;=0.005,0,N298*(1+K$6))</f>
        <v/>
      </c>
      <c r="L299" s="152">
        <f>MIN(K299,K$7)</f>
        <v/>
      </c>
      <c r="M299" s="152">
        <f>MAX(0,MIN(K299-L299,AQ299-(E299+I299)))</f>
        <v/>
      </c>
      <c r="N299" s="152">
        <f>K299-L299-M299</f>
        <v/>
      </c>
      <c r="O299" s="152">
        <f>IF(R298&lt;=0.005,0,R298*(1+O$6))</f>
        <v/>
      </c>
      <c r="P299" s="152">
        <f>MIN(O299,O$7)</f>
        <v/>
      </c>
      <c r="Q299" s="152">
        <f>MAX(0,MIN(O299-P299,AQ299-(E299+I299+M299)))</f>
        <v/>
      </c>
      <c r="R299" s="152">
        <f>O299-P299-Q299</f>
        <v/>
      </c>
      <c r="S299" s="152">
        <f>IF(V298&lt;=0.005,0,V298*(1+S$6))</f>
        <v/>
      </c>
      <c r="T299" s="152">
        <f>MIN(S299,S$7)</f>
        <v/>
      </c>
      <c r="U299" s="152">
        <f>MAX(0,MIN(S299-T299,AQ299-(E299+I299+M299+Q299)))</f>
        <v/>
      </c>
      <c r="V299" s="152">
        <f>S299-T299-U299</f>
        <v/>
      </c>
      <c r="W299" s="152">
        <f>IF(Z298&lt;=0.005,0,Z298*(1+W$6))</f>
        <v/>
      </c>
      <c r="X299" s="152">
        <f>MIN(W299,W$7)</f>
        <v/>
      </c>
      <c r="Y299" s="152">
        <f>MAX(0,MIN(W299-X299,AQ299-(E299+I299+M299+Q299+U299)))</f>
        <v/>
      </c>
      <c r="Z299" s="152">
        <f>W299-X299-Y299</f>
        <v/>
      </c>
      <c r="AA299" s="152">
        <f>IF(AD298&lt;=0.005,0,AD298*(1+AA$6))</f>
        <v/>
      </c>
      <c r="AB299" s="152">
        <f>MIN(AA299,AA$7)</f>
        <v/>
      </c>
      <c r="AC299" s="152">
        <f>MAX(0,MIN(AA299-AB299,AQ299-(E299+I299+M299+Q299+U299+Y299)))</f>
        <v/>
      </c>
      <c r="AD299" s="152">
        <f>AA299-AB299-AC299</f>
        <v/>
      </c>
      <c r="AE299" s="152">
        <f>IF(AH298&lt;=0.005,0,AH298*(1+AE$6))</f>
        <v/>
      </c>
      <c r="AF299" s="152">
        <f>MIN(AE299,AE$7)</f>
        <v/>
      </c>
      <c r="AG299" s="152">
        <f>MAX(0,MIN(AE299-AF299,AQ299-(E299+I299+M299+Q299+U299+Y299+AC299)))</f>
        <v/>
      </c>
      <c r="AH299" s="152">
        <f>AE299-AF299-AG299</f>
        <v/>
      </c>
      <c r="AI299" s="152">
        <f>IF(AL298&lt;=0.005,0,AL298*(1+AI$6))</f>
        <v/>
      </c>
      <c r="AJ299" s="152">
        <f>MIN(AI299,AI$7)</f>
        <v/>
      </c>
      <c r="AK299" s="152">
        <f>MAX(0,MIN(AI299-AJ299,AQ299-(E299+I299+M299+Q299+U299+Y299+AC299+AG299)))</f>
        <v/>
      </c>
      <c r="AL299" s="152">
        <f>AI299-AJ299-AK299</f>
        <v/>
      </c>
      <c r="AM299" s="152">
        <f>IF(AP298&lt;=0.005,0,AP298*(1+AM$6))</f>
        <v/>
      </c>
      <c r="AN299" s="152">
        <f>MIN(AM299,AM$7)</f>
        <v/>
      </c>
      <c r="AO299" s="152">
        <f>MAX(0,MIN(AM299-AN299,AQ299-(E299+I299+M299+Q299+U299+Y299+AC299+AG299+AK299)))</f>
        <v/>
      </c>
      <c r="AP299" s="152">
        <f>AM299-AN299-AO299</f>
        <v/>
      </c>
      <c r="AQ299" s="152">
        <f>'Debt Payoff'!$C$8-SUM(D299,H299,L299,P299,T299,X299,AB299,AF299,AJ299,AN299)</f>
        <v/>
      </c>
      <c r="AR299" s="152">
        <f>SUM(D299,H299,L299,P299,T299,X299,AB299,AF299,AJ299,AN299)+SUM(E299,I299,M299,Q299,U299,Y299,AC299,AG299,AK299,AO299)</f>
        <v/>
      </c>
      <c r="AS299" s="152">
        <f>SUM(F299,J299,N299,R299,V299,Z299,AD299,AH299,AL299,AP299)</f>
        <v/>
      </c>
      <c r="AT299" s="152">
        <f>IF(B299&gt;AS$6,NA(),B299)</f>
        <v/>
      </c>
      <c r="AU299" s="152">
        <f>IF(B299&gt;AS$6,NA(),AS299)</f>
        <v/>
      </c>
      <c r="AV299" s="152" t="n"/>
      <c r="AW299" s="152" t="n">
        <v>288</v>
      </c>
      <c r="AX299" s="152">
        <f>IF(BA298&lt;=0.005,0,BA298*(1+AX$6))</f>
        <v/>
      </c>
      <c r="AY299" s="152">
        <f>MIN(AX299,AX$7)</f>
        <v/>
      </c>
      <c r="AZ299" s="152">
        <f>MAX(0,MIN(AX299-AY299,CL299))</f>
        <v/>
      </c>
      <c r="BA299" s="152">
        <f>AX299-AY299-AZ299</f>
        <v/>
      </c>
      <c r="BB299" s="152">
        <f>IF(BE298&lt;=0.005,0,BE298*(1+BB$6))</f>
        <v/>
      </c>
      <c r="BC299" s="152">
        <f>MIN(BB299,BB$7)</f>
        <v/>
      </c>
      <c r="BD299" s="152">
        <f>MAX(0,MIN(BB299-BC299,CL299-(AZ299)))</f>
        <v/>
      </c>
      <c r="BE299" s="152">
        <f>BB299-BC299-BD299</f>
        <v/>
      </c>
      <c r="BF299" s="152">
        <f>IF(BI298&lt;=0.005,0,BI298*(1+BF$6))</f>
        <v/>
      </c>
      <c r="BG299" s="152">
        <f>MIN(BF299,BF$7)</f>
        <v/>
      </c>
      <c r="BH299" s="152">
        <f>MAX(0,MIN(BF299-BG299,CL299-(AZ299+BD299)))</f>
        <v/>
      </c>
      <c r="BI299" s="152">
        <f>BF299-BG299-BH299</f>
        <v/>
      </c>
      <c r="BJ299" s="152">
        <f>IF(BM298&lt;=0.005,0,BM298*(1+BJ$6))</f>
        <v/>
      </c>
      <c r="BK299" s="152">
        <f>MIN(BJ299,BJ$7)</f>
        <v/>
      </c>
      <c r="BL299" s="152">
        <f>MAX(0,MIN(BJ299-BK299,CL299-(AZ299+BD299+BH299)))</f>
        <v/>
      </c>
      <c r="BM299" s="152">
        <f>BJ299-BK299-BL299</f>
        <v/>
      </c>
      <c r="BN299" s="152">
        <f>IF(BQ298&lt;=0.005,0,BQ298*(1+BN$6))</f>
        <v/>
      </c>
      <c r="BO299" s="152">
        <f>MIN(BN299,BN$7)</f>
        <v/>
      </c>
      <c r="BP299" s="152">
        <f>MAX(0,MIN(BN299-BO299,CL299-(AZ299+BD299+BH299+BL299)))</f>
        <v/>
      </c>
      <c r="BQ299" s="152">
        <f>BN299-BO299-BP299</f>
        <v/>
      </c>
      <c r="BR299" s="152">
        <f>IF(BU298&lt;=0.005,0,BU298*(1+BR$6))</f>
        <v/>
      </c>
      <c r="BS299" s="152">
        <f>MIN(BR299,BR$7)</f>
        <v/>
      </c>
      <c r="BT299" s="152">
        <f>MAX(0,MIN(BR299-BS299,CL299-(AZ299+BD299+BH299+BL299+BP299)))</f>
        <v/>
      </c>
      <c r="BU299" s="152">
        <f>BR299-BS299-BT299</f>
        <v/>
      </c>
      <c r="BV299" s="152">
        <f>IF(BY298&lt;=0.005,0,BY298*(1+BV$6))</f>
        <v/>
      </c>
      <c r="BW299" s="152">
        <f>MIN(BV299,BV$7)</f>
        <v/>
      </c>
      <c r="BX299" s="152">
        <f>MAX(0,MIN(BV299-BW299,CL299-(AZ299+BD299+BH299+BL299+BP299+BT299)))</f>
        <v/>
      </c>
      <c r="BY299" s="152">
        <f>BV299-BW299-BX299</f>
        <v/>
      </c>
      <c r="BZ299" s="152">
        <f>IF(CC298&lt;=0.005,0,CC298*(1+BZ$6))</f>
        <v/>
      </c>
      <c r="CA299" s="152">
        <f>MIN(BZ299,BZ$7)</f>
        <v/>
      </c>
      <c r="CB299" s="152">
        <f>MAX(0,MIN(BZ299-CA299,CL299-(AZ299+BD299+BH299+BL299+BP299+BT299+BX299)))</f>
        <v/>
      </c>
      <c r="CC299" s="152">
        <f>BZ299-CA299-CB299</f>
        <v/>
      </c>
      <c r="CD299" s="152">
        <f>IF(CG298&lt;=0.005,0,CG298*(1+CD$6))</f>
        <v/>
      </c>
      <c r="CE299" s="152">
        <f>MIN(CD299,CD$7)</f>
        <v/>
      </c>
      <c r="CF299" s="152">
        <f>MAX(0,MIN(CD299-CE299,CL299-(AZ299+BD299+BH299+BL299+BP299+BT299+BX299+CB299)))</f>
        <v/>
      </c>
      <c r="CG299" s="152">
        <f>CD299-CE299-CF299</f>
        <v/>
      </c>
      <c r="CH299" s="152">
        <f>IF(CK298&lt;=0.005,0,CK298*(1+CH$6))</f>
        <v/>
      </c>
      <c r="CI299" s="152">
        <f>MIN(CH299,CH$7)</f>
        <v/>
      </c>
      <c r="CJ299" s="152">
        <f>MAX(0,MIN(CH299-CI299,CL299-(AZ299+BD299+BH299+BL299+BP299+BT299+BX299+CB299+CF299)))</f>
        <v/>
      </c>
      <c r="CK299" s="152">
        <f>CH299-CI299-CJ299</f>
        <v/>
      </c>
      <c r="CL299" s="152">
        <f>'Debt Payoff'!$C$8-SUM(AY299,BC299,BG299,BK299,BO299,BS299,BW299,CA299,CE299,CI299)</f>
        <v/>
      </c>
      <c r="CM299" s="152">
        <f>SUM(AY299,BC299,BG299,BK299,BO299,BS299,BW299,CA299,CE299,CI299)+SUM(AZ299,BD299,BH299,BL299,BP299,BT299,BX299,CB299,CF299,CJ299)</f>
        <v/>
      </c>
      <c r="CN299" s="152">
        <f>SUM(BA299,BE299,BI299,BM299,BQ299,BU299,BY299,CC299,CG299,CK299)</f>
        <v/>
      </c>
      <c r="CO299" s="152">
        <f>IF(AW299&gt;CN$6,NA(),AW299)</f>
        <v/>
      </c>
      <c r="CP299" s="152">
        <f>IF(AW299&gt;CN$6,NA(),CN299)</f>
        <v/>
      </c>
    </row>
    <row r="300">
      <c r="B300" s="152" t="n">
        <v>289</v>
      </c>
      <c r="C300" s="152">
        <f>IF(F299&lt;=0.005,0,F299*(1+C$6))</f>
        <v/>
      </c>
      <c r="D300" s="152">
        <f>MIN(C300,C$7)</f>
        <v/>
      </c>
      <c r="E300" s="152">
        <f>MAX(0,MIN(C300-D300,AQ300))</f>
        <v/>
      </c>
      <c r="F300" s="152">
        <f>C300-D300-E300</f>
        <v/>
      </c>
      <c r="G300" s="152">
        <f>IF(J299&lt;=0.005,0,J299*(1+G$6))</f>
        <v/>
      </c>
      <c r="H300" s="152">
        <f>MIN(G300,G$7)</f>
        <v/>
      </c>
      <c r="I300" s="152">
        <f>MAX(0,MIN(G300-H300,AQ300-(E300)))</f>
        <v/>
      </c>
      <c r="J300" s="152">
        <f>G300-H300-I300</f>
        <v/>
      </c>
      <c r="K300" s="152">
        <f>IF(N299&lt;=0.005,0,N299*(1+K$6))</f>
        <v/>
      </c>
      <c r="L300" s="152">
        <f>MIN(K300,K$7)</f>
        <v/>
      </c>
      <c r="M300" s="152">
        <f>MAX(0,MIN(K300-L300,AQ300-(E300+I300)))</f>
        <v/>
      </c>
      <c r="N300" s="152">
        <f>K300-L300-M300</f>
        <v/>
      </c>
      <c r="O300" s="152">
        <f>IF(R299&lt;=0.005,0,R299*(1+O$6))</f>
        <v/>
      </c>
      <c r="P300" s="152">
        <f>MIN(O300,O$7)</f>
        <v/>
      </c>
      <c r="Q300" s="152">
        <f>MAX(0,MIN(O300-P300,AQ300-(E300+I300+M300)))</f>
        <v/>
      </c>
      <c r="R300" s="152">
        <f>O300-P300-Q300</f>
        <v/>
      </c>
      <c r="S300" s="152">
        <f>IF(V299&lt;=0.005,0,V299*(1+S$6))</f>
        <v/>
      </c>
      <c r="T300" s="152">
        <f>MIN(S300,S$7)</f>
        <v/>
      </c>
      <c r="U300" s="152">
        <f>MAX(0,MIN(S300-T300,AQ300-(E300+I300+M300+Q300)))</f>
        <v/>
      </c>
      <c r="V300" s="152">
        <f>S300-T300-U300</f>
        <v/>
      </c>
      <c r="W300" s="152">
        <f>IF(Z299&lt;=0.005,0,Z299*(1+W$6))</f>
        <v/>
      </c>
      <c r="X300" s="152">
        <f>MIN(W300,W$7)</f>
        <v/>
      </c>
      <c r="Y300" s="152">
        <f>MAX(0,MIN(W300-X300,AQ300-(E300+I300+M300+Q300+U300)))</f>
        <v/>
      </c>
      <c r="Z300" s="152">
        <f>W300-X300-Y300</f>
        <v/>
      </c>
      <c r="AA300" s="152">
        <f>IF(AD299&lt;=0.005,0,AD299*(1+AA$6))</f>
        <v/>
      </c>
      <c r="AB300" s="152">
        <f>MIN(AA300,AA$7)</f>
        <v/>
      </c>
      <c r="AC300" s="152">
        <f>MAX(0,MIN(AA300-AB300,AQ300-(E300+I300+M300+Q300+U300+Y300)))</f>
        <v/>
      </c>
      <c r="AD300" s="152">
        <f>AA300-AB300-AC300</f>
        <v/>
      </c>
      <c r="AE300" s="152">
        <f>IF(AH299&lt;=0.005,0,AH299*(1+AE$6))</f>
        <v/>
      </c>
      <c r="AF300" s="152">
        <f>MIN(AE300,AE$7)</f>
        <v/>
      </c>
      <c r="AG300" s="152">
        <f>MAX(0,MIN(AE300-AF300,AQ300-(E300+I300+M300+Q300+U300+Y300+AC300)))</f>
        <v/>
      </c>
      <c r="AH300" s="152">
        <f>AE300-AF300-AG300</f>
        <v/>
      </c>
      <c r="AI300" s="152">
        <f>IF(AL299&lt;=0.005,0,AL299*(1+AI$6))</f>
        <v/>
      </c>
      <c r="AJ300" s="152">
        <f>MIN(AI300,AI$7)</f>
        <v/>
      </c>
      <c r="AK300" s="152">
        <f>MAX(0,MIN(AI300-AJ300,AQ300-(E300+I300+M300+Q300+U300+Y300+AC300+AG300)))</f>
        <v/>
      </c>
      <c r="AL300" s="152">
        <f>AI300-AJ300-AK300</f>
        <v/>
      </c>
      <c r="AM300" s="152">
        <f>IF(AP299&lt;=0.005,0,AP299*(1+AM$6))</f>
        <v/>
      </c>
      <c r="AN300" s="152">
        <f>MIN(AM300,AM$7)</f>
        <v/>
      </c>
      <c r="AO300" s="152">
        <f>MAX(0,MIN(AM300-AN300,AQ300-(E300+I300+M300+Q300+U300+Y300+AC300+AG300+AK300)))</f>
        <v/>
      </c>
      <c r="AP300" s="152">
        <f>AM300-AN300-AO300</f>
        <v/>
      </c>
      <c r="AQ300" s="152">
        <f>'Debt Payoff'!$C$8-SUM(D300,H300,L300,P300,T300,X300,AB300,AF300,AJ300,AN300)</f>
        <v/>
      </c>
      <c r="AR300" s="152">
        <f>SUM(D300,H300,L300,P300,T300,X300,AB300,AF300,AJ300,AN300)+SUM(E300,I300,M300,Q300,U300,Y300,AC300,AG300,AK300,AO300)</f>
        <v/>
      </c>
      <c r="AS300" s="152">
        <f>SUM(F300,J300,N300,R300,V300,Z300,AD300,AH300,AL300,AP300)</f>
        <v/>
      </c>
      <c r="AT300" s="152">
        <f>IF(B300&gt;AS$6,NA(),B300)</f>
        <v/>
      </c>
      <c r="AU300" s="152">
        <f>IF(B300&gt;AS$6,NA(),AS300)</f>
        <v/>
      </c>
      <c r="AV300" s="152" t="n"/>
      <c r="AW300" s="152" t="n">
        <v>289</v>
      </c>
      <c r="AX300" s="152">
        <f>IF(BA299&lt;=0.005,0,BA299*(1+AX$6))</f>
        <v/>
      </c>
      <c r="AY300" s="152">
        <f>MIN(AX300,AX$7)</f>
        <v/>
      </c>
      <c r="AZ300" s="152">
        <f>MAX(0,MIN(AX300-AY300,CL300))</f>
        <v/>
      </c>
      <c r="BA300" s="152">
        <f>AX300-AY300-AZ300</f>
        <v/>
      </c>
      <c r="BB300" s="152">
        <f>IF(BE299&lt;=0.005,0,BE299*(1+BB$6))</f>
        <v/>
      </c>
      <c r="BC300" s="152">
        <f>MIN(BB300,BB$7)</f>
        <v/>
      </c>
      <c r="BD300" s="152">
        <f>MAX(0,MIN(BB300-BC300,CL300-(AZ300)))</f>
        <v/>
      </c>
      <c r="BE300" s="152">
        <f>BB300-BC300-BD300</f>
        <v/>
      </c>
      <c r="BF300" s="152">
        <f>IF(BI299&lt;=0.005,0,BI299*(1+BF$6))</f>
        <v/>
      </c>
      <c r="BG300" s="152">
        <f>MIN(BF300,BF$7)</f>
        <v/>
      </c>
      <c r="BH300" s="152">
        <f>MAX(0,MIN(BF300-BG300,CL300-(AZ300+BD300)))</f>
        <v/>
      </c>
      <c r="BI300" s="152">
        <f>BF300-BG300-BH300</f>
        <v/>
      </c>
      <c r="BJ300" s="152">
        <f>IF(BM299&lt;=0.005,0,BM299*(1+BJ$6))</f>
        <v/>
      </c>
      <c r="BK300" s="152">
        <f>MIN(BJ300,BJ$7)</f>
        <v/>
      </c>
      <c r="BL300" s="152">
        <f>MAX(0,MIN(BJ300-BK300,CL300-(AZ300+BD300+BH300)))</f>
        <v/>
      </c>
      <c r="BM300" s="152">
        <f>BJ300-BK300-BL300</f>
        <v/>
      </c>
      <c r="BN300" s="152">
        <f>IF(BQ299&lt;=0.005,0,BQ299*(1+BN$6))</f>
        <v/>
      </c>
      <c r="BO300" s="152">
        <f>MIN(BN300,BN$7)</f>
        <v/>
      </c>
      <c r="BP300" s="152">
        <f>MAX(0,MIN(BN300-BO300,CL300-(AZ300+BD300+BH300+BL300)))</f>
        <v/>
      </c>
      <c r="BQ300" s="152">
        <f>BN300-BO300-BP300</f>
        <v/>
      </c>
      <c r="BR300" s="152">
        <f>IF(BU299&lt;=0.005,0,BU299*(1+BR$6))</f>
        <v/>
      </c>
      <c r="BS300" s="152">
        <f>MIN(BR300,BR$7)</f>
        <v/>
      </c>
      <c r="BT300" s="152">
        <f>MAX(0,MIN(BR300-BS300,CL300-(AZ300+BD300+BH300+BL300+BP300)))</f>
        <v/>
      </c>
      <c r="BU300" s="152">
        <f>BR300-BS300-BT300</f>
        <v/>
      </c>
      <c r="BV300" s="152">
        <f>IF(BY299&lt;=0.005,0,BY299*(1+BV$6))</f>
        <v/>
      </c>
      <c r="BW300" s="152">
        <f>MIN(BV300,BV$7)</f>
        <v/>
      </c>
      <c r="BX300" s="152">
        <f>MAX(0,MIN(BV300-BW300,CL300-(AZ300+BD300+BH300+BL300+BP300+BT300)))</f>
        <v/>
      </c>
      <c r="BY300" s="152">
        <f>BV300-BW300-BX300</f>
        <v/>
      </c>
      <c r="BZ300" s="152">
        <f>IF(CC299&lt;=0.005,0,CC299*(1+BZ$6))</f>
        <v/>
      </c>
      <c r="CA300" s="152">
        <f>MIN(BZ300,BZ$7)</f>
        <v/>
      </c>
      <c r="CB300" s="152">
        <f>MAX(0,MIN(BZ300-CA300,CL300-(AZ300+BD300+BH300+BL300+BP300+BT300+BX300)))</f>
        <v/>
      </c>
      <c r="CC300" s="152">
        <f>BZ300-CA300-CB300</f>
        <v/>
      </c>
      <c r="CD300" s="152">
        <f>IF(CG299&lt;=0.005,0,CG299*(1+CD$6))</f>
        <v/>
      </c>
      <c r="CE300" s="152">
        <f>MIN(CD300,CD$7)</f>
        <v/>
      </c>
      <c r="CF300" s="152">
        <f>MAX(0,MIN(CD300-CE300,CL300-(AZ300+BD300+BH300+BL300+BP300+BT300+BX300+CB300)))</f>
        <v/>
      </c>
      <c r="CG300" s="152">
        <f>CD300-CE300-CF300</f>
        <v/>
      </c>
      <c r="CH300" s="152">
        <f>IF(CK299&lt;=0.005,0,CK299*(1+CH$6))</f>
        <v/>
      </c>
      <c r="CI300" s="152">
        <f>MIN(CH300,CH$7)</f>
        <v/>
      </c>
      <c r="CJ300" s="152">
        <f>MAX(0,MIN(CH300-CI300,CL300-(AZ300+BD300+BH300+BL300+BP300+BT300+BX300+CB300+CF300)))</f>
        <v/>
      </c>
      <c r="CK300" s="152">
        <f>CH300-CI300-CJ300</f>
        <v/>
      </c>
      <c r="CL300" s="152">
        <f>'Debt Payoff'!$C$8-SUM(AY300,BC300,BG300,BK300,BO300,BS300,BW300,CA300,CE300,CI300)</f>
        <v/>
      </c>
      <c r="CM300" s="152">
        <f>SUM(AY300,BC300,BG300,BK300,BO300,BS300,BW300,CA300,CE300,CI300)+SUM(AZ300,BD300,BH300,BL300,BP300,BT300,BX300,CB300,CF300,CJ300)</f>
        <v/>
      </c>
      <c r="CN300" s="152">
        <f>SUM(BA300,BE300,BI300,BM300,BQ300,BU300,BY300,CC300,CG300,CK300)</f>
        <v/>
      </c>
      <c r="CO300" s="152">
        <f>IF(AW300&gt;CN$6,NA(),AW300)</f>
        <v/>
      </c>
      <c r="CP300" s="152">
        <f>IF(AW300&gt;CN$6,NA(),CN300)</f>
        <v/>
      </c>
    </row>
    <row r="301">
      <c r="B301" s="152" t="n">
        <v>290</v>
      </c>
      <c r="C301" s="152">
        <f>IF(F300&lt;=0.005,0,F300*(1+C$6))</f>
        <v/>
      </c>
      <c r="D301" s="152">
        <f>MIN(C301,C$7)</f>
        <v/>
      </c>
      <c r="E301" s="152">
        <f>MAX(0,MIN(C301-D301,AQ301))</f>
        <v/>
      </c>
      <c r="F301" s="152">
        <f>C301-D301-E301</f>
        <v/>
      </c>
      <c r="G301" s="152">
        <f>IF(J300&lt;=0.005,0,J300*(1+G$6))</f>
        <v/>
      </c>
      <c r="H301" s="152">
        <f>MIN(G301,G$7)</f>
        <v/>
      </c>
      <c r="I301" s="152">
        <f>MAX(0,MIN(G301-H301,AQ301-(E301)))</f>
        <v/>
      </c>
      <c r="J301" s="152">
        <f>G301-H301-I301</f>
        <v/>
      </c>
      <c r="K301" s="152">
        <f>IF(N300&lt;=0.005,0,N300*(1+K$6))</f>
        <v/>
      </c>
      <c r="L301" s="152">
        <f>MIN(K301,K$7)</f>
        <v/>
      </c>
      <c r="M301" s="152">
        <f>MAX(0,MIN(K301-L301,AQ301-(E301+I301)))</f>
        <v/>
      </c>
      <c r="N301" s="152">
        <f>K301-L301-M301</f>
        <v/>
      </c>
      <c r="O301" s="152">
        <f>IF(R300&lt;=0.005,0,R300*(1+O$6))</f>
        <v/>
      </c>
      <c r="P301" s="152">
        <f>MIN(O301,O$7)</f>
        <v/>
      </c>
      <c r="Q301" s="152">
        <f>MAX(0,MIN(O301-P301,AQ301-(E301+I301+M301)))</f>
        <v/>
      </c>
      <c r="R301" s="152">
        <f>O301-P301-Q301</f>
        <v/>
      </c>
      <c r="S301" s="152">
        <f>IF(V300&lt;=0.005,0,V300*(1+S$6))</f>
        <v/>
      </c>
      <c r="T301" s="152">
        <f>MIN(S301,S$7)</f>
        <v/>
      </c>
      <c r="U301" s="152">
        <f>MAX(0,MIN(S301-T301,AQ301-(E301+I301+M301+Q301)))</f>
        <v/>
      </c>
      <c r="V301" s="152">
        <f>S301-T301-U301</f>
        <v/>
      </c>
      <c r="W301" s="152">
        <f>IF(Z300&lt;=0.005,0,Z300*(1+W$6))</f>
        <v/>
      </c>
      <c r="X301" s="152">
        <f>MIN(W301,W$7)</f>
        <v/>
      </c>
      <c r="Y301" s="152">
        <f>MAX(0,MIN(W301-X301,AQ301-(E301+I301+M301+Q301+U301)))</f>
        <v/>
      </c>
      <c r="Z301" s="152">
        <f>W301-X301-Y301</f>
        <v/>
      </c>
      <c r="AA301" s="152">
        <f>IF(AD300&lt;=0.005,0,AD300*(1+AA$6))</f>
        <v/>
      </c>
      <c r="AB301" s="152">
        <f>MIN(AA301,AA$7)</f>
        <v/>
      </c>
      <c r="AC301" s="152">
        <f>MAX(0,MIN(AA301-AB301,AQ301-(E301+I301+M301+Q301+U301+Y301)))</f>
        <v/>
      </c>
      <c r="AD301" s="152">
        <f>AA301-AB301-AC301</f>
        <v/>
      </c>
      <c r="AE301" s="152">
        <f>IF(AH300&lt;=0.005,0,AH300*(1+AE$6))</f>
        <v/>
      </c>
      <c r="AF301" s="152">
        <f>MIN(AE301,AE$7)</f>
        <v/>
      </c>
      <c r="AG301" s="152">
        <f>MAX(0,MIN(AE301-AF301,AQ301-(E301+I301+M301+Q301+U301+Y301+AC301)))</f>
        <v/>
      </c>
      <c r="AH301" s="152">
        <f>AE301-AF301-AG301</f>
        <v/>
      </c>
      <c r="AI301" s="152">
        <f>IF(AL300&lt;=0.005,0,AL300*(1+AI$6))</f>
        <v/>
      </c>
      <c r="AJ301" s="152">
        <f>MIN(AI301,AI$7)</f>
        <v/>
      </c>
      <c r="AK301" s="152">
        <f>MAX(0,MIN(AI301-AJ301,AQ301-(E301+I301+M301+Q301+U301+Y301+AC301+AG301)))</f>
        <v/>
      </c>
      <c r="AL301" s="152">
        <f>AI301-AJ301-AK301</f>
        <v/>
      </c>
      <c r="AM301" s="152">
        <f>IF(AP300&lt;=0.005,0,AP300*(1+AM$6))</f>
        <v/>
      </c>
      <c r="AN301" s="152">
        <f>MIN(AM301,AM$7)</f>
        <v/>
      </c>
      <c r="AO301" s="152">
        <f>MAX(0,MIN(AM301-AN301,AQ301-(E301+I301+M301+Q301+U301+Y301+AC301+AG301+AK301)))</f>
        <v/>
      </c>
      <c r="AP301" s="152">
        <f>AM301-AN301-AO301</f>
        <v/>
      </c>
      <c r="AQ301" s="152">
        <f>'Debt Payoff'!$C$8-SUM(D301,H301,L301,P301,T301,X301,AB301,AF301,AJ301,AN301)</f>
        <v/>
      </c>
      <c r="AR301" s="152">
        <f>SUM(D301,H301,L301,P301,T301,X301,AB301,AF301,AJ301,AN301)+SUM(E301,I301,M301,Q301,U301,Y301,AC301,AG301,AK301,AO301)</f>
        <v/>
      </c>
      <c r="AS301" s="152">
        <f>SUM(F301,J301,N301,R301,V301,Z301,AD301,AH301,AL301,AP301)</f>
        <v/>
      </c>
      <c r="AT301" s="152">
        <f>IF(B301&gt;AS$6,NA(),B301)</f>
        <v/>
      </c>
      <c r="AU301" s="152">
        <f>IF(B301&gt;AS$6,NA(),AS301)</f>
        <v/>
      </c>
      <c r="AV301" s="152" t="n"/>
      <c r="AW301" s="152" t="n">
        <v>290</v>
      </c>
      <c r="AX301" s="152">
        <f>IF(BA300&lt;=0.005,0,BA300*(1+AX$6))</f>
        <v/>
      </c>
      <c r="AY301" s="152">
        <f>MIN(AX301,AX$7)</f>
        <v/>
      </c>
      <c r="AZ301" s="152">
        <f>MAX(0,MIN(AX301-AY301,CL301))</f>
        <v/>
      </c>
      <c r="BA301" s="152">
        <f>AX301-AY301-AZ301</f>
        <v/>
      </c>
      <c r="BB301" s="152">
        <f>IF(BE300&lt;=0.005,0,BE300*(1+BB$6))</f>
        <v/>
      </c>
      <c r="BC301" s="152">
        <f>MIN(BB301,BB$7)</f>
        <v/>
      </c>
      <c r="BD301" s="152">
        <f>MAX(0,MIN(BB301-BC301,CL301-(AZ301)))</f>
        <v/>
      </c>
      <c r="BE301" s="152">
        <f>BB301-BC301-BD301</f>
        <v/>
      </c>
      <c r="BF301" s="152">
        <f>IF(BI300&lt;=0.005,0,BI300*(1+BF$6))</f>
        <v/>
      </c>
      <c r="BG301" s="152">
        <f>MIN(BF301,BF$7)</f>
        <v/>
      </c>
      <c r="BH301" s="152">
        <f>MAX(0,MIN(BF301-BG301,CL301-(AZ301+BD301)))</f>
        <v/>
      </c>
      <c r="BI301" s="152">
        <f>BF301-BG301-BH301</f>
        <v/>
      </c>
      <c r="BJ301" s="152">
        <f>IF(BM300&lt;=0.005,0,BM300*(1+BJ$6))</f>
        <v/>
      </c>
      <c r="BK301" s="152">
        <f>MIN(BJ301,BJ$7)</f>
        <v/>
      </c>
      <c r="BL301" s="152">
        <f>MAX(0,MIN(BJ301-BK301,CL301-(AZ301+BD301+BH301)))</f>
        <v/>
      </c>
      <c r="BM301" s="152">
        <f>BJ301-BK301-BL301</f>
        <v/>
      </c>
      <c r="BN301" s="152">
        <f>IF(BQ300&lt;=0.005,0,BQ300*(1+BN$6))</f>
        <v/>
      </c>
      <c r="BO301" s="152">
        <f>MIN(BN301,BN$7)</f>
        <v/>
      </c>
      <c r="BP301" s="152">
        <f>MAX(0,MIN(BN301-BO301,CL301-(AZ301+BD301+BH301+BL301)))</f>
        <v/>
      </c>
      <c r="BQ301" s="152">
        <f>BN301-BO301-BP301</f>
        <v/>
      </c>
      <c r="BR301" s="152">
        <f>IF(BU300&lt;=0.005,0,BU300*(1+BR$6))</f>
        <v/>
      </c>
      <c r="BS301" s="152">
        <f>MIN(BR301,BR$7)</f>
        <v/>
      </c>
      <c r="BT301" s="152">
        <f>MAX(0,MIN(BR301-BS301,CL301-(AZ301+BD301+BH301+BL301+BP301)))</f>
        <v/>
      </c>
      <c r="BU301" s="152">
        <f>BR301-BS301-BT301</f>
        <v/>
      </c>
      <c r="BV301" s="152">
        <f>IF(BY300&lt;=0.005,0,BY300*(1+BV$6))</f>
        <v/>
      </c>
      <c r="BW301" s="152">
        <f>MIN(BV301,BV$7)</f>
        <v/>
      </c>
      <c r="BX301" s="152">
        <f>MAX(0,MIN(BV301-BW301,CL301-(AZ301+BD301+BH301+BL301+BP301+BT301)))</f>
        <v/>
      </c>
      <c r="BY301" s="152">
        <f>BV301-BW301-BX301</f>
        <v/>
      </c>
      <c r="BZ301" s="152">
        <f>IF(CC300&lt;=0.005,0,CC300*(1+BZ$6))</f>
        <v/>
      </c>
      <c r="CA301" s="152">
        <f>MIN(BZ301,BZ$7)</f>
        <v/>
      </c>
      <c r="CB301" s="152">
        <f>MAX(0,MIN(BZ301-CA301,CL301-(AZ301+BD301+BH301+BL301+BP301+BT301+BX301)))</f>
        <v/>
      </c>
      <c r="CC301" s="152">
        <f>BZ301-CA301-CB301</f>
        <v/>
      </c>
      <c r="CD301" s="152">
        <f>IF(CG300&lt;=0.005,0,CG300*(1+CD$6))</f>
        <v/>
      </c>
      <c r="CE301" s="152">
        <f>MIN(CD301,CD$7)</f>
        <v/>
      </c>
      <c r="CF301" s="152">
        <f>MAX(0,MIN(CD301-CE301,CL301-(AZ301+BD301+BH301+BL301+BP301+BT301+BX301+CB301)))</f>
        <v/>
      </c>
      <c r="CG301" s="152">
        <f>CD301-CE301-CF301</f>
        <v/>
      </c>
      <c r="CH301" s="152">
        <f>IF(CK300&lt;=0.005,0,CK300*(1+CH$6))</f>
        <v/>
      </c>
      <c r="CI301" s="152">
        <f>MIN(CH301,CH$7)</f>
        <v/>
      </c>
      <c r="CJ301" s="152">
        <f>MAX(0,MIN(CH301-CI301,CL301-(AZ301+BD301+BH301+BL301+BP301+BT301+BX301+CB301+CF301)))</f>
        <v/>
      </c>
      <c r="CK301" s="152">
        <f>CH301-CI301-CJ301</f>
        <v/>
      </c>
      <c r="CL301" s="152">
        <f>'Debt Payoff'!$C$8-SUM(AY301,BC301,BG301,BK301,BO301,BS301,BW301,CA301,CE301,CI301)</f>
        <v/>
      </c>
      <c r="CM301" s="152">
        <f>SUM(AY301,BC301,BG301,BK301,BO301,BS301,BW301,CA301,CE301,CI301)+SUM(AZ301,BD301,BH301,BL301,BP301,BT301,BX301,CB301,CF301,CJ301)</f>
        <v/>
      </c>
      <c r="CN301" s="152">
        <f>SUM(BA301,BE301,BI301,BM301,BQ301,BU301,BY301,CC301,CG301,CK301)</f>
        <v/>
      </c>
      <c r="CO301" s="152">
        <f>IF(AW301&gt;CN$6,NA(),AW301)</f>
        <v/>
      </c>
      <c r="CP301" s="152">
        <f>IF(AW301&gt;CN$6,NA(),CN301)</f>
        <v/>
      </c>
    </row>
    <row r="302">
      <c r="B302" s="152" t="n">
        <v>291</v>
      </c>
      <c r="C302" s="152">
        <f>IF(F301&lt;=0.005,0,F301*(1+C$6))</f>
        <v/>
      </c>
      <c r="D302" s="152">
        <f>MIN(C302,C$7)</f>
        <v/>
      </c>
      <c r="E302" s="152">
        <f>MAX(0,MIN(C302-D302,AQ302))</f>
        <v/>
      </c>
      <c r="F302" s="152">
        <f>C302-D302-E302</f>
        <v/>
      </c>
      <c r="G302" s="152">
        <f>IF(J301&lt;=0.005,0,J301*(1+G$6))</f>
        <v/>
      </c>
      <c r="H302" s="152">
        <f>MIN(G302,G$7)</f>
        <v/>
      </c>
      <c r="I302" s="152">
        <f>MAX(0,MIN(G302-H302,AQ302-(E302)))</f>
        <v/>
      </c>
      <c r="J302" s="152">
        <f>G302-H302-I302</f>
        <v/>
      </c>
      <c r="K302" s="152">
        <f>IF(N301&lt;=0.005,0,N301*(1+K$6))</f>
        <v/>
      </c>
      <c r="L302" s="152">
        <f>MIN(K302,K$7)</f>
        <v/>
      </c>
      <c r="M302" s="152">
        <f>MAX(0,MIN(K302-L302,AQ302-(E302+I302)))</f>
        <v/>
      </c>
      <c r="N302" s="152">
        <f>K302-L302-M302</f>
        <v/>
      </c>
      <c r="O302" s="152">
        <f>IF(R301&lt;=0.005,0,R301*(1+O$6))</f>
        <v/>
      </c>
      <c r="P302" s="152">
        <f>MIN(O302,O$7)</f>
        <v/>
      </c>
      <c r="Q302" s="152">
        <f>MAX(0,MIN(O302-P302,AQ302-(E302+I302+M302)))</f>
        <v/>
      </c>
      <c r="R302" s="152">
        <f>O302-P302-Q302</f>
        <v/>
      </c>
      <c r="S302" s="152">
        <f>IF(V301&lt;=0.005,0,V301*(1+S$6))</f>
        <v/>
      </c>
      <c r="T302" s="152">
        <f>MIN(S302,S$7)</f>
        <v/>
      </c>
      <c r="U302" s="152">
        <f>MAX(0,MIN(S302-T302,AQ302-(E302+I302+M302+Q302)))</f>
        <v/>
      </c>
      <c r="V302" s="152">
        <f>S302-T302-U302</f>
        <v/>
      </c>
      <c r="W302" s="152">
        <f>IF(Z301&lt;=0.005,0,Z301*(1+W$6))</f>
        <v/>
      </c>
      <c r="X302" s="152">
        <f>MIN(W302,W$7)</f>
        <v/>
      </c>
      <c r="Y302" s="152">
        <f>MAX(0,MIN(W302-X302,AQ302-(E302+I302+M302+Q302+U302)))</f>
        <v/>
      </c>
      <c r="Z302" s="152">
        <f>W302-X302-Y302</f>
        <v/>
      </c>
      <c r="AA302" s="152">
        <f>IF(AD301&lt;=0.005,0,AD301*(1+AA$6))</f>
        <v/>
      </c>
      <c r="AB302" s="152">
        <f>MIN(AA302,AA$7)</f>
        <v/>
      </c>
      <c r="AC302" s="152">
        <f>MAX(0,MIN(AA302-AB302,AQ302-(E302+I302+M302+Q302+U302+Y302)))</f>
        <v/>
      </c>
      <c r="AD302" s="152">
        <f>AA302-AB302-AC302</f>
        <v/>
      </c>
      <c r="AE302" s="152">
        <f>IF(AH301&lt;=0.005,0,AH301*(1+AE$6))</f>
        <v/>
      </c>
      <c r="AF302" s="152">
        <f>MIN(AE302,AE$7)</f>
        <v/>
      </c>
      <c r="AG302" s="152">
        <f>MAX(0,MIN(AE302-AF302,AQ302-(E302+I302+M302+Q302+U302+Y302+AC302)))</f>
        <v/>
      </c>
      <c r="AH302" s="152">
        <f>AE302-AF302-AG302</f>
        <v/>
      </c>
      <c r="AI302" s="152">
        <f>IF(AL301&lt;=0.005,0,AL301*(1+AI$6))</f>
        <v/>
      </c>
      <c r="AJ302" s="152">
        <f>MIN(AI302,AI$7)</f>
        <v/>
      </c>
      <c r="AK302" s="152">
        <f>MAX(0,MIN(AI302-AJ302,AQ302-(E302+I302+M302+Q302+U302+Y302+AC302+AG302)))</f>
        <v/>
      </c>
      <c r="AL302" s="152">
        <f>AI302-AJ302-AK302</f>
        <v/>
      </c>
      <c r="AM302" s="152">
        <f>IF(AP301&lt;=0.005,0,AP301*(1+AM$6))</f>
        <v/>
      </c>
      <c r="AN302" s="152">
        <f>MIN(AM302,AM$7)</f>
        <v/>
      </c>
      <c r="AO302" s="152">
        <f>MAX(0,MIN(AM302-AN302,AQ302-(E302+I302+M302+Q302+U302+Y302+AC302+AG302+AK302)))</f>
        <v/>
      </c>
      <c r="AP302" s="152">
        <f>AM302-AN302-AO302</f>
        <v/>
      </c>
      <c r="AQ302" s="152">
        <f>'Debt Payoff'!$C$8-SUM(D302,H302,L302,P302,T302,X302,AB302,AF302,AJ302,AN302)</f>
        <v/>
      </c>
      <c r="AR302" s="152">
        <f>SUM(D302,H302,L302,P302,T302,X302,AB302,AF302,AJ302,AN302)+SUM(E302,I302,M302,Q302,U302,Y302,AC302,AG302,AK302,AO302)</f>
        <v/>
      </c>
      <c r="AS302" s="152">
        <f>SUM(F302,J302,N302,R302,V302,Z302,AD302,AH302,AL302,AP302)</f>
        <v/>
      </c>
      <c r="AT302" s="152">
        <f>IF(B302&gt;AS$6,NA(),B302)</f>
        <v/>
      </c>
      <c r="AU302" s="152">
        <f>IF(B302&gt;AS$6,NA(),AS302)</f>
        <v/>
      </c>
      <c r="AV302" s="152" t="n"/>
      <c r="AW302" s="152" t="n">
        <v>291</v>
      </c>
      <c r="AX302" s="152">
        <f>IF(BA301&lt;=0.005,0,BA301*(1+AX$6))</f>
        <v/>
      </c>
      <c r="AY302" s="152">
        <f>MIN(AX302,AX$7)</f>
        <v/>
      </c>
      <c r="AZ302" s="152">
        <f>MAX(0,MIN(AX302-AY302,CL302))</f>
        <v/>
      </c>
      <c r="BA302" s="152">
        <f>AX302-AY302-AZ302</f>
        <v/>
      </c>
      <c r="BB302" s="152">
        <f>IF(BE301&lt;=0.005,0,BE301*(1+BB$6))</f>
        <v/>
      </c>
      <c r="BC302" s="152">
        <f>MIN(BB302,BB$7)</f>
        <v/>
      </c>
      <c r="BD302" s="152">
        <f>MAX(0,MIN(BB302-BC302,CL302-(AZ302)))</f>
        <v/>
      </c>
      <c r="BE302" s="152">
        <f>BB302-BC302-BD302</f>
        <v/>
      </c>
      <c r="BF302" s="152">
        <f>IF(BI301&lt;=0.005,0,BI301*(1+BF$6))</f>
        <v/>
      </c>
      <c r="BG302" s="152">
        <f>MIN(BF302,BF$7)</f>
        <v/>
      </c>
      <c r="BH302" s="152">
        <f>MAX(0,MIN(BF302-BG302,CL302-(AZ302+BD302)))</f>
        <v/>
      </c>
      <c r="BI302" s="152">
        <f>BF302-BG302-BH302</f>
        <v/>
      </c>
      <c r="BJ302" s="152">
        <f>IF(BM301&lt;=0.005,0,BM301*(1+BJ$6))</f>
        <v/>
      </c>
      <c r="BK302" s="152">
        <f>MIN(BJ302,BJ$7)</f>
        <v/>
      </c>
      <c r="BL302" s="152">
        <f>MAX(0,MIN(BJ302-BK302,CL302-(AZ302+BD302+BH302)))</f>
        <v/>
      </c>
      <c r="BM302" s="152">
        <f>BJ302-BK302-BL302</f>
        <v/>
      </c>
      <c r="BN302" s="152">
        <f>IF(BQ301&lt;=0.005,0,BQ301*(1+BN$6))</f>
        <v/>
      </c>
      <c r="BO302" s="152">
        <f>MIN(BN302,BN$7)</f>
        <v/>
      </c>
      <c r="BP302" s="152">
        <f>MAX(0,MIN(BN302-BO302,CL302-(AZ302+BD302+BH302+BL302)))</f>
        <v/>
      </c>
      <c r="BQ302" s="152">
        <f>BN302-BO302-BP302</f>
        <v/>
      </c>
      <c r="BR302" s="152">
        <f>IF(BU301&lt;=0.005,0,BU301*(1+BR$6))</f>
        <v/>
      </c>
      <c r="BS302" s="152">
        <f>MIN(BR302,BR$7)</f>
        <v/>
      </c>
      <c r="BT302" s="152">
        <f>MAX(0,MIN(BR302-BS302,CL302-(AZ302+BD302+BH302+BL302+BP302)))</f>
        <v/>
      </c>
      <c r="BU302" s="152">
        <f>BR302-BS302-BT302</f>
        <v/>
      </c>
      <c r="BV302" s="152">
        <f>IF(BY301&lt;=0.005,0,BY301*(1+BV$6))</f>
        <v/>
      </c>
      <c r="BW302" s="152">
        <f>MIN(BV302,BV$7)</f>
        <v/>
      </c>
      <c r="BX302" s="152">
        <f>MAX(0,MIN(BV302-BW302,CL302-(AZ302+BD302+BH302+BL302+BP302+BT302)))</f>
        <v/>
      </c>
      <c r="BY302" s="152">
        <f>BV302-BW302-BX302</f>
        <v/>
      </c>
      <c r="BZ302" s="152">
        <f>IF(CC301&lt;=0.005,0,CC301*(1+BZ$6))</f>
        <v/>
      </c>
      <c r="CA302" s="152">
        <f>MIN(BZ302,BZ$7)</f>
        <v/>
      </c>
      <c r="CB302" s="152">
        <f>MAX(0,MIN(BZ302-CA302,CL302-(AZ302+BD302+BH302+BL302+BP302+BT302+BX302)))</f>
        <v/>
      </c>
      <c r="CC302" s="152">
        <f>BZ302-CA302-CB302</f>
        <v/>
      </c>
      <c r="CD302" s="152">
        <f>IF(CG301&lt;=0.005,0,CG301*(1+CD$6))</f>
        <v/>
      </c>
      <c r="CE302" s="152">
        <f>MIN(CD302,CD$7)</f>
        <v/>
      </c>
      <c r="CF302" s="152">
        <f>MAX(0,MIN(CD302-CE302,CL302-(AZ302+BD302+BH302+BL302+BP302+BT302+BX302+CB302)))</f>
        <v/>
      </c>
      <c r="CG302" s="152">
        <f>CD302-CE302-CF302</f>
        <v/>
      </c>
      <c r="CH302" s="152">
        <f>IF(CK301&lt;=0.005,0,CK301*(1+CH$6))</f>
        <v/>
      </c>
      <c r="CI302" s="152">
        <f>MIN(CH302,CH$7)</f>
        <v/>
      </c>
      <c r="CJ302" s="152">
        <f>MAX(0,MIN(CH302-CI302,CL302-(AZ302+BD302+BH302+BL302+BP302+BT302+BX302+CB302+CF302)))</f>
        <v/>
      </c>
      <c r="CK302" s="152">
        <f>CH302-CI302-CJ302</f>
        <v/>
      </c>
      <c r="CL302" s="152">
        <f>'Debt Payoff'!$C$8-SUM(AY302,BC302,BG302,BK302,BO302,BS302,BW302,CA302,CE302,CI302)</f>
        <v/>
      </c>
      <c r="CM302" s="152">
        <f>SUM(AY302,BC302,BG302,BK302,BO302,BS302,BW302,CA302,CE302,CI302)+SUM(AZ302,BD302,BH302,BL302,BP302,BT302,BX302,CB302,CF302,CJ302)</f>
        <v/>
      </c>
      <c r="CN302" s="152">
        <f>SUM(BA302,BE302,BI302,BM302,BQ302,BU302,BY302,CC302,CG302,CK302)</f>
        <v/>
      </c>
      <c r="CO302" s="152">
        <f>IF(AW302&gt;CN$6,NA(),AW302)</f>
        <v/>
      </c>
      <c r="CP302" s="152">
        <f>IF(AW302&gt;CN$6,NA(),CN302)</f>
        <v/>
      </c>
    </row>
    <row r="303">
      <c r="B303" s="152" t="n">
        <v>292</v>
      </c>
      <c r="C303" s="152">
        <f>IF(F302&lt;=0.005,0,F302*(1+C$6))</f>
        <v/>
      </c>
      <c r="D303" s="152">
        <f>MIN(C303,C$7)</f>
        <v/>
      </c>
      <c r="E303" s="152">
        <f>MAX(0,MIN(C303-D303,AQ303))</f>
        <v/>
      </c>
      <c r="F303" s="152">
        <f>C303-D303-E303</f>
        <v/>
      </c>
      <c r="G303" s="152">
        <f>IF(J302&lt;=0.005,0,J302*(1+G$6))</f>
        <v/>
      </c>
      <c r="H303" s="152">
        <f>MIN(G303,G$7)</f>
        <v/>
      </c>
      <c r="I303" s="152">
        <f>MAX(0,MIN(G303-H303,AQ303-(E303)))</f>
        <v/>
      </c>
      <c r="J303" s="152">
        <f>G303-H303-I303</f>
        <v/>
      </c>
      <c r="K303" s="152">
        <f>IF(N302&lt;=0.005,0,N302*(1+K$6))</f>
        <v/>
      </c>
      <c r="L303" s="152">
        <f>MIN(K303,K$7)</f>
        <v/>
      </c>
      <c r="M303" s="152">
        <f>MAX(0,MIN(K303-L303,AQ303-(E303+I303)))</f>
        <v/>
      </c>
      <c r="N303" s="152">
        <f>K303-L303-M303</f>
        <v/>
      </c>
      <c r="O303" s="152">
        <f>IF(R302&lt;=0.005,0,R302*(1+O$6))</f>
        <v/>
      </c>
      <c r="P303" s="152">
        <f>MIN(O303,O$7)</f>
        <v/>
      </c>
      <c r="Q303" s="152">
        <f>MAX(0,MIN(O303-P303,AQ303-(E303+I303+M303)))</f>
        <v/>
      </c>
      <c r="R303" s="152">
        <f>O303-P303-Q303</f>
        <v/>
      </c>
      <c r="S303" s="152">
        <f>IF(V302&lt;=0.005,0,V302*(1+S$6))</f>
        <v/>
      </c>
      <c r="T303" s="152">
        <f>MIN(S303,S$7)</f>
        <v/>
      </c>
      <c r="U303" s="152">
        <f>MAX(0,MIN(S303-T303,AQ303-(E303+I303+M303+Q303)))</f>
        <v/>
      </c>
      <c r="V303" s="152">
        <f>S303-T303-U303</f>
        <v/>
      </c>
      <c r="W303" s="152">
        <f>IF(Z302&lt;=0.005,0,Z302*(1+W$6))</f>
        <v/>
      </c>
      <c r="X303" s="152">
        <f>MIN(W303,W$7)</f>
        <v/>
      </c>
      <c r="Y303" s="152">
        <f>MAX(0,MIN(W303-X303,AQ303-(E303+I303+M303+Q303+U303)))</f>
        <v/>
      </c>
      <c r="Z303" s="152">
        <f>W303-X303-Y303</f>
        <v/>
      </c>
      <c r="AA303" s="152">
        <f>IF(AD302&lt;=0.005,0,AD302*(1+AA$6))</f>
        <v/>
      </c>
      <c r="AB303" s="152">
        <f>MIN(AA303,AA$7)</f>
        <v/>
      </c>
      <c r="AC303" s="152">
        <f>MAX(0,MIN(AA303-AB303,AQ303-(E303+I303+M303+Q303+U303+Y303)))</f>
        <v/>
      </c>
      <c r="AD303" s="152">
        <f>AA303-AB303-AC303</f>
        <v/>
      </c>
      <c r="AE303" s="152">
        <f>IF(AH302&lt;=0.005,0,AH302*(1+AE$6))</f>
        <v/>
      </c>
      <c r="AF303" s="152">
        <f>MIN(AE303,AE$7)</f>
        <v/>
      </c>
      <c r="AG303" s="152">
        <f>MAX(0,MIN(AE303-AF303,AQ303-(E303+I303+M303+Q303+U303+Y303+AC303)))</f>
        <v/>
      </c>
      <c r="AH303" s="152">
        <f>AE303-AF303-AG303</f>
        <v/>
      </c>
      <c r="AI303" s="152">
        <f>IF(AL302&lt;=0.005,0,AL302*(1+AI$6))</f>
        <v/>
      </c>
      <c r="AJ303" s="152">
        <f>MIN(AI303,AI$7)</f>
        <v/>
      </c>
      <c r="AK303" s="152">
        <f>MAX(0,MIN(AI303-AJ303,AQ303-(E303+I303+M303+Q303+U303+Y303+AC303+AG303)))</f>
        <v/>
      </c>
      <c r="AL303" s="152">
        <f>AI303-AJ303-AK303</f>
        <v/>
      </c>
      <c r="AM303" s="152">
        <f>IF(AP302&lt;=0.005,0,AP302*(1+AM$6))</f>
        <v/>
      </c>
      <c r="AN303" s="152">
        <f>MIN(AM303,AM$7)</f>
        <v/>
      </c>
      <c r="AO303" s="152">
        <f>MAX(0,MIN(AM303-AN303,AQ303-(E303+I303+M303+Q303+U303+Y303+AC303+AG303+AK303)))</f>
        <v/>
      </c>
      <c r="AP303" s="152">
        <f>AM303-AN303-AO303</f>
        <v/>
      </c>
      <c r="AQ303" s="152">
        <f>'Debt Payoff'!$C$8-SUM(D303,H303,L303,P303,T303,X303,AB303,AF303,AJ303,AN303)</f>
        <v/>
      </c>
      <c r="AR303" s="152">
        <f>SUM(D303,H303,L303,P303,T303,X303,AB303,AF303,AJ303,AN303)+SUM(E303,I303,M303,Q303,U303,Y303,AC303,AG303,AK303,AO303)</f>
        <v/>
      </c>
      <c r="AS303" s="152">
        <f>SUM(F303,J303,N303,R303,V303,Z303,AD303,AH303,AL303,AP303)</f>
        <v/>
      </c>
      <c r="AT303" s="152">
        <f>IF(B303&gt;AS$6,NA(),B303)</f>
        <v/>
      </c>
      <c r="AU303" s="152">
        <f>IF(B303&gt;AS$6,NA(),AS303)</f>
        <v/>
      </c>
      <c r="AV303" s="152" t="n"/>
      <c r="AW303" s="152" t="n">
        <v>292</v>
      </c>
      <c r="AX303" s="152">
        <f>IF(BA302&lt;=0.005,0,BA302*(1+AX$6))</f>
        <v/>
      </c>
      <c r="AY303" s="152">
        <f>MIN(AX303,AX$7)</f>
        <v/>
      </c>
      <c r="AZ303" s="152">
        <f>MAX(0,MIN(AX303-AY303,CL303))</f>
        <v/>
      </c>
      <c r="BA303" s="152">
        <f>AX303-AY303-AZ303</f>
        <v/>
      </c>
      <c r="BB303" s="152">
        <f>IF(BE302&lt;=0.005,0,BE302*(1+BB$6))</f>
        <v/>
      </c>
      <c r="BC303" s="152">
        <f>MIN(BB303,BB$7)</f>
        <v/>
      </c>
      <c r="BD303" s="152">
        <f>MAX(0,MIN(BB303-BC303,CL303-(AZ303)))</f>
        <v/>
      </c>
      <c r="BE303" s="152">
        <f>BB303-BC303-BD303</f>
        <v/>
      </c>
      <c r="BF303" s="152">
        <f>IF(BI302&lt;=0.005,0,BI302*(1+BF$6))</f>
        <v/>
      </c>
      <c r="BG303" s="152">
        <f>MIN(BF303,BF$7)</f>
        <v/>
      </c>
      <c r="BH303" s="152">
        <f>MAX(0,MIN(BF303-BG303,CL303-(AZ303+BD303)))</f>
        <v/>
      </c>
      <c r="BI303" s="152">
        <f>BF303-BG303-BH303</f>
        <v/>
      </c>
      <c r="BJ303" s="152">
        <f>IF(BM302&lt;=0.005,0,BM302*(1+BJ$6))</f>
        <v/>
      </c>
      <c r="BK303" s="152">
        <f>MIN(BJ303,BJ$7)</f>
        <v/>
      </c>
      <c r="BL303" s="152">
        <f>MAX(0,MIN(BJ303-BK303,CL303-(AZ303+BD303+BH303)))</f>
        <v/>
      </c>
      <c r="BM303" s="152">
        <f>BJ303-BK303-BL303</f>
        <v/>
      </c>
      <c r="BN303" s="152">
        <f>IF(BQ302&lt;=0.005,0,BQ302*(1+BN$6))</f>
        <v/>
      </c>
      <c r="BO303" s="152">
        <f>MIN(BN303,BN$7)</f>
        <v/>
      </c>
      <c r="BP303" s="152">
        <f>MAX(0,MIN(BN303-BO303,CL303-(AZ303+BD303+BH303+BL303)))</f>
        <v/>
      </c>
      <c r="BQ303" s="152">
        <f>BN303-BO303-BP303</f>
        <v/>
      </c>
      <c r="BR303" s="152">
        <f>IF(BU302&lt;=0.005,0,BU302*(1+BR$6))</f>
        <v/>
      </c>
      <c r="BS303" s="152">
        <f>MIN(BR303,BR$7)</f>
        <v/>
      </c>
      <c r="BT303" s="152">
        <f>MAX(0,MIN(BR303-BS303,CL303-(AZ303+BD303+BH303+BL303+BP303)))</f>
        <v/>
      </c>
      <c r="BU303" s="152">
        <f>BR303-BS303-BT303</f>
        <v/>
      </c>
      <c r="BV303" s="152">
        <f>IF(BY302&lt;=0.005,0,BY302*(1+BV$6))</f>
        <v/>
      </c>
      <c r="BW303" s="152">
        <f>MIN(BV303,BV$7)</f>
        <v/>
      </c>
      <c r="BX303" s="152">
        <f>MAX(0,MIN(BV303-BW303,CL303-(AZ303+BD303+BH303+BL303+BP303+BT303)))</f>
        <v/>
      </c>
      <c r="BY303" s="152">
        <f>BV303-BW303-BX303</f>
        <v/>
      </c>
      <c r="BZ303" s="152">
        <f>IF(CC302&lt;=0.005,0,CC302*(1+BZ$6))</f>
        <v/>
      </c>
      <c r="CA303" s="152">
        <f>MIN(BZ303,BZ$7)</f>
        <v/>
      </c>
      <c r="CB303" s="152">
        <f>MAX(0,MIN(BZ303-CA303,CL303-(AZ303+BD303+BH303+BL303+BP303+BT303+BX303)))</f>
        <v/>
      </c>
      <c r="CC303" s="152">
        <f>BZ303-CA303-CB303</f>
        <v/>
      </c>
      <c r="CD303" s="152">
        <f>IF(CG302&lt;=0.005,0,CG302*(1+CD$6))</f>
        <v/>
      </c>
      <c r="CE303" s="152">
        <f>MIN(CD303,CD$7)</f>
        <v/>
      </c>
      <c r="CF303" s="152">
        <f>MAX(0,MIN(CD303-CE303,CL303-(AZ303+BD303+BH303+BL303+BP303+BT303+BX303+CB303)))</f>
        <v/>
      </c>
      <c r="CG303" s="152">
        <f>CD303-CE303-CF303</f>
        <v/>
      </c>
      <c r="CH303" s="152">
        <f>IF(CK302&lt;=0.005,0,CK302*(1+CH$6))</f>
        <v/>
      </c>
      <c r="CI303" s="152">
        <f>MIN(CH303,CH$7)</f>
        <v/>
      </c>
      <c r="CJ303" s="152">
        <f>MAX(0,MIN(CH303-CI303,CL303-(AZ303+BD303+BH303+BL303+BP303+BT303+BX303+CB303+CF303)))</f>
        <v/>
      </c>
      <c r="CK303" s="152">
        <f>CH303-CI303-CJ303</f>
        <v/>
      </c>
      <c r="CL303" s="152">
        <f>'Debt Payoff'!$C$8-SUM(AY303,BC303,BG303,BK303,BO303,BS303,BW303,CA303,CE303,CI303)</f>
        <v/>
      </c>
      <c r="CM303" s="152">
        <f>SUM(AY303,BC303,BG303,BK303,BO303,BS303,BW303,CA303,CE303,CI303)+SUM(AZ303,BD303,BH303,BL303,BP303,BT303,BX303,CB303,CF303,CJ303)</f>
        <v/>
      </c>
      <c r="CN303" s="152">
        <f>SUM(BA303,BE303,BI303,BM303,BQ303,BU303,BY303,CC303,CG303,CK303)</f>
        <v/>
      </c>
      <c r="CO303" s="152">
        <f>IF(AW303&gt;CN$6,NA(),AW303)</f>
        <v/>
      </c>
      <c r="CP303" s="152">
        <f>IF(AW303&gt;CN$6,NA(),CN303)</f>
        <v/>
      </c>
    </row>
    <row r="304">
      <c r="B304" s="152" t="n">
        <v>293</v>
      </c>
      <c r="C304" s="152">
        <f>IF(F303&lt;=0.005,0,F303*(1+C$6))</f>
        <v/>
      </c>
      <c r="D304" s="152">
        <f>MIN(C304,C$7)</f>
        <v/>
      </c>
      <c r="E304" s="152">
        <f>MAX(0,MIN(C304-D304,AQ304))</f>
        <v/>
      </c>
      <c r="F304" s="152">
        <f>C304-D304-E304</f>
        <v/>
      </c>
      <c r="G304" s="152">
        <f>IF(J303&lt;=0.005,0,J303*(1+G$6))</f>
        <v/>
      </c>
      <c r="H304" s="152">
        <f>MIN(G304,G$7)</f>
        <v/>
      </c>
      <c r="I304" s="152">
        <f>MAX(0,MIN(G304-H304,AQ304-(E304)))</f>
        <v/>
      </c>
      <c r="J304" s="152">
        <f>G304-H304-I304</f>
        <v/>
      </c>
      <c r="K304" s="152">
        <f>IF(N303&lt;=0.005,0,N303*(1+K$6))</f>
        <v/>
      </c>
      <c r="L304" s="152">
        <f>MIN(K304,K$7)</f>
        <v/>
      </c>
      <c r="M304" s="152">
        <f>MAX(0,MIN(K304-L304,AQ304-(E304+I304)))</f>
        <v/>
      </c>
      <c r="N304" s="152">
        <f>K304-L304-M304</f>
        <v/>
      </c>
      <c r="O304" s="152">
        <f>IF(R303&lt;=0.005,0,R303*(1+O$6))</f>
        <v/>
      </c>
      <c r="P304" s="152">
        <f>MIN(O304,O$7)</f>
        <v/>
      </c>
      <c r="Q304" s="152">
        <f>MAX(0,MIN(O304-P304,AQ304-(E304+I304+M304)))</f>
        <v/>
      </c>
      <c r="R304" s="152">
        <f>O304-P304-Q304</f>
        <v/>
      </c>
      <c r="S304" s="152">
        <f>IF(V303&lt;=0.005,0,V303*(1+S$6))</f>
        <v/>
      </c>
      <c r="T304" s="152">
        <f>MIN(S304,S$7)</f>
        <v/>
      </c>
      <c r="U304" s="152">
        <f>MAX(0,MIN(S304-T304,AQ304-(E304+I304+M304+Q304)))</f>
        <v/>
      </c>
      <c r="V304" s="152">
        <f>S304-T304-U304</f>
        <v/>
      </c>
      <c r="W304" s="152">
        <f>IF(Z303&lt;=0.005,0,Z303*(1+W$6))</f>
        <v/>
      </c>
      <c r="X304" s="152">
        <f>MIN(W304,W$7)</f>
        <v/>
      </c>
      <c r="Y304" s="152">
        <f>MAX(0,MIN(W304-X304,AQ304-(E304+I304+M304+Q304+U304)))</f>
        <v/>
      </c>
      <c r="Z304" s="152">
        <f>W304-X304-Y304</f>
        <v/>
      </c>
      <c r="AA304" s="152">
        <f>IF(AD303&lt;=0.005,0,AD303*(1+AA$6))</f>
        <v/>
      </c>
      <c r="AB304" s="152">
        <f>MIN(AA304,AA$7)</f>
        <v/>
      </c>
      <c r="AC304" s="152">
        <f>MAX(0,MIN(AA304-AB304,AQ304-(E304+I304+M304+Q304+U304+Y304)))</f>
        <v/>
      </c>
      <c r="AD304" s="152">
        <f>AA304-AB304-AC304</f>
        <v/>
      </c>
      <c r="AE304" s="152">
        <f>IF(AH303&lt;=0.005,0,AH303*(1+AE$6))</f>
        <v/>
      </c>
      <c r="AF304" s="152">
        <f>MIN(AE304,AE$7)</f>
        <v/>
      </c>
      <c r="AG304" s="152">
        <f>MAX(0,MIN(AE304-AF304,AQ304-(E304+I304+M304+Q304+U304+Y304+AC304)))</f>
        <v/>
      </c>
      <c r="AH304" s="152">
        <f>AE304-AF304-AG304</f>
        <v/>
      </c>
      <c r="AI304" s="152">
        <f>IF(AL303&lt;=0.005,0,AL303*(1+AI$6))</f>
        <v/>
      </c>
      <c r="AJ304" s="152">
        <f>MIN(AI304,AI$7)</f>
        <v/>
      </c>
      <c r="AK304" s="152">
        <f>MAX(0,MIN(AI304-AJ304,AQ304-(E304+I304+M304+Q304+U304+Y304+AC304+AG304)))</f>
        <v/>
      </c>
      <c r="AL304" s="152">
        <f>AI304-AJ304-AK304</f>
        <v/>
      </c>
      <c r="AM304" s="152">
        <f>IF(AP303&lt;=0.005,0,AP303*(1+AM$6))</f>
        <v/>
      </c>
      <c r="AN304" s="152">
        <f>MIN(AM304,AM$7)</f>
        <v/>
      </c>
      <c r="AO304" s="152">
        <f>MAX(0,MIN(AM304-AN304,AQ304-(E304+I304+M304+Q304+U304+Y304+AC304+AG304+AK304)))</f>
        <v/>
      </c>
      <c r="AP304" s="152">
        <f>AM304-AN304-AO304</f>
        <v/>
      </c>
      <c r="AQ304" s="152">
        <f>'Debt Payoff'!$C$8-SUM(D304,H304,L304,P304,T304,X304,AB304,AF304,AJ304,AN304)</f>
        <v/>
      </c>
      <c r="AR304" s="152">
        <f>SUM(D304,H304,L304,P304,T304,X304,AB304,AF304,AJ304,AN304)+SUM(E304,I304,M304,Q304,U304,Y304,AC304,AG304,AK304,AO304)</f>
        <v/>
      </c>
      <c r="AS304" s="152">
        <f>SUM(F304,J304,N304,R304,V304,Z304,AD304,AH304,AL304,AP304)</f>
        <v/>
      </c>
      <c r="AT304" s="152">
        <f>IF(B304&gt;AS$6,NA(),B304)</f>
        <v/>
      </c>
      <c r="AU304" s="152">
        <f>IF(B304&gt;AS$6,NA(),AS304)</f>
        <v/>
      </c>
      <c r="AV304" s="152" t="n"/>
      <c r="AW304" s="152" t="n">
        <v>293</v>
      </c>
      <c r="AX304" s="152">
        <f>IF(BA303&lt;=0.005,0,BA303*(1+AX$6))</f>
        <v/>
      </c>
      <c r="AY304" s="152">
        <f>MIN(AX304,AX$7)</f>
        <v/>
      </c>
      <c r="AZ304" s="152">
        <f>MAX(0,MIN(AX304-AY304,CL304))</f>
        <v/>
      </c>
      <c r="BA304" s="152">
        <f>AX304-AY304-AZ304</f>
        <v/>
      </c>
      <c r="BB304" s="152">
        <f>IF(BE303&lt;=0.005,0,BE303*(1+BB$6))</f>
        <v/>
      </c>
      <c r="BC304" s="152">
        <f>MIN(BB304,BB$7)</f>
        <v/>
      </c>
      <c r="BD304" s="152">
        <f>MAX(0,MIN(BB304-BC304,CL304-(AZ304)))</f>
        <v/>
      </c>
      <c r="BE304" s="152">
        <f>BB304-BC304-BD304</f>
        <v/>
      </c>
      <c r="BF304" s="152">
        <f>IF(BI303&lt;=0.005,0,BI303*(1+BF$6))</f>
        <v/>
      </c>
      <c r="BG304" s="152">
        <f>MIN(BF304,BF$7)</f>
        <v/>
      </c>
      <c r="BH304" s="152">
        <f>MAX(0,MIN(BF304-BG304,CL304-(AZ304+BD304)))</f>
        <v/>
      </c>
      <c r="BI304" s="152">
        <f>BF304-BG304-BH304</f>
        <v/>
      </c>
      <c r="BJ304" s="152">
        <f>IF(BM303&lt;=0.005,0,BM303*(1+BJ$6))</f>
        <v/>
      </c>
      <c r="BK304" s="152">
        <f>MIN(BJ304,BJ$7)</f>
        <v/>
      </c>
      <c r="BL304" s="152">
        <f>MAX(0,MIN(BJ304-BK304,CL304-(AZ304+BD304+BH304)))</f>
        <v/>
      </c>
      <c r="BM304" s="152">
        <f>BJ304-BK304-BL304</f>
        <v/>
      </c>
      <c r="BN304" s="152">
        <f>IF(BQ303&lt;=0.005,0,BQ303*(1+BN$6))</f>
        <v/>
      </c>
      <c r="BO304" s="152">
        <f>MIN(BN304,BN$7)</f>
        <v/>
      </c>
      <c r="BP304" s="152">
        <f>MAX(0,MIN(BN304-BO304,CL304-(AZ304+BD304+BH304+BL304)))</f>
        <v/>
      </c>
      <c r="BQ304" s="152">
        <f>BN304-BO304-BP304</f>
        <v/>
      </c>
      <c r="BR304" s="152">
        <f>IF(BU303&lt;=0.005,0,BU303*(1+BR$6))</f>
        <v/>
      </c>
      <c r="BS304" s="152">
        <f>MIN(BR304,BR$7)</f>
        <v/>
      </c>
      <c r="BT304" s="152">
        <f>MAX(0,MIN(BR304-BS304,CL304-(AZ304+BD304+BH304+BL304+BP304)))</f>
        <v/>
      </c>
      <c r="BU304" s="152">
        <f>BR304-BS304-BT304</f>
        <v/>
      </c>
      <c r="BV304" s="152">
        <f>IF(BY303&lt;=0.005,0,BY303*(1+BV$6))</f>
        <v/>
      </c>
      <c r="BW304" s="152">
        <f>MIN(BV304,BV$7)</f>
        <v/>
      </c>
      <c r="BX304" s="152">
        <f>MAX(0,MIN(BV304-BW304,CL304-(AZ304+BD304+BH304+BL304+BP304+BT304)))</f>
        <v/>
      </c>
      <c r="BY304" s="152">
        <f>BV304-BW304-BX304</f>
        <v/>
      </c>
      <c r="BZ304" s="152">
        <f>IF(CC303&lt;=0.005,0,CC303*(1+BZ$6))</f>
        <v/>
      </c>
      <c r="CA304" s="152">
        <f>MIN(BZ304,BZ$7)</f>
        <v/>
      </c>
      <c r="CB304" s="152">
        <f>MAX(0,MIN(BZ304-CA304,CL304-(AZ304+BD304+BH304+BL304+BP304+BT304+BX304)))</f>
        <v/>
      </c>
      <c r="CC304" s="152">
        <f>BZ304-CA304-CB304</f>
        <v/>
      </c>
      <c r="CD304" s="152">
        <f>IF(CG303&lt;=0.005,0,CG303*(1+CD$6))</f>
        <v/>
      </c>
      <c r="CE304" s="152">
        <f>MIN(CD304,CD$7)</f>
        <v/>
      </c>
      <c r="CF304" s="152">
        <f>MAX(0,MIN(CD304-CE304,CL304-(AZ304+BD304+BH304+BL304+BP304+BT304+BX304+CB304)))</f>
        <v/>
      </c>
      <c r="CG304" s="152">
        <f>CD304-CE304-CF304</f>
        <v/>
      </c>
      <c r="CH304" s="152">
        <f>IF(CK303&lt;=0.005,0,CK303*(1+CH$6))</f>
        <v/>
      </c>
      <c r="CI304" s="152">
        <f>MIN(CH304,CH$7)</f>
        <v/>
      </c>
      <c r="CJ304" s="152">
        <f>MAX(0,MIN(CH304-CI304,CL304-(AZ304+BD304+BH304+BL304+BP304+BT304+BX304+CB304+CF304)))</f>
        <v/>
      </c>
      <c r="CK304" s="152">
        <f>CH304-CI304-CJ304</f>
        <v/>
      </c>
      <c r="CL304" s="152">
        <f>'Debt Payoff'!$C$8-SUM(AY304,BC304,BG304,BK304,BO304,BS304,BW304,CA304,CE304,CI304)</f>
        <v/>
      </c>
      <c r="CM304" s="152">
        <f>SUM(AY304,BC304,BG304,BK304,BO304,BS304,BW304,CA304,CE304,CI304)+SUM(AZ304,BD304,BH304,BL304,BP304,BT304,BX304,CB304,CF304,CJ304)</f>
        <v/>
      </c>
      <c r="CN304" s="152">
        <f>SUM(BA304,BE304,BI304,BM304,BQ304,BU304,BY304,CC304,CG304,CK304)</f>
        <v/>
      </c>
      <c r="CO304" s="152">
        <f>IF(AW304&gt;CN$6,NA(),AW304)</f>
        <v/>
      </c>
      <c r="CP304" s="152">
        <f>IF(AW304&gt;CN$6,NA(),CN304)</f>
        <v/>
      </c>
    </row>
    <row r="305">
      <c r="B305" s="152" t="n">
        <v>294</v>
      </c>
      <c r="C305" s="152">
        <f>IF(F304&lt;=0.005,0,F304*(1+C$6))</f>
        <v/>
      </c>
      <c r="D305" s="152">
        <f>MIN(C305,C$7)</f>
        <v/>
      </c>
      <c r="E305" s="152">
        <f>MAX(0,MIN(C305-D305,AQ305))</f>
        <v/>
      </c>
      <c r="F305" s="152">
        <f>C305-D305-E305</f>
        <v/>
      </c>
      <c r="G305" s="152">
        <f>IF(J304&lt;=0.005,0,J304*(1+G$6))</f>
        <v/>
      </c>
      <c r="H305" s="152">
        <f>MIN(G305,G$7)</f>
        <v/>
      </c>
      <c r="I305" s="152">
        <f>MAX(0,MIN(G305-H305,AQ305-(E305)))</f>
        <v/>
      </c>
      <c r="J305" s="152">
        <f>G305-H305-I305</f>
        <v/>
      </c>
      <c r="K305" s="152">
        <f>IF(N304&lt;=0.005,0,N304*(1+K$6))</f>
        <v/>
      </c>
      <c r="L305" s="152">
        <f>MIN(K305,K$7)</f>
        <v/>
      </c>
      <c r="M305" s="152">
        <f>MAX(0,MIN(K305-L305,AQ305-(E305+I305)))</f>
        <v/>
      </c>
      <c r="N305" s="152">
        <f>K305-L305-M305</f>
        <v/>
      </c>
      <c r="O305" s="152">
        <f>IF(R304&lt;=0.005,0,R304*(1+O$6))</f>
        <v/>
      </c>
      <c r="P305" s="152">
        <f>MIN(O305,O$7)</f>
        <v/>
      </c>
      <c r="Q305" s="152">
        <f>MAX(0,MIN(O305-P305,AQ305-(E305+I305+M305)))</f>
        <v/>
      </c>
      <c r="R305" s="152">
        <f>O305-P305-Q305</f>
        <v/>
      </c>
      <c r="S305" s="152">
        <f>IF(V304&lt;=0.005,0,V304*(1+S$6))</f>
        <v/>
      </c>
      <c r="T305" s="152">
        <f>MIN(S305,S$7)</f>
        <v/>
      </c>
      <c r="U305" s="152">
        <f>MAX(0,MIN(S305-T305,AQ305-(E305+I305+M305+Q305)))</f>
        <v/>
      </c>
      <c r="V305" s="152">
        <f>S305-T305-U305</f>
        <v/>
      </c>
      <c r="W305" s="152">
        <f>IF(Z304&lt;=0.005,0,Z304*(1+W$6))</f>
        <v/>
      </c>
      <c r="X305" s="152">
        <f>MIN(W305,W$7)</f>
        <v/>
      </c>
      <c r="Y305" s="152">
        <f>MAX(0,MIN(W305-X305,AQ305-(E305+I305+M305+Q305+U305)))</f>
        <v/>
      </c>
      <c r="Z305" s="152">
        <f>W305-X305-Y305</f>
        <v/>
      </c>
      <c r="AA305" s="152">
        <f>IF(AD304&lt;=0.005,0,AD304*(1+AA$6))</f>
        <v/>
      </c>
      <c r="AB305" s="152">
        <f>MIN(AA305,AA$7)</f>
        <v/>
      </c>
      <c r="AC305" s="152">
        <f>MAX(0,MIN(AA305-AB305,AQ305-(E305+I305+M305+Q305+U305+Y305)))</f>
        <v/>
      </c>
      <c r="AD305" s="152">
        <f>AA305-AB305-AC305</f>
        <v/>
      </c>
      <c r="AE305" s="152">
        <f>IF(AH304&lt;=0.005,0,AH304*(1+AE$6))</f>
        <v/>
      </c>
      <c r="AF305" s="152">
        <f>MIN(AE305,AE$7)</f>
        <v/>
      </c>
      <c r="AG305" s="152">
        <f>MAX(0,MIN(AE305-AF305,AQ305-(E305+I305+M305+Q305+U305+Y305+AC305)))</f>
        <v/>
      </c>
      <c r="AH305" s="152">
        <f>AE305-AF305-AG305</f>
        <v/>
      </c>
      <c r="AI305" s="152">
        <f>IF(AL304&lt;=0.005,0,AL304*(1+AI$6))</f>
        <v/>
      </c>
      <c r="AJ305" s="152">
        <f>MIN(AI305,AI$7)</f>
        <v/>
      </c>
      <c r="AK305" s="152">
        <f>MAX(0,MIN(AI305-AJ305,AQ305-(E305+I305+M305+Q305+U305+Y305+AC305+AG305)))</f>
        <v/>
      </c>
      <c r="AL305" s="152">
        <f>AI305-AJ305-AK305</f>
        <v/>
      </c>
      <c r="AM305" s="152">
        <f>IF(AP304&lt;=0.005,0,AP304*(1+AM$6))</f>
        <v/>
      </c>
      <c r="AN305" s="152">
        <f>MIN(AM305,AM$7)</f>
        <v/>
      </c>
      <c r="AO305" s="152">
        <f>MAX(0,MIN(AM305-AN305,AQ305-(E305+I305+M305+Q305+U305+Y305+AC305+AG305+AK305)))</f>
        <v/>
      </c>
      <c r="AP305" s="152">
        <f>AM305-AN305-AO305</f>
        <v/>
      </c>
      <c r="AQ305" s="152">
        <f>'Debt Payoff'!$C$8-SUM(D305,H305,L305,P305,T305,X305,AB305,AF305,AJ305,AN305)</f>
        <v/>
      </c>
      <c r="AR305" s="152">
        <f>SUM(D305,H305,L305,P305,T305,X305,AB305,AF305,AJ305,AN305)+SUM(E305,I305,M305,Q305,U305,Y305,AC305,AG305,AK305,AO305)</f>
        <v/>
      </c>
      <c r="AS305" s="152">
        <f>SUM(F305,J305,N305,R305,V305,Z305,AD305,AH305,AL305,AP305)</f>
        <v/>
      </c>
      <c r="AT305" s="152">
        <f>IF(B305&gt;AS$6,NA(),B305)</f>
        <v/>
      </c>
      <c r="AU305" s="152">
        <f>IF(B305&gt;AS$6,NA(),AS305)</f>
        <v/>
      </c>
      <c r="AV305" s="152" t="n"/>
      <c r="AW305" s="152" t="n">
        <v>294</v>
      </c>
      <c r="AX305" s="152">
        <f>IF(BA304&lt;=0.005,0,BA304*(1+AX$6))</f>
        <v/>
      </c>
      <c r="AY305" s="152">
        <f>MIN(AX305,AX$7)</f>
        <v/>
      </c>
      <c r="AZ305" s="152">
        <f>MAX(0,MIN(AX305-AY305,CL305))</f>
        <v/>
      </c>
      <c r="BA305" s="152">
        <f>AX305-AY305-AZ305</f>
        <v/>
      </c>
      <c r="BB305" s="152">
        <f>IF(BE304&lt;=0.005,0,BE304*(1+BB$6))</f>
        <v/>
      </c>
      <c r="BC305" s="152">
        <f>MIN(BB305,BB$7)</f>
        <v/>
      </c>
      <c r="BD305" s="152">
        <f>MAX(0,MIN(BB305-BC305,CL305-(AZ305)))</f>
        <v/>
      </c>
      <c r="BE305" s="152">
        <f>BB305-BC305-BD305</f>
        <v/>
      </c>
      <c r="BF305" s="152">
        <f>IF(BI304&lt;=0.005,0,BI304*(1+BF$6))</f>
        <v/>
      </c>
      <c r="BG305" s="152">
        <f>MIN(BF305,BF$7)</f>
        <v/>
      </c>
      <c r="BH305" s="152">
        <f>MAX(0,MIN(BF305-BG305,CL305-(AZ305+BD305)))</f>
        <v/>
      </c>
      <c r="BI305" s="152">
        <f>BF305-BG305-BH305</f>
        <v/>
      </c>
      <c r="BJ305" s="152">
        <f>IF(BM304&lt;=0.005,0,BM304*(1+BJ$6))</f>
        <v/>
      </c>
      <c r="BK305" s="152">
        <f>MIN(BJ305,BJ$7)</f>
        <v/>
      </c>
      <c r="BL305" s="152">
        <f>MAX(0,MIN(BJ305-BK305,CL305-(AZ305+BD305+BH305)))</f>
        <v/>
      </c>
      <c r="BM305" s="152">
        <f>BJ305-BK305-BL305</f>
        <v/>
      </c>
      <c r="BN305" s="152">
        <f>IF(BQ304&lt;=0.005,0,BQ304*(1+BN$6))</f>
        <v/>
      </c>
      <c r="BO305" s="152">
        <f>MIN(BN305,BN$7)</f>
        <v/>
      </c>
      <c r="BP305" s="152">
        <f>MAX(0,MIN(BN305-BO305,CL305-(AZ305+BD305+BH305+BL305)))</f>
        <v/>
      </c>
      <c r="BQ305" s="152">
        <f>BN305-BO305-BP305</f>
        <v/>
      </c>
      <c r="BR305" s="152">
        <f>IF(BU304&lt;=0.005,0,BU304*(1+BR$6))</f>
        <v/>
      </c>
      <c r="BS305" s="152">
        <f>MIN(BR305,BR$7)</f>
        <v/>
      </c>
      <c r="BT305" s="152">
        <f>MAX(0,MIN(BR305-BS305,CL305-(AZ305+BD305+BH305+BL305+BP305)))</f>
        <v/>
      </c>
      <c r="BU305" s="152">
        <f>BR305-BS305-BT305</f>
        <v/>
      </c>
      <c r="BV305" s="152">
        <f>IF(BY304&lt;=0.005,0,BY304*(1+BV$6))</f>
        <v/>
      </c>
      <c r="BW305" s="152">
        <f>MIN(BV305,BV$7)</f>
        <v/>
      </c>
      <c r="BX305" s="152">
        <f>MAX(0,MIN(BV305-BW305,CL305-(AZ305+BD305+BH305+BL305+BP305+BT305)))</f>
        <v/>
      </c>
      <c r="BY305" s="152">
        <f>BV305-BW305-BX305</f>
        <v/>
      </c>
      <c r="BZ305" s="152">
        <f>IF(CC304&lt;=0.005,0,CC304*(1+BZ$6))</f>
        <v/>
      </c>
      <c r="CA305" s="152">
        <f>MIN(BZ305,BZ$7)</f>
        <v/>
      </c>
      <c r="CB305" s="152">
        <f>MAX(0,MIN(BZ305-CA305,CL305-(AZ305+BD305+BH305+BL305+BP305+BT305+BX305)))</f>
        <v/>
      </c>
      <c r="CC305" s="152">
        <f>BZ305-CA305-CB305</f>
        <v/>
      </c>
      <c r="CD305" s="152">
        <f>IF(CG304&lt;=0.005,0,CG304*(1+CD$6))</f>
        <v/>
      </c>
      <c r="CE305" s="152">
        <f>MIN(CD305,CD$7)</f>
        <v/>
      </c>
      <c r="CF305" s="152">
        <f>MAX(0,MIN(CD305-CE305,CL305-(AZ305+BD305+BH305+BL305+BP305+BT305+BX305+CB305)))</f>
        <v/>
      </c>
      <c r="CG305" s="152">
        <f>CD305-CE305-CF305</f>
        <v/>
      </c>
      <c r="CH305" s="152">
        <f>IF(CK304&lt;=0.005,0,CK304*(1+CH$6))</f>
        <v/>
      </c>
      <c r="CI305" s="152">
        <f>MIN(CH305,CH$7)</f>
        <v/>
      </c>
      <c r="CJ305" s="152">
        <f>MAX(0,MIN(CH305-CI305,CL305-(AZ305+BD305+BH305+BL305+BP305+BT305+BX305+CB305+CF305)))</f>
        <v/>
      </c>
      <c r="CK305" s="152">
        <f>CH305-CI305-CJ305</f>
        <v/>
      </c>
      <c r="CL305" s="152">
        <f>'Debt Payoff'!$C$8-SUM(AY305,BC305,BG305,BK305,BO305,BS305,BW305,CA305,CE305,CI305)</f>
        <v/>
      </c>
      <c r="CM305" s="152">
        <f>SUM(AY305,BC305,BG305,BK305,BO305,BS305,BW305,CA305,CE305,CI305)+SUM(AZ305,BD305,BH305,BL305,BP305,BT305,BX305,CB305,CF305,CJ305)</f>
        <v/>
      </c>
      <c r="CN305" s="152">
        <f>SUM(BA305,BE305,BI305,BM305,BQ305,BU305,BY305,CC305,CG305,CK305)</f>
        <v/>
      </c>
      <c r="CO305" s="152">
        <f>IF(AW305&gt;CN$6,NA(),AW305)</f>
        <v/>
      </c>
      <c r="CP305" s="152">
        <f>IF(AW305&gt;CN$6,NA(),CN305)</f>
        <v/>
      </c>
    </row>
    <row r="306">
      <c r="B306" s="152" t="n">
        <v>295</v>
      </c>
      <c r="C306" s="152">
        <f>IF(F305&lt;=0.005,0,F305*(1+C$6))</f>
        <v/>
      </c>
      <c r="D306" s="152">
        <f>MIN(C306,C$7)</f>
        <v/>
      </c>
      <c r="E306" s="152">
        <f>MAX(0,MIN(C306-D306,AQ306))</f>
        <v/>
      </c>
      <c r="F306" s="152">
        <f>C306-D306-E306</f>
        <v/>
      </c>
      <c r="G306" s="152">
        <f>IF(J305&lt;=0.005,0,J305*(1+G$6))</f>
        <v/>
      </c>
      <c r="H306" s="152">
        <f>MIN(G306,G$7)</f>
        <v/>
      </c>
      <c r="I306" s="152">
        <f>MAX(0,MIN(G306-H306,AQ306-(E306)))</f>
        <v/>
      </c>
      <c r="J306" s="152">
        <f>G306-H306-I306</f>
        <v/>
      </c>
      <c r="K306" s="152">
        <f>IF(N305&lt;=0.005,0,N305*(1+K$6))</f>
        <v/>
      </c>
      <c r="L306" s="152">
        <f>MIN(K306,K$7)</f>
        <v/>
      </c>
      <c r="M306" s="152">
        <f>MAX(0,MIN(K306-L306,AQ306-(E306+I306)))</f>
        <v/>
      </c>
      <c r="N306" s="152">
        <f>K306-L306-M306</f>
        <v/>
      </c>
      <c r="O306" s="152">
        <f>IF(R305&lt;=0.005,0,R305*(1+O$6))</f>
        <v/>
      </c>
      <c r="P306" s="152">
        <f>MIN(O306,O$7)</f>
        <v/>
      </c>
      <c r="Q306" s="152">
        <f>MAX(0,MIN(O306-P306,AQ306-(E306+I306+M306)))</f>
        <v/>
      </c>
      <c r="R306" s="152">
        <f>O306-P306-Q306</f>
        <v/>
      </c>
      <c r="S306" s="152">
        <f>IF(V305&lt;=0.005,0,V305*(1+S$6))</f>
        <v/>
      </c>
      <c r="T306" s="152">
        <f>MIN(S306,S$7)</f>
        <v/>
      </c>
      <c r="U306" s="152">
        <f>MAX(0,MIN(S306-T306,AQ306-(E306+I306+M306+Q306)))</f>
        <v/>
      </c>
      <c r="V306" s="152">
        <f>S306-T306-U306</f>
        <v/>
      </c>
      <c r="W306" s="152">
        <f>IF(Z305&lt;=0.005,0,Z305*(1+W$6))</f>
        <v/>
      </c>
      <c r="X306" s="152">
        <f>MIN(W306,W$7)</f>
        <v/>
      </c>
      <c r="Y306" s="152">
        <f>MAX(0,MIN(W306-X306,AQ306-(E306+I306+M306+Q306+U306)))</f>
        <v/>
      </c>
      <c r="Z306" s="152">
        <f>W306-X306-Y306</f>
        <v/>
      </c>
      <c r="AA306" s="152">
        <f>IF(AD305&lt;=0.005,0,AD305*(1+AA$6))</f>
        <v/>
      </c>
      <c r="AB306" s="152">
        <f>MIN(AA306,AA$7)</f>
        <v/>
      </c>
      <c r="AC306" s="152">
        <f>MAX(0,MIN(AA306-AB306,AQ306-(E306+I306+M306+Q306+U306+Y306)))</f>
        <v/>
      </c>
      <c r="AD306" s="152">
        <f>AA306-AB306-AC306</f>
        <v/>
      </c>
      <c r="AE306" s="152">
        <f>IF(AH305&lt;=0.005,0,AH305*(1+AE$6))</f>
        <v/>
      </c>
      <c r="AF306" s="152">
        <f>MIN(AE306,AE$7)</f>
        <v/>
      </c>
      <c r="AG306" s="152">
        <f>MAX(0,MIN(AE306-AF306,AQ306-(E306+I306+M306+Q306+U306+Y306+AC306)))</f>
        <v/>
      </c>
      <c r="AH306" s="152">
        <f>AE306-AF306-AG306</f>
        <v/>
      </c>
      <c r="AI306" s="152">
        <f>IF(AL305&lt;=0.005,0,AL305*(1+AI$6))</f>
        <v/>
      </c>
      <c r="AJ306" s="152">
        <f>MIN(AI306,AI$7)</f>
        <v/>
      </c>
      <c r="AK306" s="152">
        <f>MAX(0,MIN(AI306-AJ306,AQ306-(E306+I306+M306+Q306+U306+Y306+AC306+AG306)))</f>
        <v/>
      </c>
      <c r="AL306" s="152">
        <f>AI306-AJ306-AK306</f>
        <v/>
      </c>
      <c r="AM306" s="152">
        <f>IF(AP305&lt;=0.005,0,AP305*(1+AM$6))</f>
        <v/>
      </c>
      <c r="AN306" s="152">
        <f>MIN(AM306,AM$7)</f>
        <v/>
      </c>
      <c r="AO306" s="152">
        <f>MAX(0,MIN(AM306-AN306,AQ306-(E306+I306+M306+Q306+U306+Y306+AC306+AG306+AK306)))</f>
        <v/>
      </c>
      <c r="AP306" s="152">
        <f>AM306-AN306-AO306</f>
        <v/>
      </c>
      <c r="AQ306" s="152">
        <f>'Debt Payoff'!$C$8-SUM(D306,H306,L306,P306,T306,X306,AB306,AF306,AJ306,AN306)</f>
        <v/>
      </c>
      <c r="AR306" s="152">
        <f>SUM(D306,H306,L306,P306,T306,X306,AB306,AF306,AJ306,AN306)+SUM(E306,I306,M306,Q306,U306,Y306,AC306,AG306,AK306,AO306)</f>
        <v/>
      </c>
      <c r="AS306" s="152">
        <f>SUM(F306,J306,N306,R306,V306,Z306,AD306,AH306,AL306,AP306)</f>
        <v/>
      </c>
      <c r="AT306" s="152">
        <f>IF(B306&gt;AS$6,NA(),B306)</f>
        <v/>
      </c>
      <c r="AU306" s="152">
        <f>IF(B306&gt;AS$6,NA(),AS306)</f>
        <v/>
      </c>
      <c r="AV306" s="152" t="n"/>
      <c r="AW306" s="152" t="n">
        <v>295</v>
      </c>
      <c r="AX306" s="152">
        <f>IF(BA305&lt;=0.005,0,BA305*(1+AX$6))</f>
        <v/>
      </c>
      <c r="AY306" s="152">
        <f>MIN(AX306,AX$7)</f>
        <v/>
      </c>
      <c r="AZ306" s="152">
        <f>MAX(0,MIN(AX306-AY306,CL306))</f>
        <v/>
      </c>
      <c r="BA306" s="152">
        <f>AX306-AY306-AZ306</f>
        <v/>
      </c>
      <c r="BB306" s="152">
        <f>IF(BE305&lt;=0.005,0,BE305*(1+BB$6))</f>
        <v/>
      </c>
      <c r="BC306" s="152">
        <f>MIN(BB306,BB$7)</f>
        <v/>
      </c>
      <c r="BD306" s="152">
        <f>MAX(0,MIN(BB306-BC306,CL306-(AZ306)))</f>
        <v/>
      </c>
      <c r="BE306" s="152">
        <f>BB306-BC306-BD306</f>
        <v/>
      </c>
      <c r="BF306" s="152">
        <f>IF(BI305&lt;=0.005,0,BI305*(1+BF$6))</f>
        <v/>
      </c>
      <c r="BG306" s="152">
        <f>MIN(BF306,BF$7)</f>
        <v/>
      </c>
      <c r="BH306" s="152">
        <f>MAX(0,MIN(BF306-BG306,CL306-(AZ306+BD306)))</f>
        <v/>
      </c>
      <c r="BI306" s="152">
        <f>BF306-BG306-BH306</f>
        <v/>
      </c>
      <c r="BJ306" s="152">
        <f>IF(BM305&lt;=0.005,0,BM305*(1+BJ$6))</f>
        <v/>
      </c>
      <c r="BK306" s="152">
        <f>MIN(BJ306,BJ$7)</f>
        <v/>
      </c>
      <c r="BL306" s="152">
        <f>MAX(0,MIN(BJ306-BK306,CL306-(AZ306+BD306+BH306)))</f>
        <v/>
      </c>
      <c r="BM306" s="152">
        <f>BJ306-BK306-BL306</f>
        <v/>
      </c>
      <c r="BN306" s="152">
        <f>IF(BQ305&lt;=0.005,0,BQ305*(1+BN$6))</f>
        <v/>
      </c>
      <c r="BO306" s="152">
        <f>MIN(BN306,BN$7)</f>
        <v/>
      </c>
      <c r="BP306" s="152">
        <f>MAX(0,MIN(BN306-BO306,CL306-(AZ306+BD306+BH306+BL306)))</f>
        <v/>
      </c>
      <c r="BQ306" s="152">
        <f>BN306-BO306-BP306</f>
        <v/>
      </c>
      <c r="BR306" s="152">
        <f>IF(BU305&lt;=0.005,0,BU305*(1+BR$6))</f>
        <v/>
      </c>
      <c r="BS306" s="152">
        <f>MIN(BR306,BR$7)</f>
        <v/>
      </c>
      <c r="BT306" s="152">
        <f>MAX(0,MIN(BR306-BS306,CL306-(AZ306+BD306+BH306+BL306+BP306)))</f>
        <v/>
      </c>
      <c r="BU306" s="152">
        <f>BR306-BS306-BT306</f>
        <v/>
      </c>
      <c r="BV306" s="152">
        <f>IF(BY305&lt;=0.005,0,BY305*(1+BV$6))</f>
        <v/>
      </c>
      <c r="BW306" s="152">
        <f>MIN(BV306,BV$7)</f>
        <v/>
      </c>
      <c r="BX306" s="152">
        <f>MAX(0,MIN(BV306-BW306,CL306-(AZ306+BD306+BH306+BL306+BP306+BT306)))</f>
        <v/>
      </c>
      <c r="BY306" s="152">
        <f>BV306-BW306-BX306</f>
        <v/>
      </c>
      <c r="BZ306" s="152">
        <f>IF(CC305&lt;=0.005,0,CC305*(1+BZ$6))</f>
        <v/>
      </c>
      <c r="CA306" s="152">
        <f>MIN(BZ306,BZ$7)</f>
        <v/>
      </c>
      <c r="CB306" s="152">
        <f>MAX(0,MIN(BZ306-CA306,CL306-(AZ306+BD306+BH306+BL306+BP306+BT306+BX306)))</f>
        <v/>
      </c>
      <c r="CC306" s="152">
        <f>BZ306-CA306-CB306</f>
        <v/>
      </c>
      <c r="CD306" s="152">
        <f>IF(CG305&lt;=0.005,0,CG305*(1+CD$6))</f>
        <v/>
      </c>
      <c r="CE306" s="152">
        <f>MIN(CD306,CD$7)</f>
        <v/>
      </c>
      <c r="CF306" s="152">
        <f>MAX(0,MIN(CD306-CE306,CL306-(AZ306+BD306+BH306+BL306+BP306+BT306+BX306+CB306)))</f>
        <v/>
      </c>
      <c r="CG306" s="152">
        <f>CD306-CE306-CF306</f>
        <v/>
      </c>
      <c r="CH306" s="152">
        <f>IF(CK305&lt;=0.005,0,CK305*(1+CH$6))</f>
        <v/>
      </c>
      <c r="CI306" s="152">
        <f>MIN(CH306,CH$7)</f>
        <v/>
      </c>
      <c r="CJ306" s="152">
        <f>MAX(0,MIN(CH306-CI306,CL306-(AZ306+BD306+BH306+BL306+BP306+BT306+BX306+CB306+CF306)))</f>
        <v/>
      </c>
      <c r="CK306" s="152">
        <f>CH306-CI306-CJ306</f>
        <v/>
      </c>
      <c r="CL306" s="152">
        <f>'Debt Payoff'!$C$8-SUM(AY306,BC306,BG306,BK306,BO306,BS306,BW306,CA306,CE306,CI306)</f>
        <v/>
      </c>
      <c r="CM306" s="152">
        <f>SUM(AY306,BC306,BG306,BK306,BO306,BS306,BW306,CA306,CE306,CI306)+SUM(AZ306,BD306,BH306,BL306,BP306,BT306,BX306,CB306,CF306,CJ306)</f>
        <v/>
      </c>
      <c r="CN306" s="152">
        <f>SUM(BA306,BE306,BI306,BM306,BQ306,BU306,BY306,CC306,CG306,CK306)</f>
        <v/>
      </c>
      <c r="CO306" s="152">
        <f>IF(AW306&gt;CN$6,NA(),AW306)</f>
        <v/>
      </c>
      <c r="CP306" s="152">
        <f>IF(AW306&gt;CN$6,NA(),CN306)</f>
        <v/>
      </c>
    </row>
    <row r="307">
      <c r="B307" s="152" t="n">
        <v>296</v>
      </c>
      <c r="C307" s="152">
        <f>IF(F306&lt;=0.005,0,F306*(1+C$6))</f>
        <v/>
      </c>
      <c r="D307" s="152">
        <f>MIN(C307,C$7)</f>
        <v/>
      </c>
      <c r="E307" s="152">
        <f>MAX(0,MIN(C307-D307,AQ307))</f>
        <v/>
      </c>
      <c r="F307" s="152">
        <f>C307-D307-E307</f>
        <v/>
      </c>
      <c r="G307" s="152">
        <f>IF(J306&lt;=0.005,0,J306*(1+G$6))</f>
        <v/>
      </c>
      <c r="H307" s="152">
        <f>MIN(G307,G$7)</f>
        <v/>
      </c>
      <c r="I307" s="152">
        <f>MAX(0,MIN(G307-H307,AQ307-(E307)))</f>
        <v/>
      </c>
      <c r="J307" s="152">
        <f>G307-H307-I307</f>
        <v/>
      </c>
      <c r="K307" s="152">
        <f>IF(N306&lt;=0.005,0,N306*(1+K$6))</f>
        <v/>
      </c>
      <c r="L307" s="152">
        <f>MIN(K307,K$7)</f>
        <v/>
      </c>
      <c r="M307" s="152">
        <f>MAX(0,MIN(K307-L307,AQ307-(E307+I307)))</f>
        <v/>
      </c>
      <c r="N307" s="152">
        <f>K307-L307-M307</f>
        <v/>
      </c>
      <c r="O307" s="152">
        <f>IF(R306&lt;=0.005,0,R306*(1+O$6))</f>
        <v/>
      </c>
      <c r="P307" s="152">
        <f>MIN(O307,O$7)</f>
        <v/>
      </c>
      <c r="Q307" s="152">
        <f>MAX(0,MIN(O307-P307,AQ307-(E307+I307+M307)))</f>
        <v/>
      </c>
      <c r="R307" s="152">
        <f>O307-P307-Q307</f>
        <v/>
      </c>
      <c r="S307" s="152">
        <f>IF(V306&lt;=0.005,0,V306*(1+S$6))</f>
        <v/>
      </c>
      <c r="T307" s="152">
        <f>MIN(S307,S$7)</f>
        <v/>
      </c>
      <c r="U307" s="152">
        <f>MAX(0,MIN(S307-T307,AQ307-(E307+I307+M307+Q307)))</f>
        <v/>
      </c>
      <c r="V307" s="152">
        <f>S307-T307-U307</f>
        <v/>
      </c>
      <c r="W307" s="152">
        <f>IF(Z306&lt;=0.005,0,Z306*(1+W$6))</f>
        <v/>
      </c>
      <c r="X307" s="152">
        <f>MIN(W307,W$7)</f>
        <v/>
      </c>
      <c r="Y307" s="152">
        <f>MAX(0,MIN(W307-X307,AQ307-(E307+I307+M307+Q307+U307)))</f>
        <v/>
      </c>
      <c r="Z307" s="152">
        <f>W307-X307-Y307</f>
        <v/>
      </c>
      <c r="AA307" s="152">
        <f>IF(AD306&lt;=0.005,0,AD306*(1+AA$6))</f>
        <v/>
      </c>
      <c r="AB307" s="152">
        <f>MIN(AA307,AA$7)</f>
        <v/>
      </c>
      <c r="AC307" s="152">
        <f>MAX(0,MIN(AA307-AB307,AQ307-(E307+I307+M307+Q307+U307+Y307)))</f>
        <v/>
      </c>
      <c r="AD307" s="152">
        <f>AA307-AB307-AC307</f>
        <v/>
      </c>
      <c r="AE307" s="152">
        <f>IF(AH306&lt;=0.005,0,AH306*(1+AE$6))</f>
        <v/>
      </c>
      <c r="AF307" s="152">
        <f>MIN(AE307,AE$7)</f>
        <v/>
      </c>
      <c r="AG307" s="152">
        <f>MAX(0,MIN(AE307-AF307,AQ307-(E307+I307+M307+Q307+U307+Y307+AC307)))</f>
        <v/>
      </c>
      <c r="AH307" s="152">
        <f>AE307-AF307-AG307</f>
        <v/>
      </c>
      <c r="AI307" s="152">
        <f>IF(AL306&lt;=0.005,0,AL306*(1+AI$6))</f>
        <v/>
      </c>
      <c r="AJ307" s="152">
        <f>MIN(AI307,AI$7)</f>
        <v/>
      </c>
      <c r="AK307" s="152">
        <f>MAX(0,MIN(AI307-AJ307,AQ307-(E307+I307+M307+Q307+U307+Y307+AC307+AG307)))</f>
        <v/>
      </c>
      <c r="AL307" s="152">
        <f>AI307-AJ307-AK307</f>
        <v/>
      </c>
      <c r="AM307" s="152">
        <f>IF(AP306&lt;=0.005,0,AP306*(1+AM$6))</f>
        <v/>
      </c>
      <c r="AN307" s="152">
        <f>MIN(AM307,AM$7)</f>
        <v/>
      </c>
      <c r="AO307" s="152">
        <f>MAX(0,MIN(AM307-AN307,AQ307-(E307+I307+M307+Q307+U307+Y307+AC307+AG307+AK307)))</f>
        <v/>
      </c>
      <c r="AP307" s="152">
        <f>AM307-AN307-AO307</f>
        <v/>
      </c>
      <c r="AQ307" s="152">
        <f>'Debt Payoff'!$C$8-SUM(D307,H307,L307,P307,T307,X307,AB307,AF307,AJ307,AN307)</f>
        <v/>
      </c>
      <c r="AR307" s="152">
        <f>SUM(D307,H307,L307,P307,T307,X307,AB307,AF307,AJ307,AN307)+SUM(E307,I307,M307,Q307,U307,Y307,AC307,AG307,AK307,AO307)</f>
        <v/>
      </c>
      <c r="AS307" s="152">
        <f>SUM(F307,J307,N307,R307,V307,Z307,AD307,AH307,AL307,AP307)</f>
        <v/>
      </c>
      <c r="AT307" s="152">
        <f>IF(B307&gt;AS$6,NA(),B307)</f>
        <v/>
      </c>
      <c r="AU307" s="152">
        <f>IF(B307&gt;AS$6,NA(),AS307)</f>
        <v/>
      </c>
      <c r="AV307" s="152" t="n"/>
      <c r="AW307" s="152" t="n">
        <v>296</v>
      </c>
      <c r="AX307" s="152">
        <f>IF(BA306&lt;=0.005,0,BA306*(1+AX$6))</f>
        <v/>
      </c>
      <c r="AY307" s="152">
        <f>MIN(AX307,AX$7)</f>
        <v/>
      </c>
      <c r="AZ307" s="152">
        <f>MAX(0,MIN(AX307-AY307,CL307))</f>
        <v/>
      </c>
      <c r="BA307" s="152">
        <f>AX307-AY307-AZ307</f>
        <v/>
      </c>
      <c r="BB307" s="152">
        <f>IF(BE306&lt;=0.005,0,BE306*(1+BB$6))</f>
        <v/>
      </c>
      <c r="BC307" s="152">
        <f>MIN(BB307,BB$7)</f>
        <v/>
      </c>
      <c r="BD307" s="152">
        <f>MAX(0,MIN(BB307-BC307,CL307-(AZ307)))</f>
        <v/>
      </c>
      <c r="BE307" s="152">
        <f>BB307-BC307-BD307</f>
        <v/>
      </c>
      <c r="BF307" s="152">
        <f>IF(BI306&lt;=0.005,0,BI306*(1+BF$6))</f>
        <v/>
      </c>
      <c r="BG307" s="152">
        <f>MIN(BF307,BF$7)</f>
        <v/>
      </c>
      <c r="BH307" s="152">
        <f>MAX(0,MIN(BF307-BG307,CL307-(AZ307+BD307)))</f>
        <v/>
      </c>
      <c r="BI307" s="152">
        <f>BF307-BG307-BH307</f>
        <v/>
      </c>
      <c r="BJ307" s="152">
        <f>IF(BM306&lt;=0.005,0,BM306*(1+BJ$6))</f>
        <v/>
      </c>
      <c r="BK307" s="152">
        <f>MIN(BJ307,BJ$7)</f>
        <v/>
      </c>
      <c r="BL307" s="152">
        <f>MAX(0,MIN(BJ307-BK307,CL307-(AZ307+BD307+BH307)))</f>
        <v/>
      </c>
      <c r="BM307" s="152">
        <f>BJ307-BK307-BL307</f>
        <v/>
      </c>
      <c r="BN307" s="152">
        <f>IF(BQ306&lt;=0.005,0,BQ306*(1+BN$6))</f>
        <v/>
      </c>
      <c r="BO307" s="152">
        <f>MIN(BN307,BN$7)</f>
        <v/>
      </c>
      <c r="BP307" s="152">
        <f>MAX(0,MIN(BN307-BO307,CL307-(AZ307+BD307+BH307+BL307)))</f>
        <v/>
      </c>
      <c r="BQ307" s="152">
        <f>BN307-BO307-BP307</f>
        <v/>
      </c>
      <c r="BR307" s="152">
        <f>IF(BU306&lt;=0.005,0,BU306*(1+BR$6))</f>
        <v/>
      </c>
      <c r="BS307" s="152">
        <f>MIN(BR307,BR$7)</f>
        <v/>
      </c>
      <c r="BT307" s="152">
        <f>MAX(0,MIN(BR307-BS307,CL307-(AZ307+BD307+BH307+BL307+BP307)))</f>
        <v/>
      </c>
      <c r="BU307" s="152">
        <f>BR307-BS307-BT307</f>
        <v/>
      </c>
      <c r="BV307" s="152">
        <f>IF(BY306&lt;=0.005,0,BY306*(1+BV$6))</f>
        <v/>
      </c>
      <c r="BW307" s="152">
        <f>MIN(BV307,BV$7)</f>
        <v/>
      </c>
      <c r="BX307" s="152">
        <f>MAX(0,MIN(BV307-BW307,CL307-(AZ307+BD307+BH307+BL307+BP307+BT307)))</f>
        <v/>
      </c>
      <c r="BY307" s="152">
        <f>BV307-BW307-BX307</f>
        <v/>
      </c>
      <c r="BZ307" s="152">
        <f>IF(CC306&lt;=0.005,0,CC306*(1+BZ$6))</f>
        <v/>
      </c>
      <c r="CA307" s="152">
        <f>MIN(BZ307,BZ$7)</f>
        <v/>
      </c>
      <c r="CB307" s="152">
        <f>MAX(0,MIN(BZ307-CA307,CL307-(AZ307+BD307+BH307+BL307+BP307+BT307+BX307)))</f>
        <v/>
      </c>
      <c r="CC307" s="152">
        <f>BZ307-CA307-CB307</f>
        <v/>
      </c>
      <c r="CD307" s="152">
        <f>IF(CG306&lt;=0.005,0,CG306*(1+CD$6))</f>
        <v/>
      </c>
      <c r="CE307" s="152">
        <f>MIN(CD307,CD$7)</f>
        <v/>
      </c>
      <c r="CF307" s="152">
        <f>MAX(0,MIN(CD307-CE307,CL307-(AZ307+BD307+BH307+BL307+BP307+BT307+BX307+CB307)))</f>
        <v/>
      </c>
      <c r="CG307" s="152">
        <f>CD307-CE307-CF307</f>
        <v/>
      </c>
      <c r="CH307" s="152">
        <f>IF(CK306&lt;=0.005,0,CK306*(1+CH$6))</f>
        <v/>
      </c>
      <c r="CI307" s="152">
        <f>MIN(CH307,CH$7)</f>
        <v/>
      </c>
      <c r="CJ307" s="152">
        <f>MAX(0,MIN(CH307-CI307,CL307-(AZ307+BD307+BH307+BL307+BP307+BT307+BX307+CB307+CF307)))</f>
        <v/>
      </c>
      <c r="CK307" s="152">
        <f>CH307-CI307-CJ307</f>
        <v/>
      </c>
      <c r="CL307" s="152">
        <f>'Debt Payoff'!$C$8-SUM(AY307,BC307,BG307,BK307,BO307,BS307,BW307,CA307,CE307,CI307)</f>
        <v/>
      </c>
      <c r="CM307" s="152">
        <f>SUM(AY307,BC307,BG307,BK307,BO307,BS307,BW307,CA307,CE307,CI307)+SUM(AZ307,BD307,BH307,BL307,BP307,BT307,BX307,CB307,CF307,CJ307)</f>
        <v/>
      </c>
      <c r="CN307" s="152">
        <f>SUM(BA307,BE307,BI307,BM307,BQ307,BU307,BY307,CC307,CG307,CK307)</f>
        <v/>
      </c>
      <c r="CO307" s="152">
        <f>IF(AW307&gt;CN$6,NA(),AW307)</f>
        <v/>
      </c>
      <c r="CP307" s="152">
        <f>IF(AW307&gt;CN$6,NA(),CN307)</f>
        <v/>
      </c>
    </row>
    <row r="308">
      <c r="B308" s="152" t="n">
        <v>297</v>
      </c>
      <c r="C308" s="152">
        <f>IF(F307&lt;=0.005,0,F307*(1+C$6))</f>
        <v/>
      </c>
      <c r="D308" s="152">
        <f>MIN(C308,C$7)</f>
        <v/>
      </c>
      <c r="E308" s="152">
        <f>MAX(0,MIN(C308-D308,AQ308))</f>
        <v/>
      </c>
      <c r="F308" s="152">
        <f>C308-D308-E308</f>
        <v/>
      </c>
      <c r="G308" s="152">
        <f>IF(J307&lt;=0.005,0,J307*(1+G$6))</f>
        <v/>
      </c>
      <c r="H308" s="152">
        <f>MIN(G308,G$7)</f>
        <v/>
      </c>
      <c r="I308" s="152">
        <f>MAX(0,MIN(G308-H308,AQ308-(E308)))</f>
        <v/>
      </c>
      <c r="J308" s="152">
        <f>G308-H308-I308</f>
        <v/>
      </c>
      <c r="K308" s="152">
        <f>IF(N307&lt;=0.005,0,N307*(1+K$6))</f>
        <v/>
      </c>
      <c r="L308" s="152">
        <f>MIN(K308,K$7)</f>
        <v/>
      </c>
      <c r="M308" s="152">
        <f>MAX(0,MIN(K308-L308,AQ308-(E308+I308)))</f>
        <v/>
      </c>
      <c r="N308" s="152">
        <f>K308-L308-M308</f>
        <v/>
      </c>
      <c r="O308" s="152">
        <f>IF(R307&lt;=0.005,0,R307*(1+O$6))</f>
        <v/>
      </c>
      <c r="P308" s="152">
        <f>MIN(O308,O$7)</f>
        <v/>
      </c>
      <c r="Q308" s="152">
        <f>MAX(0,MIN(O308-P308,AQ308-(E308+I308+M308)))</f>
        <v/>
      </c>
      <c r="R308" s="152">
        <f>O308-P308-Q308</f>
        <v/>
      </c>
      <c r="S308" s="152">
        <f>IF(V307&lt;=0.005,0,V307*(1+S$6))</f>
        <v/>
      </c>
      <c r="T308" s="152">
        <f>MIN(S308,S$7)</f>
        <v/>
      </c>
      <c r="U308" s="152">
        <f>MAX(0,MIN(S308-T308,AQ308-(E308+I308+M308+Q308)))</f>
        <v/>
      </c>
      <c r="V308" s="152">
        <f>S308-T308-U308</f>
        <v/>
      </c>
      <c r="W308" s="152">
        <f>IF(Z307&lt;=0.005,0,Z307*(1+W$6))</f>
        <v/>
      </c>
      <c r="X308" s="152">
        <f>MIN(W308,W$7)</f>
        <v/>
      </c>
      <c r="Y308" s="152">
        <f>MAX(0,MIN(W308-X308,AQ308-(E308+I308+M308+Q308+U308)))</f>
        <v/>
      </c>
      <c r="Z308" s="152">
        <f>W308-X308-Y308</f>
        <v/>
      </c>
      <c r="AA308" s="152">
        <f>IF(AD307&lt;=0.005,0,AD307*(1+AA$6))</f>
        <v/>
      </c>
      <c r="AB308" s="152">
        <f>MIN(AA308,AA$7)</f>
        <v/>
      </c>
      <c r="AC308" s="152">
        <f>MAX(0,MIN(AA308-AB308,AQ308-(E308+I308+M308+Q308+U308+Y308)))</f>
        <v/>
      </c>
      <c r="AD308" s="152">
        <f>AA308-AB308-AC308</f>
        <v/>
      </c>
      <c r="AE308" s="152">
        <f>IF(AH307&lt;=0.005,0,AH307*(1+AE$6))</f>
        <v/>
      </c>
      <c r="AF308" s="152">
        <f>MIN(AE308,AE$7)</f>
        <v/>
      </c>
      <c r="AG308" s="152">
        <f>MAX(0,MIN(AE308-AF308,AQ308-(E308+I308+M308+Q308+U308+Y308+AC308)))</f>
        <v/>
      </c>
      <c r="AH308" s="152">
        <f>AE308-AF308-AG308</f>
        <v/>
      </c>
      <c r="AI308" s="152">
        <f>IF(AL307&lt;=0.005,0,AL307*(1+AI$6))</f>
        <v/>
      </c>
      <c r="AJ308" s="152">
        <f>MIN(AI308,AI$7)</f>
        <v/>
      </c>
      <c r="AK308" s="152">
        <f>MAX(0,MIN(AI308-AJ308,AQ308-(E308+I308+M308+Q308+U308+Y308+AC308+AG308)))</f>
        <v/>
      </c>
      <c r="AL308" s="152">
        <f>AI308-AJ308-AK308</f>
        <v/>
      </c>
      <c r="AM308" s="152">
        <f>IF(AP307&lt;=0.005,0,AP307*(1+AM$6))</f>
        <v/>
      </c>
      <c r="AN308" s="152">
        <f>MIN(AM308,AM$7)</f>
        <v/>
      </c>
      <c r="AO308" s="152">
        <f>MAX(0,MIN(AM308-AN308,AQ308-(E308+I308+M308+Q308+U308+Y308+AC308+AG308+AK308)))</f>
        <v/>
      </c>
      <c r="AP308" s="152">
        <f>AM308-AN308-AO308</f>
        <v/>
      </c>
      <c r="AQ308" s="152">
        <f>'Debt Payoff'!$C$8-SUM(D308,H308,L308,P308,T308,X308,AB308,AF308,AJ308,AN308)</f>
        <v/>
      </c>
      <c r="AR308" s="152">
        <f>SUM(D308,H308,L308,P308,T308,X308,AB308,AF308,AJ308,AN308)+SUM(E308,I308,M308,Q308,U308,Y308,AC308,AG308,AK308,AO308)</f>
        <v/>
      </c>
      <c r="AS308" s="152">
        <f>SUM(F308,J308,N308,R308,V308,Z308,AD308,AH308,AL308,AP308)</f>
        <v/>
      </c>
      <c r="AT308" s="152">
        <f>IF(B308&gt;AS$6,NA(),B308)</f>
        <v/>
      </c>
      <c r="AU308" s="152">
        <f>IF(B308&gt;AS$6,NA(),AS308)</f>
        <v/>
      </c>
      <c r="AV308" s="152" t="n"/>
      <c r="AW308" s="152" t="n">
        <v>297</v>
      </c>
      <c r="AX308" s="152">
        <f>IF(BA307&lt;=0.005,0,BA307*(1+AX$6))</f>
        <v/>
      </c>
      <c r="AY308" s="152">
        <f>MIN(AX308,AX$7)</f>
        <v/>
      </c>
      <c r="AZ308" s="152">
        <f>MAX(0,MIN(AX308-AY308,CL308))</f>
        <v/>
      </c>
      <c r="BA308" s="152">
        <f>AX308-AY308-AZ308</f>
        <v/>
      </c>
      <c r="BB308" s="152">
        <f>IF(BE307&lt;=0.005,0,BE307*(1+BB$6))</f>
        <v/>
      </c>
      <c r="BC308" s="152">
        <f>MIN(BB308,BB$7)</f>
        <v/>
      </c>
      <c r="BD308" s="152">
        <f>MAX(0,MIN(BB308-BC308,CL308-(AZ308)))</f>
        <v/>
      </c>
      <c r="BE308" s="152">
        <f>BB308-BC308-BD308</f>
        <v/>
      </c>
      <c r="BF308" s="152">
        <f>IF(BI307&lt;=0.005,0,BI307*(1+BF$6))</f>
        <v/>
      </c>
      <c r="BG308" s="152">
        <f>MIN(BF308,BF$7)</f>
        <v/>
      </c>
      <c r="BH308" s="152">
        <f>MAX(0,MIN(BF308-BG308,CL308-(AZ308+BD308)))</f>
        <v/>
      </c>
      <c r="BI308" s="152">
        <f>BF308-BG308-BH308</f>
        <v/>
      </c>
      <c r="BJ308" s="152">
        <f>IF(BM307&lt;=0.005,0,BM307*(1+BJ$6))</f>
        <v/>
      </c>
      <c r="BK308" s="152">
        <f>MIN(BJ308,BJ$7)</f>
        <v/>
      </c>
      <c r="BL308" s="152">
        <f>MAX(0,MIN(BJ308-BK308,CL308-(AZ308+BD308+BH308)))</f>
        <v/>
      </c>
      <c r="BM308" s="152">
        <f>BJ308-BK308-BL308</f>
        <v/>
      </c>
      <c r="BN308" s="152">
        <f>IF(BQ307&lt;=0.005,0,BQ307*(1+BN$6))</f>
        <v/>
      </c>
      <c r="BO308" s="152">
        <f>MIN(BN308,BN$7)</f>
        <v/>
      </c>
      <c r="BP308" s="152">
        <f>MAX(0,MIN(BN308-BO308,CL308-(AZ308+BD308+BH308+BL308)))</f>
        <v/>
      </c>
      <c r="BQ308" s="152">
        <f>BN308-BO308-BP308</f>
        <v/>
      </c>
      <c r="BR308" s="152">
        <f>IF(BU307&lt;=0.005,0,BU307*(1+BR$6))</f>
        <v/>
      </c>
      <c r="BS308" s="152">
        <f>MIN(BR308,BR$7)</f>
        <v/>
      </c>
      <c r="BT308" s="152">
        <f>MAX(0,MIN(BR308-BS308,CL308-(AZ308+BD308+BH308+BL308+BP308)))</f>
        <v/>
      </c>
      <c r="BU308" s="152">
        <f>BR308-BS308-BT308</f>
        <v/>
      </c>
      <c r="BV308" s="152">
        <f>IF(BY307&lt;=0.005,0,BY307*(1+BV$6))</f>
        <v/>
      </c>
      <c r="BW308" s="152">
        <f>MIN(BV308,BV$7)</f>
        <v/>
      </c>
      <c r="BX308" s="152">
        <f>MAX(0,MIN(BV308-BW308,CL308-(AZ308+BD308+BH308+BL308+BP308+BT308)))</f>
        <v/>
      </c>
      <c r="BY308" s="152">
        <f>BV308-BW308-BX308</f>
        <v/>
      </c>
      <c r="BZ308" s="152">
        <f>IF(CC307&lt;=0.005,0,CC307*(1+BZ$6))</f>
        <v/>
      </c>
      <c r="CA308" s="152">
        <f>MIN(BZ308,BZ$7)</f>
        <v/>
      </c>
      <c r="CB308" s="152">
        <f>MAX(0,MIN(BZ308-CA308,CL308-(AZ308+BD308+BH308+BL308+BP308+BT308+BX308)))</f>
        <v/>
      </c>
      <c r="CC308" s="152">
        <f>BZ308-CA308-CB308</f>
        <v/>
      </c>
      <c r="CD308" s="152">
        <f>IF(CG307&lt;=0.005,0,CG307*(1+CD$6))</f>
        <v/>
      </c>
      <c r="CE308" s="152">
        <f>MIN(CD308,CD$7)</f>
        <v/>
      </c>
      <c r="CF308" s="152">
        <f>MAX(0,MIN(CD308-CE308,CL308-(AZ308+BD308+BH308+BL308+BP308+BT308+BX308+CB308)))</f>
        <v/>
      </c>
      <c r="CG308" s="152">
        <f>CD308-CE308-CF308</f>
        <v/>
      </c>
      <c r="CH308" s="152">
        <f>IF(CK307&lt;=0.005,0,CK307*(1+CH$6))</f>
        <v/>
      </c>
      <c r="CI308" s="152">
        <f>MIN(CH308,CH$7)</f>
        <v/>
      </c>
      <c r="CJ308" s="152">
        <f>MAX(0,MIN(CH308-CI308,CL308-(AZ308+BD308+BH308+BL308+BP308+BT308+BX308+CB308+CF308)))</f>
        <v/>
      </c>
      <c r="CK308" s="152">
        <f>CH308-CI308-CJ308</f>
        <v/>
      </c>
      <c r="CL308" s="152">
        <f>'Debt Payoff'!$C$8-SUM(AY308,BC308,BG308,BK308,BO308,BS308,BW308,CA308,CE308,CI308)</f>
        <v/>
      </c>
      <c r="CM308" s="152">
        <f>SUM(AY308,BC308,BG308,BK308,BO308,BS308,BW308,CA308,CE308,CI308)+SUM(AZ308,BD308,BH308,BL308,BP308,BT308,BX308,CB308,CF308,CJ308)</f>
        <v/>
      </c>
      <c r="CN308" s="152">
        <f>SUM(BA308,BE308,BI308,BM308,BQ308,BU308,BY308,CC308,CG308,CK308)</f>
        <v/>
      </c>
      <c r="CO308" s="152">
        <f>IF(AW308&gt;CN$6,NA(),AW308)</f>
        <v/>
      </c>
      <c r="CP308" s="152">
        <f>IF(AW308&gt;CN$6,NA(),CN308)</f>
        <v/>
      </c>
    </row>
    <row r="309">
      <c r="B309" s="152" t="n">
        <v>298</v>
      </c>
      <c r="C309" s="152">
        <f>IF(F308&lt;=0.005,0,F308*(1+C$6))</f>
        <v/>
      </c>
      <c r="D309" s="152">
        <f>MIN(C309,C$7)</f>
        <v/>
      </c>
      <c r="E309" s="152">
        <f>MAX(0,MIN(C309-D309,AQ309))</f>
        <v/>
      </c>
      <c r="F309" s="152">
        <f>C309-D309-E309</f>
        <v/>
      </c>
      <c r="G309" s="152">
        <f>IF(J308&lt;=0.005,0,J308*(1+G$6))</f>
        <v/>
      </c>
      <c r="H309" s="152">
        <f>MIN(G309,G$7)</f>
        <v/>
      </c>
      <c r="I309" s="152">
        <f>MAX(0,MIN(G309-H309,AQ309-(E309)))</f>
        <v/>
      </c>
      <c r="J309" s="152">
        <f>G309-H309-I309</f>
        <v/>
      </c>
      <c r="K309" s="152">
        <f>IF(N308&lt;=0.005,0,N308*(1+K$6))</f>
        <v/>
      </c>
      <c r="L309" s="152">
        <f>MIN(K309,K$7)</f>
        <v/>
      </c>
      <c r="M309" s="152">
        <f>MAX(0,MIN(K309-L309,AQ309-(E309+I309)))</f>
        <v/>
      </c>
      <c r="N309" s="152">
        <f>K309-L309-M309</f>
        <v/>
      </c>
      <c r="O309" s="152">
        <f>IF(R308&lt;=0.005,0,R308*(1+O$6))</f>
        <v/>
      </c>
      <c r="P309" s="152">
        <f>MIN(O309,O$7)</f>
        <v/>
      </c>
      <c r="Q309" s="152">
        <f>MAX(0,MIN(O309-P309,AQ309-(E309+I309+M309)))</f>
        <v/>
      </c>
      <c r="R309" s="152">
        <f>O309-P309-Q309</f>
        <v/>
      </c>
      <c r="S309" s="152">
        <f>IF(V308&lt;=0.005,0,V308*(1+S$6))</f>
        <v/>
      </c>
      <c r="T309" s="152">
        <f>MIN(S309,S$7)</f>
        <v/>
      </c>
      <c r="U309" s="152">
        <f>MAX(0,MIN(S309-T309,AQ309-(E309+I309+M309+Q309)))</f>
        <v/>
      </c>
      <c r="V309" s="152">
        <f>S309-T309-U309</f>
        <v/>
      </c>
      <c r="W309" s="152">
        <f>IF(Z308&lt;=0.005,0,Z308*(1+W$6))</f>
        <v/>
      </c>
      <c r="X309" s="152">
        <f>MIN(W309,W$7)</f>
        <v/>
      </c>
      <c r="Y309" s="152">
        <f>MAX(0,MIN(W309-X309,AQ309-(E309+I309+M309+Q309+U309)))</f>
        <v/>
      </c>
      <c r="Z309" s="152">
        <f>W309-X309-Y309</f>
        <v/>
      </c>
      <c r="AA309" s="152">
        <f>IF(AD308&lt;=0.005,0,AD308*(1+AA$6))</f>
        <v/>
      </c>
      <c r="AB309" s="152">
        <f>MIN(AA309,AA$7)</f>
        <v/>
      </c>
      <c r="AC309" s="152">
        <f>MAX(0,MIN(AA309-AB309,AQ309-(E309+I309+M309+Q309+U309+Y309)))</f>
        <v/>
      </c>
      <c r="AD309" s="152">
        <f>AA309-AB309-AC309</f>
        <v/>
      </c>
      <c r="AE309" s="152">
        <f>IF(AH308&lt;=0.005,0,AH308*(1+AE$6))</f>
        <v/>
      </c>
      <c r="AF309" s="152">
        <f>MIN(AE309,AE$7)</f>
        <v/>
      </c>
      <c r="AG309" s="152">
        <f>MAX(0,MIN(AE309-AF309,AQ309-(E309+I309+M309+Q309+U309+Y309+AC309)))</f>
        <v/>
      </c>
      <c r="AH309" s="152">
        <f>AE309-AF309-AG309</f>
        <v/>
      </c>
      <c r="AI309" s="152">
        <f>IF(AL308&lt;=0.005,0,AL308*(1+AI$6))</f>
        <v/>
      </c>
      <c r="AJ309" s="152">
        <f>MIN(AI309,AI$7)</f>
        <v/>
      </c>
      <c r="AK309" s="152">
        <f>MAX(0,MIN(AI309-AJ309,AQ309-(E309+I309+M309+Q309+U309+Y309+AC309+AG309)))</f>
        <v/>
      </c>
      <c r="AL309" s="152">
        <f>AI309-AJ309-AK309</f>
        <v/>
      </c>
      <c r="AM309" s="152">
        <f>IF(AP308&lt;=0.005,0,AP308*(1+AM$6))</f>
        <v/>
      </c>
      <c r="AN309" s="152">
        <f>MIN(AM309,AM$7)</f>
        <v/>
      </c>
      <c r="AO309" s="152">
        <f>MAX(0,MIN(AM309-AN309,AQ309-(E309+I309+M309+Q309+U309+Y309+AC309+AG309+AK309)))</f>
        <v/>
      </c>
      <c r="AP309" s="152">
        <f>AM309-AN309-AO309</f>
        <v/>
      </c>
      <c r="AQ309" s="152">
        <f>'Debt Payoff'!$C$8-SUM(D309,H309,L309,P309,T309,X309,AB309,AF309,AJ309,AN309)</f>
        <v/>
      </c>
      <c r="AR309" s="152">
        <f>SUM(D309,H309,L309,P309,T309,X309,AB309,AF309,AJ309,AN309)+SUM(E309,I309,M309,Q309,U309,Y309,AC309,AG309,AK309,AO309)</f>
        <v/>
      </c>
      <c r="AS309" s="152">
        <f>SUM(F309,J309,N309,R309,V309,Z309,AD309,AH309,AL309,AP309)</f>
        <v/>
      </c>
      <c r="AT309" s="152">
        <f>IF(B309&gt;AS$6,NA(),B309)</f>
        <v/>
      </c>
      <c r="AU309" s="152">
        <f>IF(B309&gt;AS$6,NA(),AS309)</f>
        <v/>
      </c>
      <c r="AV309" s="152" t="n"/>
      <c r="AW309" s="152" t="n">
        <v>298</v>
      </c>
      <c r="AX309" s="152">
        <f>IF(BA308&lt;=0.005,0,BA308*(1+AX$6))</f>
        <v/>
      </c>
      <c r="AY309" s="152">
        <f>MIN(AX309,AX$7)</f>
        <v/>
      </c>
      <c r="AZ309" s="152">
        <f>MAX(0,MIN(AX309-AY309,CL309))</f>
        <v/>
      </c>
      <c r="BA309" s="152">
        <f>AX309-AY309-AZ309</f>
        <v/>
      </c>
      <c r="BB309" s="152">
        <f>IF(BE308&lt;=0.005,0,BE308*(1+BB$6))</f>
        <v/>
      </c>
      <c r="BC309" s="152">
        <f>MIN(BB309,BB$7)</f>
        <v/>
      </c>
      <c r="BD309" s="152">
        <f>MAX(0,MIN(BB309-BC309,CL309-(AZ309)))</f>
        <v/>
      </c>
      <c r="BE309" s="152">
        <f>BB309-BC309-BD309</f>
        <v/>
      </c>
      <c r="BF309" s="152">
        <f>IF(BI308&lt;=0.005,0,BI308*(1+BF$6))</f>
        <v/>
      </c>
      <c r="BG309" s="152">
        <f>MIN(BF309,BF$7)</f>
        <v/>
      </c>
      <c r="BH309" s="152">
        <f>MAX(0,MIN(BF309-BG309,CL309-(AZ309+BD309)))</f>
        <v/>
      </c>
      <c r="BI309" s="152">
        <f>BF309-BG309-BH309</f>
        <v/>
      </c>
      <c r="BJ309" s="152">
        <f>IF(BM308&lt;=0.005,0,BM308*(1+BJ$6))</f>
        <v/>
      </c>
      <c r="BK309" s="152">
        <f>MIN(BJ309,BJ$7)</f>
        <v/>
      </c>
      <c r="BL309" s="152">
        <f>MAX(0,MIN(BJ309-BK309,CL309-(AZ309+BD309+BH309)))</f>
        <v/>
      </c>
      <c r="BM309" s="152">
        <f>BJ309-BK309-BL309</f>
        <v/>
      </c>
      <c r="BN309" s="152">
        <f>IF(BQ308&lt;=0.005,0,BQ308*(1+BN$6))</f>
        <v/>
      </c>
      <c r="BO309" s="152">
        <f>MIN(BN309,BN$7)</f>
        <v/>
      </c>
      <c r="BP309" s="152">
        <f>MAX(0,MIN(BN309-BO309,CL309-(AZ309+BD309+BH309+BL309)))</f>
        <v/>
      </c>
      <c r="BQ309" s="152">
        <f>BN309-BO309-BP309</f>
        <v/>
      </c>
      <c r="BR309" s="152">
        <f>IF(BU308&lt;=0.005,0,BU308*(1+BR$6))</f>
        <v/>
      </c>
      <c r="BS309" s="152">
        <f>MIN(BR309,BR$7)</f>
        <v/>
      </c>
      <c r="BT309" s="152">
        <f>MAX(0,MIN(BR309-BS309,CL309-(AZ309+BD309+BH309+BL309+BP309)))</f>
        <v/>
      </c>
      <c r="BU309" s="152">
        <f>BR309-BS309-BT309</f>
        <v/>
      </c>
      <c r="BV309" s="152">
        <f>IF(BY308&lt;=0.005,0,BY308*(1+BV$6))</f>
        <v/>
      </c>
      <c r="BW309" s="152">
        <f>MIN(BV309,BV$7)</f>
        <v/>
      </c>
      <c r="BX309" s="152">
        <f>MAX(0,MIN(BV309-BW309,CL309-(AZ309+BD309+BH309+BL309+BP309+BT309)))</f>
        <v/>
      </c>
      <c r="BY309" s="152">
        <f>BV309-BW309-BX309</f>
        <v/>
      </c>
      <c r="BZ309" s="152">
        <f>IF(CC308&lt;=0.005,0,CC308*(1+BZ$6))</f>
        <v/>
      </c>
      <c r="CA309" s="152">
        <f>MIN(BZ309,BZ$7)</f>
        <v/>
      </c>
      <c r="CB309" s="152">
        <f>MAX(0,MIN(BZ309-CA309,CL309-(AZ309+BD309+BH309+BL309+BP309+BT309+BX309)))</f>
        <v/>
      </c>
      <c r="CC309" s="152">
        <f>BZ309-CA309-CB309</f>
        <v/>
      </c>
      <c r="CD309" s="152">
        <f>IF(CG308&lt;=0.005,0,CG308*(1+CD$6))</f>
        <v/>
      </c>
      <c r="CE309" s="152">
        <f>MIN(CD309,CD$7)</f>
        <v/>
      </c>
      <c r="CF309" s="152">
        <f>MAX(0,MIN(CD309-CE309,CL309-(AZ309+BD309+BH309+BL309+BP309+BT309+BX309+CB309)))</f>
        <v/>
      </c>
      <c r="CG309" s="152">
        <f>CD309-CE309-CF309</f>
        <v/>
      </c>
      <c r="CH309" s="152">
        <f>IF(CK308&lt;=0.005,0,CK308*(1+CH$6))</f>
        <v/>
      </c>
      <c r="CI309" s="152">
        <f>MIN(CH309,CH$7)</f>
        <v/>
      </c>
      <c r="CJ309" s="152">
        <f>MAX(0,MIN(CH309-CI309,CL309-(AZ309+BD309+BH309+BL309+BP309+BT309+BX309+CB309+CF309)))</f>
        <v/>
      </c>
      <c r="CK309" s="152">
        <f>CH309-CI309-CJ309</f>
        <v/>
      </c>
      <c r="CL309" s="152">
        <f>'Debt Payoff'!$C$8-SUM(AY309,BC309,BG309,BK309,BO309,BS309,BW309,CA309,CE309,CI309)</f>
        <v/>
      </c>
      <c r="CM309" s="152">
        <f>SUM(AY309,BC309,BG309,BK309,BO309,BS309,BW309,CA309,CE309,CI309)+SUM(AZ309,BD309,BH309,BL309,BP309,BT309,BX309,CB309,CF309,CJ309)</f>
        <v/>
      </c>
      <c r="CN309" s="152">
        <f>SUM(BA309,BE309,BI309,BM309,BQ309,BU309,BY309,CC309,CG309,CK309)</f>
        <v/>
      </c>
      <c r="CO309" s="152">
        <f>IF(AW309&gt;CN$6,NA(),AW309)</f>
        <v/>
      </c>
      <c r="CP309" s="152">
        <f>IF(AW309&gt;CN$6,NA(),CN309)</f>
        <v/>
      </c>
    </row>
    <row r="310">
      <c r="B310" s="152" t="n">
        <v>299</v>
      </c>
      <c r="C310" s="152">
        <f>IF(F309&lt;=0.005,0,F309*(1+C$6))</f>
        <v/>
      </c>
      <c r="D310" s="152">
        <f>MIN(C310,C$7)</f>
        <v/>
      </c>
      <c r="E310" s="152">
        <f>MAX(0,MIN(C310-D310,AQ310))</f>
        <v/>
      </c>
      <c r="F310" s="152">
        <f>C310-D310-E310</f>
        <v/>
      </c>
      <c r="G310" s="152">
        <f>IF(J309&lt;=0.005,0,J309*(1+G$6))</f>
        <v/>
      </c>
      <c r="H310" s="152">
        <f>MIN(G310,G$7)</f>
        <v/>
      </c>
      <c r="I310" s="152">
        <f>MAX(0,MIN(G310-H310,AQ310-(E310)))</f>
        <v/>
      </c>
      <c r="J310" s="152">
        <f>G310-H310-I310</f>
        <v/>
      </c>
      <c r="K310" s="152">
        <f>IF(N309&lt;=0.005,0,N309*(1+K$6))</f>
        <v/>
      </c>
      <c r="L310" s="152">
        <f>MIN(K310,K$7)</f>
        <v/>
      </c>
      <c r="M310" s="152">
        <f>MAX(0,MIN(K310-L310,AQ310-(E310+I310)))</f>
        <v/>
      </c>
      <c r="N310" s="152">
        <f>K310-L310-M310</f>
        <v/>
      </c>
      <c r="O310" s="152">
        <f>IF(R309&lt;=0.005,0,R309*(1+O$6))</f>
        <v/>
      </c>
      <c r="P310" s="152">
        <f>MIN(O310,O$7)</f>
        <v/>
      </c>
      <c r="Q310" s="152">
        <f>MAX(0,MIN(O310-P310,AQ310-(E310+I310+M310)))</f>
        <v/>
      </c>
      <c r="R310" s="152">
        <f>O310-P310-Q310</f>
        <v/>
      </c>
      <c r="S310" s="152">
        <f>IF(V309&lt;=0.005,0,V309*(1+S$6))</f>
        <v/>
      </c>
      <c r="T310" s="152">
        <f>MIN(S310,S$7)</f>
        <v/>
      </c>
      <c r="U310" s="152">
        <f>MAX(0,MIN(S310-T310,AQ310-(E310+I310+M310+Q310)))</f>
        <v/>
      </c>
      <c r="V310" s="152">
        <f>S310-T310-U310</f>
        <v/>
      </c>
      <c r="W310" s="152">
        <f>IF(Z309&lt;=0.005,0,Z309*(1+W$6))</f>
        <v/>
      </c>
      <c r="X310" s="152">
        <f>MIN(W310,W$7)</f>
        <v/>
      </c>
      <c r="Y310" s="152">
        <f>MAX(0,MIN(W310-X310,AQ310-(E310+I310+M310+Q310+U310)))</f>
        <v/>
      </c>
      <c r="Z310" s="152">
        <f>W310-X310-Y310</f>
        <v/>
      </c>
      <c r="AA310" s="152">
        <f>IF(AD309&lt;=0.005,0,AD309*(1+AA$6))</f>
        <v/>
      </c>
      <c r="AB310" s="152">
        <f>MIN(AA310,AA$7)</f>
        <v/>
      </c>
      <c r="AC310" s="152">
        <f>MAX(0,MIN(AA310-AB310,AQ310-(E310+I310+M310+Q310+U310+Y310)))</f>
        <v/>
      </c>
      <c r="AD310" s="152">
        <f>AA310-AB310-AC310</f>
        <v/>
      </c>
      <c r="AE310" s="152">
        <f>IF(AH309&lt;=0.005,0,AH309*(1+AE$6))</f>
        <v/>
      </c>
      <c r="AF310" s="152">
        <f>MIN(AE310,AE$7)</f>
        <v/>
      </c>
      <c r="AG310" s="152">
        <f>MAX(0,MIN(AE310-AF310,AQ310-(E310+I310+M310+Q310+U310+Y310+AC310)))</f>
        <v/>
      </c>
      <c r="AH310" s="152">
        <f>AE310-AF310-AG310</f>
        <v/>
      </c>
      <c r="AI310" s="152">
        <f>IF(AL309&lt;=0.005,0,AL309*(1+AI$6))</f>
        <v/>
      </c>
      <c r="AJ310" s="152">
        <f>MIN(AI310,AI$7)</f>
        <v/>
      </c>
      <c r="AK310" s="152">
        <f>MAX(0,MIN(AI310-AJ310,AQ310-(E310+I310+M310+Q310+U310+Y310+AC310+AG310)))</f>
        <v/>
      </c>
      <c r="AL310" s="152">
        <f>AI310-AJ310-AK310</f>
        <v/>
      </c>
      <c r="AM310" s="152">
        <f>IF(AP309&lt;=0.005,0,AP309*(1+AM$6))</f>
        <v/>
      </c>
      <c r="AN310" s="152">
        <f>MIN(AM310,AM$7)</f>
        <v/>
      </c>
      <c r="AO310" s="152">
        <f>MAX(0,MIN(AM310-AN310,AQ310-(E310+I310+M310+Q310+U310+Y310+AC310+AG310+AK310)))</f>
        <v/>
      </c>
      <c r="AP310" s="152">
        <f>AM310-AN310-AO310</f>
        <v/>
      </c>
      <c r="AQ310" s="152">
        <f>'Debt Payoff'!$C$8-SUM(D310,H310,L310,P310,T310,X310,AB310,AF310,AJ310,AN310)</f>
        <v/>
      </c>
      <c r="AR310" s="152">
        <f>SUM(D310,H310,L310,P310,T310,X310,AB310,AF310,AJ310,AN310)+SUM(E310,I310,M310,Q310,U310,Y310,AC310,AG310,AK310,AO310)</f>
        <v/>
      </c>
      <c r="AS310" s="152">
        <f>SUM(F310,J310,N310,R310,V310,Z310,AD310,AH310,AL310,AP310)</f>
        <v/>
      </c>
      <c r="AT310" s="152">
        <f>IF(B310&gt;AS$6,NA(),B310)</f>
        <v/>
      </c>
      <c r="AU310" s="152">
        <f>IF(B310&gt;AS$6,NA(),AS310)</f>
        <v/>
      </c>
      <c r="AV310" s="152" t="n"/>
      <c r="AW310" s="152" t="n">
        <v>299</v>
      </c>
      <c r="AX310" s="152">
        <f>IF(BA309&lt;=0.005,0,BA309*(1+AX$6))</f>
        <v/>
      </c>
      <c r="AY310" s="152">
        <f>MIN(AX310,AX$7)</f>
        <v/>
      </c>
      <c r="AZ310" s="152">
        <f>MAX(0,MIN(AX310-AY310,CL310))</f>
        <v/>
      </c>
      <c r="BA310" s="152">
        <f>AX310-AY310-AZ310</f>
        <v/>
      </c>
      <c r="BB310" s="152">
        <f>IF(BE309&lt;=0.005,0,BE309*(1+BB$6))</f>
        <v/>
      </c>
      <c r="BC310" s="152">
        <f>MIN(BB310,BB$7)</f>
        <v/>
      </c>
      <c r="BD310" s="152">
        <f>MAX(0,MIN(BB310-BC310,CL310-(AZ310)))</f>
        <v/>
      </c>
      <c r="BE310" s="152">
        <f>BB310-BC310-BD310</f>
        <v/>
      </c>
      <c r="BF310" s="152">
        <f>IF(BI309&lt;=0.005,0,BI309*(1+BF$6))</f>
        <v/>
      </c>
      <c r="BG310" s="152">
        <f>MIN(BF310,BF$7)</f>
        <v/>
      </c>
      <c r="BH310" s="152">
        <f>MAX(0,MIN(BF310-BG310,CL310-(AZ310+BD310)))</f>
        <v/>
      </c>
      <c r="BI310" s="152">
        <f>BF310-BG310-BH310</f>
        <v/>
      </c>
      <c r="BJ310" s="152">
        <f>IF(BM309&lt;=0.005,0,BM309*(1+BJ$6))</f>
        <v/>
      </c>
      <c r="BK310" s="152">
        <f>MIN(BJ310,BJ$7)</f>
        <v/>
      </c>
      <c r="BL310" s="152">
        <f>MAX(0,MIN(BJ310-BK310,CL310-(AZ310+BD310+BH310)))</f>
        <v/>
      </c>
      <c r="BM310" s="152">
        <f>BJ310-BK310-BL310</f>
        <v/>
      </c>
      <c r="BN310" s="152">
        <f>IF(BQ309&lt;=0.005,0,BQ309*(1+BN$6))</f>
        <v/>
      </c>
      <c r="BO310" s="152">
        <f>MIN(BN310,BN$7)</f>
        <v/>
      </c>
      <c r="BP310" s="152">
        <f>MAX(0,MIN(BN310-BO310,CL310-(AZ310+BD310+BH310+BL310)))</f>
        <v/>
      </c>
      <c r="BQ310" s="152">
        <f>BN310-BO310-BP310</f>
        <v/>
      </c>
      <c r="BR310" s="152">
        <f>IF(BU309&lt;=0.005,0,BU309*(1+BR$6))</f>
        <v/>
      </c>
      <c r="BS310" s="152">
        <f>MIN(BR310,BR$7)</f>
        <v/>
      </c>
      <c r="BT310" s="152">
        <f>MAX(0,MIN(BR310-BS310,CL310-(AZ310+BD310+BH310+BL310+BP310)))</f>
        <v/>
      </c>
      <c r="BU310" s="152">
        <f>BR310-BS310-BT310</f>
        <v/>
      </c>
      <c r="BV310" s="152">
        <f>IF(BY309&lt;=0.005,0,BY309*(1+BV$6))</f>
        <v/>
      </c>
      <c r="BW310" s="152">
        <f>MIN(BV310,BV$7)</f>
        <v/>
      </c>
      <c r="BX310" s="152">
        <f>MAX(0,MIN(BV310-BW310,CL310-(AZ310+BD310+BH310+BL310+BP310+BT310)))</f>
        <v/>
      </c>
      <c r="BY310" s="152">
        <f>BV310-BW310-BX310</f>
        <v/>
      </c>
      <c r="BZ310" s="152">
        <f>IF(CC309&lt;=0.005,0,CC309*(1+BZ$6))</f>
        <v/>
      </c>
      <c r="CA310" s="152">
        <f>MIN(BZ310,BZ$7)</f>
        <v/>
      </c>
      <c r="CB310" s="152">
        <f>MAX(0,MIN(BZ310-CA310,CL310-(AZ310+BD310+BH310+BL310+BP310+BT310+BX310)))</f>
        <v/>
      </c>
      <c r="CC310" s="152">
        <f>BZ310-CA310-CB310</f>
        <v/>
      </c>
      <c r="CD310" s="152">
        <f>IF(CG309&lt;=0.005,0,CG309*(1+CD$6))</f>
        <v/>
      </c>
      <c r="CE310" s="152">
        <f>MIN(CD310,CD$7)</f>
        <v/>
      </c>
      <c r="CF310" s="152">
        <f>MAX(0,MIN(CD310-CE310,CL310-(AZ310+BD310+BH310+BL310+BP310+BT310+BX310+CB310)))</f>
        <v/>
      </c>
      <c r="CG310" s="152">
        <f>CD310-CE310-CF310</f>
        <v/>
      </c>
      <c r="CH310" s="152">
        <f>IF(CK309&lt;=0.005,0,CK309*(1+CH$6))</f>
        <v/>
      </c>
      <c r="CI310" s="152">
        <f>MIN(CH310,CH$7)</f>
        <v/>
      </c>
      <c r="CJ310" s="152">
        <f>MAX(0,MIN(CH310-CI310,CL310-(AZ310+BD310+BH310+BL310+BP310+BT310+BX310+CB310+CF310)))</f>
        <v/>
      </c>
      <c r="CK310" s="152">
        <f>CH310-CI310-CJ310</f>
        <v/>
      </c>
      <c r="CL310" s="152">
        <f>'Debt Payoff'!$C$8-SUM(AY310,BC310,BG310,BK310,BO310,BS310,BW310,CA310,CE310,CI310)</f>
        <v/>
      </c>
      <c r="CM310" s="152">
        <f>SUM(AY310,BC310,BG310,BK310,BO310,BS310,BW310,CA310,CE310,CI310)+SUM(AZ310,BD310,BH310,BL310,BP310,BT310,BX310,CB310,CF310,CJ310)</f>
        <v/>
      </c>
      <c r="CN310" s="152">
        <f>SUM(BA310,BE310,BI310,BM310,BQ310,BU310,BY310,CC310,CG310,CK310)</f>
        <v/>
      </c>
      <c r="CO310" s="152">
        <f>IF(AW310&gt;CN$6,NA(),AW310)</f>
        <v/>
      </c>
      <c r="CP310" s="152">
        <f>IF(AW310&gt;CN$6,NA(),CN310)</f>
        <v/>
      </c>
    </row>
    <row r="311">
      <c r="B311" s="152" t="n">
        <v>300</v>
      </c>
      <c r="C311" s="152">
        <f>IF(F310&lt;=0.005,0,F310*(1+C$6))</f>
        <v/>
      </c>
      <c r="D311" s="152">
        <f>MIN(C311,C$7)</f>
        <v/>
      </c>
      <c r="E311" s="152">
        <f>MAX(0,MIN(C311-D311,AQ311))</f>
        <v/>
      </c>
      <c r="F311" s="152">
        <f>C311-D311-E311</f>
        <v/>
      </c>
      <c r="G311" s="152">
        <f>IF(J310&lt;=0.005,0,J310*(1+G$6))</f>
        <v/>
      </c>
      <c r="H311" s="152">
        <f>MIN(G311,G$7)</f>
        <v/>
      </c>
      <c r="I311" s="152">
        <f>MAX(0,MIN(G311-H311,AQ311-(E311)))</f>
        <v/>
      </c>
      <c r="J311" s="152">
        <f>G311-H311-I311</f>
        <v/>
      </c>
      <c r="K311" s="152">
        <f>IF(N310&lt;=0.005,0,N310*(1+K$6))</f>
        <v/>
      </c>
      <c r="L311" s="152">
        <f>MIN(K311,K$7)</f>
        <v/>
      </c>
      <c r="M311" s="152">
        <f>MAX(0,MIN(K311-L311,AQ311-(E311+I311)))</f>
        <v/>
      </c>
      <c r="N311" s="152">
        <f>K311-L311-M311</f>
        <v/>
      </c>
      <c r="O311" s="152">
        <f>IF(R310&lt;=0.005,0,R310*(1+O$6))</f>
        <v/>
      </c>
      <c r="P311" s="152">
        <f>MIN(O311,O$7)</f>
        <v/>
      </c>
      <c r="Q311" s="152">
        <f>MAX(0,MIN(O311-P311,AQ311-(E311+I311+M311)))</f>
        <v/>
      </c>
      <c r="R311" s="152">
        <f>O311-P311-Q311</f>
        <v/>
      </c>
      <c r="S311" s="152">
        <f>IF(V310&lt;=0.005,0,V310*(1+S$6))</f>
        <v/>
      </c>
      <c r="T311" s="152">
        <f>MIN(S311,S$7)</f>
        <v/>
      </c>
      <c r="U311" s="152">
        <f>MAX(0,MIN(S311-T311,AQ311-(E311+I311+M311+Q311)))</f>
        <v/>
      </c>
      <c r="V311" s="152">
        <f>S311-T311-U311</f>
        <v/>
      </c>
      <c r="W311" s="152">
        <f>IF(Z310&lt;=0.005,0,Z310*(1+W$6))</f>
        <v/>
      </c>
      <c r="X311" s="152">
        <f>MIN(W311,W$7)</f>
        <v/>
      </c>
      <c r="Y311" s="152">
        <f>MAX(0,MIN(W311-X311,AQ311-(E311+I311+M311+Q311+U311)))</f>
        <v/>
      </c>
      <c r="Z311" s="152">
        <f>W311-X311-Y311</f>
        <v/>
      </c>
      <c r="AA311" s="152">
        <f>IF(AD310&lt;=0.005,0,AD310*(1+AA$6))</f>
        <v/>
      </c>
      <c r="AB311" s="152">
        <f>MIN(AA311,AA$7)</f>
        <v/>
      </c>
      <c r="AC311" s="152">
        <f>MAX(0,MIN(AA311-AB311,AQ311-(E311+I311+M311+Q311+U311+Y311)))</f>
        <v/>
      </c>
      <c r="AD311" s="152">
        <f>AA311-AB311-AC311</f>
        <v/>
      </c>
      <c r="AE311" s="152">
        <f>IF(AH310&lt;=0.005,0,AH310*(1+AE$6))</f>
        <v/>
      </c>
      <c r="AF311" s="152">
        <f>MIN(AE311,AE$7)</f>
        <v/>
      </c>
      <c r="AG311" s="152">
        <f>MAX(0,MIN(AE311-AF311,AQ311-(E311+I311+M311+Q311+U311+Y311+AC311)))</f>
        <v/>
      </c>
      <c r="AH311" s="152">
        <f>AE311-AF311-AG311</f>
        <v/>
      </c>
      <c r="AI311" s="152">
        <f>IF(AL310&lt;=0.005,0,AL310*(1+AI$6))</f>
        <v/>
      </c>
      <c r="AJ311" s="152">
        <f>MIN(AI311,AI$7)</f>
        <v/>
      </c>
      <c r="AK311" s="152">
        <f>MAX(0,MIN(AI311-AJ311,AQ311-(E311+I311+M311+Q311+U311+Y311+AC311+AG311)))</f>
        <v/>
      </c>
      <c r="AL311" s="152">
        <f>AI311-AJ311-AK311</f>
        <v/>
      </c>
      <c r="AM311" s="152">
        <f>IF(AP310&lt;=0.005,0,AP310*(1+AM$6))</f>
        <v/>
      </c>
      <c r="AN311" s="152">
        <f>MIN(AM311,AM$7)</f>
        <v/>
      </c>
      <c r="AO311" s="152">
        <f>MAX(0,MIN(AM311-AN311,AQ311-(E311+I311+M311+Q311+U311+Y311+AC311+AG311+AK311)))</f>
        <v/>
      </c>
      <c r="AP311" s="152">
        <f>AM311-AN311-AO311</f>
        <v/>
      </c>
      <c r="AQ311" s="152">
        <f>'Debt Payoff'!$C$8-SUM(D311,H311,L311,P311,T311,X311,AB311,AF311,AJ311,AN311)</f>
        <v/>
      </c>
      <c r="AR311" s="152">
        <f>SUM(D311,H311,L311,P311,T311,X311,AB311,AF311,AJ311,AN311)+SUM(E311,I311,M311,Q311,U311,Y311,AC311,AG311,AK311,AO311)</f>
        <v/>
      </c>
      <c r="AS311" s="152">
        <f>SUM(F311,J311,N311,R311,V311,Z311,AD311,AH311,AL311,AP311)</f>
        <v/>
      </c>
      <c r="AT311" s="152">
        <f>IF(B311&gt;AS$6,NA(),B311)</f>
        <v/>
      </c>
      <c r="AU311" s="152">
        <f>IF(B311&gt;AS$6,NA(),AS311)</f>
        <v/>
      </c>
      <c r="AV311" s="152" t="n"/>
      <c r="AW311" s="152" t="n">
        <v>300</v>
      </c>
      <c r="AX311" s="152">
        <f>IF(BA310&lt;=0.005,0,BA310*(1+AX$6))</f>
        <v/>
      </c>
      <c r="AY311" s="152">
        <f>MIN(AX311,AX$7)</f>
        <v/>
      </c>
      <c r="AZ311" s="152">
        <f>MAX(0,MIN(AX311-AY311,CL311))</f>
        <v/>
      </c>
      <c r="BA311" s="152">
        <f>AX311-AY311-AZ311</f>
        <v/>
      </c>
      <c r="BB311" s="152">
        <f>IF(BE310&lt;=0.005,0,BE310*(1+BB$6))</f>
        <v/>
      </c>
      <c r="BC311" s="152">
        <f>MIN(BB311,BB$7)</f>
        <v/>
      </c>
      <c r="BD311" s="152">
        <f>MAX(0,MIN(BB311-BC311,CL311-(AZ311)))</f>
        <v/>
      </c>
      <c r="BE311" s="152">
        <f>BB311-BC311-BD311</f>
        <v/>
      </c>
      <c r="BF311" s="152">
        <f>IF(BI310&lt;=0.005,0,BI310*(1+BF$6))</f>
        <v/>
      </c>
      <c r="BG311" s="152">
        <f>MIN(BF311,BF$7)</f>
        <v/>
      </c>
      <c r="BH311" s="152">
        <f>MAX(0,MIN(BF311-BG311,CL311-(AZ311+BD311)))</f>
        <v/>
      </c>
      <c r="BI311" s="152">
        <f>BF311-BG311-BH311</f>
        <v/>
      </c>
      <c r="BJ311" s="152">
        <f>IF(BM310&lt;=0.005,0,BM310*(1+BJ$6))</f>
        <v/>
      </c>
      <c r="BK311" s="152">
        <f>MIN(BJ311,BJ$7)</f>
        <v/>
      </c>
      <c r="BL311" s="152">
        <f>MAX(0,MIN(BJ311-BK311,CL311-(AZ311+BD311+BH311)))</f>
        <v/>
      </c>
      <c r="BM311" s="152">
        <f>BJ311-BK311-BL311</f>
        <v/>
      </c>
      <c r="BN311" s="152">
        <f>IF(BQ310&lt;=0.005,0,BQ310*(1+BN$6))</f>
        <v/>
      </c>
      <c r="BO311" s="152">
        <f>MIN(BN311,BN$7)</f>
        <v/>
      </c>
      <c r="BP311" s="152">
        <f>MAX(0,MIN(BN311-BO311,CL311-(AZ311+BD311+BH311+BL311)))</f>
        <v/>
      </c>
      <c r="BQ311" s="152">
        <f>BN311-BO311-BP311</f>
        <v/>
      </c>
      <c r="BR311" s="152">
        <f>IF(BU310&lt;=0.005,0,BU310*(1+BR$6))</f>
        <v/>
      </c>
      <c r="BS311" s="152">
        <f>MIN(BR311,BR$7)</f>
        <v/>
      </c>
      <c r="BT311" s="152">
        <f>MAX(0,MIN(BR311-BS311,CL311-(AZ311+BD311+BH311+BL311+BP311)))</f>
        <v/>
      </c>
      <c r="BU311" s="152">
        <f>BR311-BS311-BT311</f>
        <v/>
      </c>
      <c r="BV311" s="152">
        <f>IF(BY310&lt;=0.005,0,BY310*(1+BV$6))</f>
        <v/>
      </c>
      <c r="BW311" s="152">
        <f>MIN(BV311,BV$7)</f>
        <v/>
      </c>
      <c r="BX311" s="152">
        <f>MAX(0,MIN(BV311-BW311,CL311-(AZ311+BD311+BH311+BL311+BP311+BT311)))</f>
        <v/>
      </c>
      <c r="BY311" s="152">
        <f>BV311-BW311-BX311</f>
        <v/>
      </c>
      <c r="BZ311" s="152">
        <f>IF(CC310&lt;=0.005,0,CC310*(1+BZ$6))</f>
        <v/>
      </c>
      <c r="CA311" s="152">
        <f>MIN(BZ311,BZ$7)</f>
        <v/>
      </c>
      <c r="CB311" s="152">
        <f>MAX(0,MIN(BZ311-CA311,CL311-(AZ311+BD311+BH311+BL311+BP311+BT311+BX311)))</f>
        <v/>
      </c>
      <c r="CC311" s="152">
        <f>BZ311-CA311-CB311</f>
        <v/>
      </c>
      <c r="CD311" s="152">
        <f>IF(CG310&lt;=0.005,0,CG310*(1+CD$6))</f>
        <v/>
      </c>
      <c r="CE311" s="152">
        <f>MIN(CD311,CD$7)</f>
        <v/>
      </c>
      <c r="CF311" s="152">
        <f>MAX(0,MIN(CD311-CE311,CL311-(AZ311+BD311+BH311+BL311+BP311+BT311+BX311+CB311)))</f>
        <v/>
      </c>
      <c r="CG311" s="152">
        <f>CD311-CE311-CF311</f>
        <v/>
      </c>
      <c r="CH311" s="152">
        <f>IF(CK310&lt;=0.005,0,CK310*(1+CH$6))</f>
        <v/>
      </c>
      <c r="CI311" s="152">
        <f>MIN(CH311,CH$7)</f>
        <v/>
      </c>
      <c r="CJ311" s="152">
        <f>MAX(0,MIN(CH311-CI311,CL311-(AZ311+BD311+BH311+BL311+BP311+BT311+BX311+CB311+CF311)))</f>
        <v/>
      </c>
      <c r="CK311" s="152">
        <f>CH311-CI311-CJ311</f>
        <v/>
      </c>
      <c r="CL311" s="152">
        <f>'Debt Payoff'!$C$8-SUM(AY311,BC311,BG311,BK311,BO311,BS311,BW311,CA311,CE311,CI311)</f>
        <v/>
      </c>
      <c r="CM311" s="152">
        <f>SUM(AY311,BC311,BG311,BK311,BO311,BS311,BW311,CA311,CE311,CI311)+SUM(AZ311,BD311,BH311,BL311,BP311,BT311,BX311,CB311,CF311,CJ311)</f>
        <v/>
      </c>
      <c r="CN311" s="152">
        <f>SUM(BA311,BE311,BI311,BM311,BQ311,BU311,BY311,CC311,CG311,CK311)</f>
        <v/>
      </c>
      <c r="CO311" s="152">
        <f>IF(AW311&gt;CN$6,NA(),AW311)</f>
        <v/>
      </c>
      <c r="CP311" s="152">
        <f>IF(AW311&gt;CN$6,NA(),CN311)</f>
        <v/>
      </c>
    </row>
    <row r="312">
      <c r="B312" s="152" t="n">
        <v>301</v>
      </c>
      <c r="C312" s="152">
        <f>IF(F311&lt;=0.005,0,F311*(1+C$6))</f>
        <v/>
      </c>
      <c r="D312" s="152">
        <f>MIN(C312,C$7)</f>
        <v/>
      </c>
      <c r="E312" s="152">
        <f>MAX(0,MIN(C312-D312,AQ312))</f>
        <v/>
      </c>
      <c r="F312" s="152">
        <f>C312-D312-E312</f>
        <v/>
      </c>
      <c r="G312" s="152">
        <f>IF(J311&lt;=0.005,0,J311*(1+G$6))</f>
        <v/>
      </c>
      <c r="H312" s="152">
        <f>MIN(G312,G$7)</f>
        <v/>
      </c>
      <c r="I312" s="152">
        <f>MAX(0,MIN(G312-H312,AQ312-(E312)))</f>
        <v/>
      </c>
      <c r="J312" s="152">
        <f>G312-H312-I312</f>
        <v/>
      </c>
      <c r="K312" s="152">
        <f>IF(N311&lt;=0.005,0,N311*(1+K$6))</f>
        <v/>
      </c>
      <c r="L312" s="152">
        <f>MIN(K312,K$7)</f>
        <v/>
      </c>
      <c r="M312" s="152">
        <f>MAX(0,MIN(K312-L312,AQ312-(E312+I312)))</f>
        <v/>
      </c>
      <c r="N312" s="152">
        <f>K312-L312-M312</f>
        <v/>
      </c>
      <c r="O312" s="152">
        <f>IF(R311&lt;=0.005,0,R311*(1+O$6))</f>
        <v/>
      </c>
      <c r="P312" s="152">
        <f>MIN(O312,O$7)</f>
        <v/>
      </c>
      <c r="Q312" s="152">
        <f>MAX(0,MIN(O312-P312,AQ312-(E312+I312+M312)))</f>
        <v/>
      </c>
      <c r="R312" s="152">
        <f>O312-P312-Q312</f>
        <v/>
      </c>
      <c r="S312" s="152">
        <f>IF(V311&lt;=0.005,0,V311*(1+S$6))</f>
        <v/>
      </c>
      <c r="T312" s="152">
        <f>MIN(S312,S$7)</f>
        <v/>
      </c>
      <c r="U312" s="152">
        <f>MAX(0,MIN(S312-T312,AQ312-(E312+I312+M312+Q312)))</f>
        <v/>
      </c>
      <c r="V312" s="152">
        <f>S312-T312-U312</f>
        <v/>
      </c>
      <c r="W312" s="152">
        <f>IF(Z311&lt;=0.005,0,Z311*(1+W$6))</f>
        <v/>
      </c>
      <c r="X312" s="152">
        <f>MIN(W312,W$7)</f>
        <v/>
      </c>
      <c r="Y312" s="152">
        <f>MAX(0,MIN(W312-X312,AQ312-(E312+I312+M312+Q312+U312)))</f>
        <v/>
      </c>
      <c r="Z312" s="152">
        <f>W312-X312-Y312</f>
        <v/>
      </c>
      <c r="AA312" s="152">
        <f>IF(AD311&lt;=0.005,0,AD311*(1+AA$6))</f>
        <v/>
      </c>
      <c r="AB312" s="152">
        <f>MIN(AA312,AA$7)</f>
        <v/>
      </c>
      <c r="AC312" s="152">
        <f>MAX(0,MIN(AA312-AB312,AQ312-(E312+I312+M312+Q312+U312+Y312)))</f>
        <v/>
      </c>
      <c r="AD312" s="152">
        <f>AA312-AB312-AC312</f>
        <v/>
      </c>
      <c r="AE312" s="152">
        <f>IF(AH311&lt;=0.005,0,AH311*(1+AE$6))</f>
        <v/>
      </c>
      <c r="AF312" s="152">
        <f>MIN(AE312,AE$7)</f>
        <v/>
      </c>
      <c r="AG312" s="152">
        <f>MAX(0,MIN(AE312-AF312,AQ312-(E312+I312+M312+Q312+U312+Y312+AC312)))</f>
        <v/>
      </c>
      <c r="AH312" s="152">
        <f>AE312-AF312-AG312</f>
        <v/>
      </c>
      <c r="AI312" s="152">
        <f>IF(AL311&lt;=0.005,0,AL311*(1+AI$6))</f>
        <v/>
      </c>
      <c r="AJ312" s="152">
        <f>MIN(AI312,AI$7)</f>
        <v/>
      </c>
      <c r="AK312" s="152">
        <f>MAX(0,MIN(AI312-AJ312,AQ312-(E312+I312+M312+Q312+U312+Y312+AC312+AG312)))</f>
        <v/>
      </c>
      <c r="AL312" s="152">
        <f>AI312-AJ312-AK312</f>
        <v/>
      </c>
      <c r="AM312" s="152">
        <f>IF(AP311&lt;=0.005,0,AP311*(1+AM$6))</f>
        <v/>
      </c>
      <c r="AN312" s="152">
        <f>MIN(AM312,AM$7)</f>
        <v/>
      </c>
      <c r="AO312" s="152">
        <f>MAX(0,MIN(AM312-AN312,AQ312-(E312+I312+M312+Q312+U312+Y312+AC312+AG312+AK312)))</f>
        <v/>
      </c>
      <c r="AP312" s="152">
        <f>AM312-AN312-AO312</f>
        <v/>
      </c>
      <c r="AQ312" s="152">
        <f>'Debt Payoff'!$C$8-SUM(D312,H312,L312,P312,T312,X312,AB312,AF312,AJ312,AN312)</f>
        <v/>
      </c>
      <c r="AR312" s="152">
        <f>SUM(D312,H312,L312,P312,T312,X312,AB312,AF312,AJ312,AN312)+SUM(E312,I312,M312,Q312,U312,Y312,AC312,AG312,AK312,AO312)</f>
        <v/>
      </c>
      <c r="AS312" s="152">
        <f>SUM(F312,J312,N312,R312,V312,Z312,AD312,AH312,AL312,AP312)</f>
        <v/>
      </c>
      <c r="AT312" s="152">
        <f>IF(B312&gt;AS$6,NA(),B312)</f>
        <v/>
      </c>
      <c r="AU312" s="152">
        <f>IF(B312&gt;AS$6,NA(),AS312)</f>
        <v/>
      </c>
      <c r="AV312" s="152" t="n"/>
      <c r="AW312" s="152" t="n">
        <v>301</v>
      </c>
      <c r="AX312" s="152">
        <f>IF(BA311&lt;=0.005,0,BA311*(1+AX$6))</f>
        <v/>
      </c>
      <c r="AY312" s="152">
        <f>MIN(AX312,AX$7)</f>
        <v/>
      </c>
      <c r="AZ312" s="152">
        <f>MAX(0,MIN(AX312-AY312,CL312))</f>
        <v/>
      </c>
      <c r="BA312" s="152">
        <f>AX312-AY312-AZ312</f>
        <v/>
      </c>
      <c r="BB312" s="152">
        <f>IF(BE311&lt;=0.005,0,BE311*(1+BB$6))</f>
        <v/>
      </c>
      <c r="BC312" s="152">
        <f>MIN(BB312,BB$7)</f>
        <v/>
      </c>
      <c r="BD312" s="152">
        <f>MAX(0,MIN(BB312-BC312,CL312-(AZ312)))</f>
        <v/>
      </c>
      <c r="BE312" s="152">
        <f>BB312-BC312-BD312</f>
        <v/>
      </c>
      <c r="BF312" s="152">
        <f>IF(BI311&lt;=0.005,0,BI311*(1+BF$6))</f>
        <v/>
      </c>
      <c r="BG312" s="152">
        <f>MIN(BF312,BF$7)</f>
        <v/>
      </c>
      <c r="BH312" s="152">
        <f>MAX(0,MIN(BF312-BG312,CL312-(AZ312+BD312)))</f>
        <v/>
      </c>
      <c r="BI312" s="152">
        <f>BF312-BG312-BH312</f>
        <v/>
      </c>
      <c r="BJ312" s="152">
        <f>IF(BM311&lt;=0.005,0,BM311*(1+BJ$6))</f>
        <v/>
      </c>
      <c r="BK312" s="152">
        <f>MIN(BJ312,BJ$7)</f>
        <v/>
      </c>
      <c r="BL312" s="152">
        <f>MAX(0,MIN(BJ312-BK312,CL312-(AZ312+BD312+BH312)))</f>
        <v/>
      </c>
      <c r="BM312" s="152">
        <f>BJ312-BK312-BL312</f>
        <v/>
      </c>
      <c r="BN312" s="152">
        <f>IF(BQ311&lt;=0.005,0,BQ311*(1+BN$6))</f>
        <v/>
      </c>
      <c r="BO312" s="152">
        <f>MIN(BN312,BN$7)</f>
        <v/>
      </c>
      <c r="BP312" s="152">
        <f>MAX(0,MIN(BN312-BO312,CL312-(AZ312+BD312+BH312+BL312)))</f>
        <v/>
      </c>
      <c r="BQ312" s="152">
        <f>BN312-BO312-BP312</f>
        <v/>
      </c>
      <c r="BR312" s="152">
        <f>IF(BU311&lt;=0.005,0,BU311*(1+BR$6))</f>
        <v/>
      </c>
      <c r="BS312" s="152">
        <f>MIN(BR312,BR$7)</f>
        <v/>
      </c>
      <c r="BT312" s="152">
        <f>MAX(0,MIN(BR312-BS312,CL312-(AZ312+BD312+BH312+BL312+BP312)))</f>
        <v/>
      </c>
      <c r="BU312" s="152">
        <f>BR312-BS312-BT312</f>
        <v/>
      </c>
      <c r="BV312" s="152">
        <f>IF(BY311&lt;=0.005,0,BY311*(1+BV$6))</f>
        <v/>
      </c>
      <c r="BW312" s="152">
        <f>MIN(BV312,BV$7)</f>
        <v/>
      </c>
      <c r="BX312" s="152">
        <f>MAX(0,MIN(BV312-BW312,CL312-(AZ312+BD312+BH312+BL312+BP312+BT312)))</f>
        <v/>
      </c>
      <c r="BY312" s="152">
        <f>BV312-BW312-BX312</f>
        <v/>
      </c>
      <c r="BZ312" s="152">
        <f>IF(CC311&lt;=0.005,0,CC311*(1+BZ$6))</f>
        <v/>
      </c>
      <c r="CA312" s="152">
        <f>MIN(BZ312,BZ$7)</f>
        <v/>
      </c>
      <c r="CB312" s="152">
        <f>MAX(0,MIN(BZ312-CA312,CL312-(AZ312+BD312+BH312+BL312+BP312+BT312+BX312)))</f>
        <v/>
      </c>
      <c r="CC312" s="152">
        <f>BZ312-CA312-CB312</f>
        <v/>
      </c>
      <c r="CD312" s="152">
        <f>IF(CG311&lt;=0.005,0,CG311*(1+CD$6))</f>
        <v/>
      </c>
      <c r="CE312" s="152">
        <f>MIN(CD312,CD$7)</f>
        <v/>
      </c>
      <c r="CF312" s="152">
        <f>MAX(0,MIN(CD312-CE312,CL312-(AZ312+BD312+BH312+BL312+BP312+BT312+BX312+CB312)))</f>
        <v/>
      </c>
      <c r="CG312" s="152">
        <f>CD312-CE312-CF312</f>
        <v/>
      </c>
      <c r="CH312" s="152">
        <f>IF(CK311&lt;=0.005,0,CK311*(1+CH$6))</f>
        <v/>
      </c>
      <c r="CI312" s="152">
        <f>MIN(CH312,CH$7)</f>
        <v/>
      </c>
      <c r="CJ312" s="152">
        <f>MAX(0,MIN(CH312-CI312,CL312-(AZ312+BD312+BH312+BL312+BP312+BT312+BX312+CB312+CF312)))</f>
        <v/>
      </c>
      <c r="CK312" s="152">
        <f>CH312-CI312-CJ312</f>
        <v/>
      </c>
      <c r="CL312" s="152">
        <f>'Debt Payoff'!$C$8-SUM(AY312,BC312,BG312,BK312,BO312,BS312,BW312,CA312,CE312,CI312)</f>
        <v/>
      </c>
      <c r="CM312" s="152">
        <f>SUM(AY312,BC312,BG312,BK312,BO312,BS312,BW312,CA312,CE312,CI312)+SUM(AZ312,BD312,BH312,BL312,BP312,BT312,BX312,CB312,CF312,CJ312)</f>
        <v/>
      </c>
      <c r="CN312" s="152">
        <f>SUM(BA312,BE312,BI312,BM312,BQ312,BU312,BY312,CC312,CG312,CK312)</f>
        <v/>
      </c>
      <c r="CO312" s="152">
        <f>IF(AW312&gt;CN$6,NA(),AW312)</f>
        <v/>
      </c>
      <c r="CP312" s="152">
        <f>IF(AW312&gt;CN$6,NA(),CN312)</f>
        <v/>
      </c>
    </row>
    <row r="313">
      <c r="B313" s="152" t="n">
        <v>302</v>
      </c>
      <c r="C313" s="152">
        <f>IF(F312&lt;=0.005,0,F312*(1+C$6))</f>
        <v/>
      </c>
      <c r="D313" s="152">
        <f>MIN(C313,C$7)</f>
        <v/>
      </c>
      <c r="E313" s="152">
        <f>MAX(0,MIN(C313-D313,AQ313))</f>
        <v/>
      </c>
      <c r="F313" s="152">
        <f>C313-D313-E313</f>
        <v/>
      </c>
      <c r="G313" s="152">
        <f>IF(J312&lt;=0.005,0,J312*(1+G$6))</f>
        <v/>
      </c>
      <c r="H313" s="152">
        <f>MIN(G313,G$7)</f>
        <v/>
      </c>
      <c r="I313" s="152">
        <f>MAX(0,MIN(G313-H313,AQ313-(E313)))</f>
        <v/>
      </c>
      <c r="J313" s="152">
        <f>G313-H313-I313</f>
        <v/>
      </c>
      <c r="K313" s="152">
        <f>IF(N312&lt;=0.005,0,N312*(1+K$6))</f>
        <v/>
      </c>
      <c r="L313" s="152">
        <f>MIN(K313,K$7)</f>
        <v/>
      </c>
      <c r="M313" s="152">
        <f>MAX(0,MIN(K313-L313,AQ313-(E313+I313)))</f>
        <v/>
      </c>
      <c r="N313" s="152">
        <f>K313-L313-M313</f>
        <v/>
      </c>
      <c r="O313" s="152">
        <f>IF(R312&lt;=0.005,0,R312*(1+O$6))</f>
        <v/>
      </c>
      <c r="P313" s="152">
        <f>MIN(O313,O$7)</f>
        <v/>
      </c>
      <c r="Q313" s="152">
        <f>MAX(0,MIN(O313-P313,AQ313-(E313+I313+M313)))</f>
        <v/>
      </c>
      <c r="R313" s="152">
        <f>O313-P313-Q313</f>
        <v/>
      </c>
      <c r="S313" s="152">
        <f>IF(V312&lt;=0.005,0,V312*(1+S$6))</f>
        <v/>
      </c>
      <c r="T313" s="152">
        <f>MIN(S313,S$7)</f>
        <v/>
      </c>
      <c r="U313" s="152">
        <f>MAX(0,MIN(S313-T313,AQ313-(E313+I313+M313+Q313)))</f>
        <v/>
      </c>
      <c r="V313" s="152">
        <f>S313-T313-U313</f>
        <v/>
      </c>
      <c r="W313" s="152">
        <f>IF(Z312&lt;=0.005,0,Z312*(1+W$6))</f>
        <v/>
      </c>
      <c r="X313" s="152">
        <f>MIN(W313,W$7)</f>
        <v/>
      </c>
      <c r="Y313" s="152">
        <f>MAX(0,MIN(W313-X313,AQ313-(E313+I313+M313+Q313+U313)))</f>
        <v/>
      </c>
      <c r="Z313" s="152">
        <f>W313-X313-Y313</f>
        <v/>
      </c>
      <c r="AA313" s="152">
        <f>IF(AD312&lt;=0.005,0,AD312*(1+AA$6))</f>
        <v/>
      </c>
      <c r="AB313" s="152">
        <f>MIN(AA313,AA$7)</f>
        <v/>
      </c>
      <c r="AC313" s="152">
        <f>MAX(0,MIN(AA313-AB313,AQ313-(E313+I313+M313+Q313+U313+Y313)))</f>
        <v/>
      </c>
      <c r="AD313" s="152">
        <f>AA313-AB313-AC313</f>
        <v/>
      </c>
      <c r="AE313" s="152">
        <f>IF(AH312&lt;=0.005,0,AH312*(1+AE$6))</f>
        <v/>
      </c>
      <c r="AF313" s="152">
        <f>MIN(AE313,AE$7)</f>
        <v/>
      </c>
      <c r="AG313" s="152">
        <f>MAX(0,MIN(AE313-AF313,AQ313-(E313+I313+M313+Q313+U313+Y313+AC313)))</f>
        <v/>
      </c>
      <c r="AH313" s="152">
        <f>AE313-AF313-AG313</f>
        <v/>
      </c>
      <c r="AI313" s="152">
        <f>IF(AL312&lt;=0.005,0,AL312*(1+AI$6))</f>
        <v/>
      </c>
      <c r="AJ313" s="152">
        <f>MIN(AI313,AI$7)</f>
        <v/>
      </c>
      <c r="AK313" s="152">
        <f>MAX(0,MIN(AI313-AJ313,AQ313-(E313+I313+M313+Q313+U313+Y313+AC313+AG313)))</f>
        <v/>
      </c>
      <c r="AL313" s="152">
        <f>AI313-AJ313-AK313</f>
        <v/>
      </c>
      <c r="AM313" s="152">
        <f>IF(AP312&lt;=0.005,0,AP312*(1+AM$6))</f>
        <v/>
      </c>
      <c r="AN313" s="152">
        <f>MIN(AM313,AM$7)</f>
        <v/>
      </c>
      <c r="AO313" s="152">
        <f>MAX(0,MIN(AM313-AN313,AQ313-(E313+I313+M313+Q313+U313+Y313+AC313+AG313+AK313)))</f>
        <v/>
      </c>
      <c r="AP313" s="152">
        <f>AM313-AN313-AO313</f>
        <v/>
      </c>
      <c r="AQ313" s="152">
        <f>'Debt Payoff'!$C$8-SUM(D313,H313,L313,P313,T313,X313,AB313,AF313,AJ313,AN313)</f>
        <v/>
      </c>
      <c r="AR313" s="152">
        <f>SUM(D313,H313,L313,P313,T313,X313,AB313,AF313,AJ313,AN313)+SUM(E313,I313,M313,Q313,U313,Y313,AC313,AG313,AK313,AO313)</f>
        <v/>
      </c>
      <c r="AS313" s="152">
        <f>SUM(F313,J313,N313,R313,V313,Z313,AD313,AH313,AL313,AP313)</f>
        <v/>
      </c>
      <c r="AT313" s="152">
        <f>IF(B313&gt;AS$6,NA(),B313)</f>
        <v/>
      </c>
      <c r="AU313" s="152">
        <f>IF(B313&gt;AS$6,NA(),AS313)</f>
        <v/>
      </c>
      <c r="AV313" s="152" t="n"/>
      <c r="AW313" s="152" t="n">
        <v>302</v>
      </c>
      <c r="AX313" s="152">
        <f>IF(BA312&lt;=0.005,0,BA312*(1+AX$6))</f>
        <v/>
      </c>
      <c r="AY313" s="152">
        <f>MIN(AX313,AX$7)</f>
        <v/>
      </c>
      <c r="AZ313" s="152">
        <f>MAX(0,MIN(AX313-AY313,CL313))</f>
        <v/>
      </c>
      <c r="BA313" s="152">
        <f>AX313-AY313-AZ313</f>
        <v/>
      </c>
      <c r="BB313" s="152">
        <f>IF(BE312&lt;=0.005,0,BE312*(1+BB$6))</f>
        <v/>
      </c>
      <c r="BC313" s="152">
        <f>MIN(BB313,BB$7)</f>
        <v/>
      </c>
      <c r="BD313" s="152">
        <f>MAX(0,MIN(BB313-BC313,CL313-(AZ313)))</f>
        <v/>
      </c>
      <c r="BE313" s="152">
        <f>BB313-BC313-BD313</f>
        <v/>
      </c>
      <c r="BF313" s="152">
        <f>IF(BI312&lt;=0.005,0,BI312*(1+BF$6))</f>
        <v/>
      </c>
      <c r="BG313" s="152">
        <f>MIN(BF313,BF$7)</f>
        <v/>
      </c>
      <c r="BH313" s="152">
        <f>MAX(0,MIN(BF313-BG313,CL313-(AZ313+BD313)))</f>
        <v/>
      </c>
      <c r="BI313" s="152">
        <f>BF313-BG313-BH313</f>
        <v/>
      </c>
      <c r="BJ313" s="152">
        <f>IF(BM312&lt;=0.005,0,BM312*(1+BJ$6))</f>
        <v/>
      </c>
      <c r="BK313" s="152">
        <f>MIN(BJ313,BJ$7)</f>
        <v/>
      </c>
      <c r="BL313" s="152">
        <f>MAX(0,MIN(BJ313-BK313,CL313-(AZ313+BD313+BH313)))</f>
        <v/>
      </c>
      <c r="BM313" s="152">
        <f>BJ313-BK313-BL313</f>
        <v/>
      </c>
      <c r="BN313" s="152">
        <f>IF(BQ312&lt;=0.005,0,BQ312*(1+BN$6))</f>
        <v/>
      </c>
      <c r="BO313" s="152">
        <f>MIN(BN313,BN$7)</f>
        <v/>
      </c>
      <c r="BP313" s="152">
        <f>MAX(0,MIN(BN313-BO313,CL313-(AZ313+BD313+BH313+BL313)))</f>
        <v/>
      </c>
      <c r="BQ313" s="152">
        <f>BN313-BO313-BP313</f>
        <v/>
      </c>
      <c r="BR313" s="152">
        <f>IF(BU312&lt;=0.005,0,BU312*(1+BR$6))</f>
        <v/>
      </c>
      <c r="BS313" s="152">
        <f>MIN(BR313,BR$7)</f>
        <v/>
      </c>
      <c r="BT313" s="152">
        <f>MAX(0,MIN(BR313-BS313,CL313-(AZ313+BD313+BH313+BL313+BP313)))</f>
        <v/>
      </c>
      <c r="BU313" s="152">
        <f>BR313-BS313-BT313</f>
        <v/>
      </c>
      <c r="BV313" s="152">
        <f>IF(BY312&lt;=0.005,0,BY312*(1+BV$6))</f>
        <v/>
      </c>
      <c r="BW313" s="152">
        <f>MIN(BV313,BV$7)</f>
        <v/>
      </c>
      <c r="BX313" s="152">
        <f>MAX(0,MIN(BV313-BW313,CL313-(AZ313+BD313+BH313+BL313+BP313+BT313)))</f>
        <v/>
      </c>
      <c r="BY313" s="152">
        <f>BV313-BW313-BX313</f>
        <v/>
      </c>
      <c r="BZ313" s="152">
        <f>IF(CC312&lt;=0.005,0,CC312*(1+BZ$6))</f>
        <v/>
      </c>
      <c r="CA313" s="152">
        <f>MIN(BZ313,BZ$7)</f>
        <v/>
      </c>
      <c r="CB313" s="152">
        <f>MAX(0,MIN(BZ313-CA313,CL313-(AZ313+BD313+BH313+BL313+BP313+BT313+BX313)))</f>
        <v/>
      </c>
      <c r="CC313" s="152">
        <f>BZ313-CA313-CB313</f>
        <v/>
      </c>
      <c r="CD313" s="152">
        <f>IF(CG312&lt;=0.005,0,CG312*(1+CD$6))</f>
        <v/>
      </c>
      <c r="CE313" s="152">
        <f>MIN(CD313,CD$7)</f>
        <v/>
      </c>
      <c r="CF313" s="152">
        <f>MAX(0,MIN(CD313-CE313,CL313-(AZ313+BD313+BH313+BL313+BP313+BT313+BX313+CB313)))</f>
        <v/>
      </c>
      <c r="CG313" s="152">
        <f>CD313-CE313-CF313</f>
        <v/>
      </c>
      <c r="CH313" s="152">
        <f>IF(CK312&lt;=0.005,0,CK312*(1+CH$6))</f>
        <v/>
      </c>
      <c r="CI313" s="152">
        <f>MIN(CH313,CH$7)</f>
        <v/>
      </c>
      <c r="CJ313" s="152">
        <f>MAX(0,MIN(CH313-CI313,CL313-(AZ313+BD313+BH313+BL313+BP313+BT313+BX313+CB313+CF313)))</f>
        <v/>
      </c>
      <c r="CK313" s="152">
        <f>CH313-CI313-CJ313</f>
        <v/>
      </c>
      <c r="CL313" s="152">
        <f>'Debt Payoff'!$C$8-SUM(AY313,BC313,BG313,BK313,BO313,BS313,BW313,CA313,CE313,CI313)</f>
        <v/>
      </c>
      <c r="CM313" s="152">
        <f>SUM(AY313,BC313,BG313,BK313,BO313,BS313,BW313,CA313,CE313,CI313)+SUM(AZ313,BD313,BH313,BL313,BP313,BT313,BX313,CB313,CF313,CJ313)</f>
        <v/>
      </c>
      <c r="CN313" s="152">
        <f>SUM(BA313,BE313,BI313,BM313,BQ313,BU313,BY313,CC313,CG313,CK313)</f>
        <v/>
      </c>
      <c r="CO313" s="152">
        <f>IF(AW313&gt;CN$6,NA(),AW313)</f>
        <v/>
      </c>
      <c r="CP313" s="152">
        <f>IF(AW313&gt;CN$6,NA(),CN313)</f>
        <v/>
      </c>
    </row>
    <row r="314">
      <c r="B314" s="152" t="n">
        <v>303</v>
      </c>
      <c r="C314" s="152">
        <f>IF(F313&lt;=0.005,0,F313*(1+C$6))</f>
        <v/>
      </c>
      <c r="D314" s="152">
        <f>MIN(C314,C$7)</f>
        <v/>
      </c>
      <c r="E314" s="152">
        <f>MAX(0,MIN(C314-D314,AQ314))</f>
        <v/>
      </c>
      <c r="F314" s="152">
        <f>C314-D314-E314</f>
        <v/>
      </c>
      <c r="G314" s="152">
        <f>IF(J313&lt;=0.005,0,J313*(1+G$6))</f>
        <v/>
      </c>
      <c r="H314" s="152">
        <f>MIN(G314,G$7)</f>
        <v/>
      </c>
      <c r="I314" s="152">
        <f>MAX(0,MIN(G314-H314,AQ314-(E314)))</f>
        <v/>
      </c>
      <c r="J314" s="152">
        <f>G314-H314-I314</f>
        <v/>
      </c>
      <c r="K314" s="152">
        <f>IF(N313&lt;=0.005,0,N313*(1+K$6))</f>
        <v/>
      </c>
      <c r="L314" s="152">
        <f>MIN(K314,K$7)</f>
        <v/>
      </c>
      <c r="M314" s="152">
        <f>MAX(0,MIN(K314-L314,AQ314-(E314+I314)))</f>
        <v/>
      </c>
      <c r="N314" s="152">
        <f>K314-L314-M314</f>
        <v/>
      </c>
      <c r="O314" s="152">
        <f>IF(R313&lt;=0.005,0,R313*(1+O$6))</f>
        <v/>
      </c>
      <c r="P314" s="152">
        <f>MIN(O314,O$7)</f>
        <v/>
      </c>
      <c r="Q314" s="152">
        <f>MAX(0,MIN(O314-P314,AQ314-(E314+I314+M314)))</f>
        <v/>
      </c>
      <c r="R314" s="152">
        <f>O314-P314-Q314</f>
        <v/>
      </c>
      <c r="S314" s="152">
        <f>IF(V313&lt;=0.005,0,V313*(1+S$6))</f>
        <v/>
      </c>
      <c r="T314" s="152">
        <f>MIN(S314,S$7)</f>
        <v/>
      </c>
      <c r="U314" s="152">
        <f>MAX(0,MIN(S314-T314,AQ314-(E314+I314+M314+Q314)))</f>
        <v/>
      </c>
      <c r="V314" s="152">
        <f>S314-T314-U314</f>
        <v/>
      </c>
      <c r="W314" s="152">
        <f>IF(Z313&lt;=0.005,0,Z313*(1+W$6))</f>
        <v/>
      </c>
      <c r="X314" s="152">
        <f>MIN(W314,W$7)</f>
        <v/>
      </c>
      <c r="Y314" s="152">
        <f>MAX(0,MIN(W314-X314,AQ314-(E314+I314+M314+Q314+U314)))</f>
        <v/>
      </c>
      <c r="Z314" s="152">
        <f>W314-X314-Y314</f>
        <v/>
      </c>
      <c r="AA314" s="152">
        <f>IF(AD313&lt;=0.005,0,AD313*(1+AA$6))</f>
        <v/>
      </c>
      <c r="AB314" s="152">
        <f>MIN(AA314,AA$7)</f>
        <v/>
      </c>
      <c r="AC314" s="152">
        <f>MAX(0,MIN(AA314-AB314,AQ314-(E314+I314+M314+Q314+U314+Y314)))</f>
        <v/>
      </c>
      <c r="AD314" s="152">
        <f>AA314-AB314-AC314</f>
        <v/>
      </c>
      <c r="AE314" s="152">
        <f>IF(AH313&lt;=0.005,0,AH313*(1+AE$6))</f>
        <v/>
      </c>
      <c r="AF314" s="152">
        <f>MIN(AE314,AE$7)</f>
        <v/>
      </c>
      <c r="AG314" s="152">
        <f>MAX(0,MIN(AE314-AF314,AQ314-(E314+I314+M314+Q314+U314+Y314+AC314)))</f>
        <v/>
      </c>
      <c r="AH314" s="152">
        <f>AE314-AF314-AG314</f>
        <v/>
      </c>
      <c r="AI314" s="152">
        <f>IF(AL313&lt;=0.005,0,AL313*(1+AI$6))</f>
        <v/>
      </c>
      <c r="AJ314" s="152">
        <f>MIN(AI314,AI$7)</f>
        <v/>
      </c>
      <c r="AK314" s="152">
        <f>MAX(0,MIN(AI314-AJ314,AQ314-(E314+I314+M314+Q314+U314+Y314+AC314+AG314)))</f>
        <v/>
      </c>
      <c r="AL314" s="152">
        <f>AI314-AJ314-AK314</f>
        <v/>
      </c>
      <c r="AM314" s="152">
        <f>IF(AP313&lt;=0.005,0,AP313*(1+AM$6))</f>
        <v/>
      </c>
      <c r="AN314" s="152">
        <f>MIN(AM314,AM$7)</f>
        <v/>
      </c>
      <c r="AO314" s="152">
        <f>MAX(0,MIN(AM314-AN314,AQ314-(E314+I314+M314+Q314+U314+Y314+AC314+AG314+AK314)))</f>
        <v/>
      </c>
      <c r="AP314" s="152">
        <f>AM314-AN314-AO314</f>
        <v/>
      </c>
      <c r="AQ314" s="152">
        <f>'Debt Payoff'!$C$8-SUM(D314,H314,L314,P314,T314,X314,AB314,AF314,AJ314,AN314)</f>
        <v/>
      </c>
      <c r="AR314" s="152">
        <f>SUM(D314,H314,L314,P314,T314,X314,AB314,AF314,AJ314,AN314)+SUM(E314,I314,M314,Q314,U314,Y314,AC314,AG314,AK314,AO314)</f>
        <v/>
      </c>
      <c r="AS314" s="152">
        <f>SUM(F314,J314,N314,R314,V314,Z314,AD314,AH314,AL314,AP314)</f>
        <v/>
      </c>
      <c r="AT314" s="152">
        <f>IF(B314&gt;AS$6,NA(),B314)</f>
        <v/>
      </c>
      <c r="AU314" s="152">
        <f>IF(B314&gt;AS$6,NA(),AS314)</f>
        <v/>
      </c>
      <c r="AV314" s="152" t="n"/>
      <c r="AW314" s="152" t="n">
        <v>303</v>
      </c>
      <c r="AX314" s="152">
        <f>IF(BA313&lt;=0.005,0,BA313*(1+AX$6))</f>
        <v/>
      </c>
      <c r="AY314" s="152">
        <f>MIN(AX314,AX$7)</f>
        <v/>
      </c>
      <c r="AZ314" s="152">
        <f>MAX(0,MIN(AX314-AY314,CL314))</f>
        <v/>
      </c>
      <c r="BA314" s="152">
        <f>AX314-AY314-AZ314</f>
        <v/>
      </c>
      <c r="BB314" s="152">
        <f>IF(BE313&lt;=0.005,0,BE313*(1+BB$6))</f>
        <v/>
      </c>
      <c r="BC314" s="152">
        <f>MIN(BB314,BB$7)</f>
        <v/>
      </c>
      <c r="BD314" s="152">
        <f>MAX(0,MIN(BB314-BC314,CL314-(AZ314)))</f>
        <v/>
      </c>
      <c r="BE314" s="152">
        <f>BB314-BC314-BD314</f>
        <v/>
      </c>
      <c r="BF314" s="152">
        <f>IF(BI313&lt;=0.005,0,BI313*(1+BF$6))</f>
        <v/>
      </c>
      <c r="BG314" s="152">
        <f>MIN(BF314,BF$7)</f>
        <v/>
      </c>
      <c r="BH314" s="152">
        <f>MAX(0,MIN(BF314-BG314,CL314-(AZ314+BD314)))</f>
        <v/>
      </c>
      <c r="BI314" s="152">
        <f>BF314-BG314-BH314</f>
        <v/>
      </c>
      <c r="BJ314" s="152">
        <f>IF(BM313&lt;=0.005,0,BM313*(1+BJ$6))</f>
        <v/>
      </c>
      <c r="BK314" s="152">
        <f>MIN(BJ314,BJ$7)</f>
        <v/>
      </c>
      <c r="BL314" s="152">
        <f>MAX(0,MIN(BJ314-BK314,CL314-(AZ314+BD314+BH314)))</f>
        <v/>
      </c>
      <c r="BM314" s="152">
        <f>BJ314-BK314-BL314</f>
        <v/>
      </c>
      <c r="BN314" s="152">
        <f>IF(BQ313&lt;=0.005,0,BQ313*(1+BN$6))</f>
        <v/>
      </c>
      <c r="BO314" s="152">
        <f>MIN(BN314,BN$7)</f>
        <v/>
      </c>
      <c r="BP314" s="152">
        <f>MAX(0,MIN(BN314-BO314,CL314-(AZ314+BD314+BH314+BL314)))</f>
        <v/>
      </c>
      <c r="BQ314" s="152">
        <f>BN314-BO314-BP314</f>
        <v/>
      </c>
      <c r="BR314" s="152">
        <f>IF(BU313&lt;=0.005,0,BU313*(1+BR$6))</f>
        <v/>
      </c>
      <c r="BS314" s="152">
        <f>MIN(BR314,BR$7)</f>
        <v/>
      </c>
      <c r="BT314" s="152">
        <f>MAX(0,MIN(BR314-BS314,CL314-(AZ314+BD314+BH314+BL314+BP314)))</f>
        <v/>
      </c>
      <c r="BU314" s="152">
        <f>BR314-BS314-BT314</f>
        <v/>
      </c>
      <c r="BV314" s="152">
        <f>IF(BY313&lt;=0.005,0,BY313*(1+BV$6))</f>
        <v/>
      </c>
      <c r="BW314" s="152">
        <f>MIN(BV314,BV$7)</f>
        <v/>
      </c>
      <c r="BX314" s="152">
        <f>MAX(0,MIN(BV314-BW314,CL314-(AZ314+BD314+BH314+BL314+BP314+BT314)))</f>
        <v/>
      </c>
      <c r="BY314" s="152">
        <f>BV314-BW314-BX314</f>
        <v/>
      </c>
      <c r="BZ314" s="152">
        <f>IF(CC313&lt;=0.005,0,CC313*(1+BZ$6))</f>
        <v/>
      </c>
      <c r="CA314" s="152">
        <f>MIN(BZ314,BZ$7)</f>
        <v/>
      </c>
      <c r="CB314" s="152">
        <f>MAX(0,MIN(BZ314-CA314,CL314-(AZ314+BD314+BH314+BL314+BP314+BT314+BX314)))</f>
        <v/>
      </c>
      <c r="CC314" s="152">
        <f>BZ314-CA314-CB314</f>
        <v/>
      </c>
      <c r="CD314" s="152">
        <f>IF(CG313&lt;=0.005,0,CG313*(1+CD$6))</f>
        <v/>
      </c>
      <c r="CE314" s="152">
        <f>MIN(CD314,CD$7)</f>
        <v/>
      </c>
      <c r="CF314" s="152">
        <f>MAX(0,MIN(CD314-CE314,CL314-(AZ314+BD314+BH314+BL314+BP314+BT314+BX314+CB314)))</f>
        <v/>
      </c>
      <c r="CG314" s="152">
        <f>CD314-CE314-CF314</f>
        <v/>
      </c>
      <c r="CH314" s="152">
        <f>IF(CK313&lt;=0.005,0,CK313*(1+CH$6))</f>
        <v/>
      </c>
      <c r="CI314" s="152">
        <f>MIN(CH314,CH$7)</f>
        <v/>
      </c>
      <c r="CJ314" s="152">
        <f>MAX(0,MIN(CH314-CI314,CL314-(AZ314+BD314+BH314+BL314+BP314+BT314+BX314+CB314+CF314)))</f>
        <v/>
      </c>
      <c r="CK314" s="152">
        <f>CH314-CI314-CJ314</f>
        <v/>
      </c>
      <c r="CL314" s="152">
        <f>'Debt Payoff'!$C$8-SUM(AY314,BC314,BG314,BK314,BO314,BS314,BW314,CA314,CE314,CI314)</f>
        <v/>
      </c>
      <c r="CM314" s="152">
        <f>SUM(AY314,BC314,BG314,BK314,BO314,BS314,BW314,CA314,CE314,CI314)+SUM(AZ314,BD314,BH314,BL314,BP314,BT314,BX314,CB314,CF314,CJ314)</f>
        <v/>
      </c>
      <c r="CN314" s="152">
        <f>SUM(BA314,BE314,BI314,BM314,BQ314,BU314,BY314,CC314,CG314,CK314)</f>
        <v/>
      </c>
      <c r="CO314" s="152">
        <f>IF(AW314&gt;CN$6,NA(),AW314)</f>
        <v/>
      </c>
      <c r="CP314" s="152">
        <f>IF(AW314&gt;CN$6,NA(),CN314)</f>
        <v/>
      </c>
    </row>
    <row r="315">
      <c r="B315" s="152" t="n">
        <v>304</v>
      </c>
      <c r="C315" s="152">
        <f>IF(F314&lt;=0.005,0,F314*(1+C$6))</f>
        <v/>
      </c>
      <c r="D315" s="152">
        <f>MIN(C315,C$7)</f>
        <v/>
      </c>
      <c r="E315" s="152">
        <f>MAX(0,MIN(C315-D315,AQ315))</f>
        <v/>
      </c>
      <c r="F315" s="152">
        <f>C315-D315-E315</f>
        <v/>
      </c>
      <c r="G315" s="152">
        <f>IF(J314&lt;=0.005,0,J314*(1+G$6))</f>
        <v/>
      </c>
      <c r="H315" s="152">
        <f>MIN(G315,G$7)</f>
        <v/>
      </c>
      <c r="I315" s="152">
        <f>MAX(0,MIN(G315-H315,AQ315-(E315)))</f>
        <v/>
      </c>
      <c r="J315" s="152">
        <f>G315-H315-I315</f>
        <v/>
      </c>
      <c r="K315" s="152">
        <f>IF(N314&lt;=0.005,0,N314*(1+K$6))</f>
        <v/>
      </c>
      <c r="L315" s="152">
        <f>MIN(K315,K$7)</f>
        <v/>
      </c>
      <c r="M315" s="152">
        <f>MAX(0,MIN(K315-L315,AQ315-(E315+I315)))</f>
        <v/>
      </c>
      <c r="N315" s="152">
        <f>K315-L315-M315</f>
        <v/>
      </c>
      <c r="O315" s="152">
        <f>IF(R314&lt;=0.005,0,R314*(1+O$6))</f>
        <v/>
      </c>
      <c r="P315" s="152">
        <f>MIN(O315,O$7)</f>
        <v/>
      </c>
      <c r="Q315" s="152">
        <f>MAX(0,MIN(O315-P315,AQ315-(E315+I315+M315)))</f>
        <v/>
      </c>
      <c r="R315" s="152">
        <f>O315-P315-Q315</f>
        <v/>
      </c>
      <c r="S315" s="152">
        <f>IF(V314&lt;=0.005,0,V314*(1+S$6))</f>
        <v/>
      </c>
      <c r="T315" s="152">
        <f>MIN(S315,S$7)</f>
        <v/>
      </c>
      <c r="U315" s="152">
        <f>MAX(0,MIN(S315-T315,AQ315-(E315+I315+M315+Q315)))</f>
        <v/>
      </c>
      <c r="V315" s="152">
        <f>S315-T315-U315</f>
        <v/>
      </c>
      <c r="W315" s="152">
        <f>IF(Z314&lt;=0.005,0,Z314*(1+W$6))</f>
        <v/>
      </c>
      <c r="X315" s="152">
        <f>MIN(W315,W$7)</f>
        <v/>
      </c>
      <c r="Y315" s="152">
        <f>MAX(0,MIN(W315-X315,AQ315-(E315+I315+M315+Q315+U315)))</f>
        <v/>
      </c>
      <c r="Z315" s="152">
        <f>W315-X315-Y315</f>
        <v/>
      </c>
      <c r="AA315" s="152">
        <f>IF(AD314&lt;=0.005,0,AD314*(1+AA$6))</f>
        <v/>
      </c>
      <c r="AB315" s="152">
        <f>MIN(AA315,AA$7)</f>
        <v/>
      </c>
      <c r="AC315" s="152">
        <f>MAX(0,MIN(AA315-AB315,AQ315-(E315+I315+M315+Q315+U315+Y315)))</f>
        <v/>
      </c>
      <c r="AD315" s="152">
        <f>AA315-AB315-AC315</f>
        <v/>
      </c>
      <c r="AE315" s="152">
        <f>IF(AH314&lt;=0.005,0,AH314*(1+AE$6))</f>
        <v/>
      </c>
      <c r="AF315" s="152">
        <f>MIN(AE315,AE$7)</f>
        <v/>
      </c>
      <c r="AG315" s="152">
        <f>MAX(0,MIN(AE315-AF315,AQ315-(E315+I315+M315+Q315+U315+Y315+AC315)))</f>
        <v/>
      </c>
      <c r="AH315" s="152">
        <f>AE315-AF315-AG315</f>
        <v/>
      </c>
      <c r="AI315" s="152">
        <f>IF(AL314&lt;=0.005,0,AL314*(1+AI$6))</f>
        <v/>
      </c>
      <c r="AJ315" s="152">
        <f>MIN(AI315,AI$7)</f>
        <v/>
      </c>
      <c r="AK315" s="152">
        <f>MAX(0,MIN(AI315-AJ315,AQ315-(E315+I315+M315+Q315+U315+Y315+AC315+AG315)))</f>
        <v/>
      </c>
      <c r="AL315" s="152">
        <f>AI315-AJ315-AK315</f>
        <v/>
      </c>
      <c r="AM315" s="152">
        <f>IF(AP314&lt;=0.005,0,AP314*(1+AM$6))</f>
        <v/>
      </c>
      <c r="AN315" s="152">
        <f>MIN(AM315,AM$7)</f>
        <v/>
      </c>
      <c r="AO315" s="152">
        <f>MAX(0,MIN(AM315-AN315,AQ315-(E315+I315+M315+Q315+U315+Y315+AC315+AG315+AK315)))</f>
        <v/>
      </c>
      <c r="AP315" s="152">
        <f>AM315-AN315-AO315</f>
        <v/>
      </c>
      <c r="AQ315" s="152">
        <f>'Debt Payoff'!$C$8-SUM(D315,H315,L315,P315,T315,X315,AB315,AF315,AJ315,AN315)</f>
        <v/>
      </c>
      <c r="AR315" s="152">
        <f>SUM(D315,H315,L315,P315,T315,X315,AB315,AF315,AJ315,AN315)+SUM(E315,I315,M315,Q315,U315,Y315,AC315,AG315,AK315,AO315)</f>
        <v/>
      </c>
      <c r="AS315" s="152">
        <f>SUM(F315,J315,N315,R315,V315,Z315,AD315,AH315,AL315,AP315)</f>
        <v/>
      </c>
      <c r="AT315" s="152">
        <f>IF(B315&gt;AS$6,NA(),B315)</f>
        <v/>
      </c>
      <c r="AU315" s="152">
        <f>IF(B315&gt;AS$6,NA(),AS315)</f>
        <v/>
      </c>
      <c r="AV315" s="152" t="n"/>
      <c r="AW315" s="152" t="n">
        <v>304</v>
      </c>
      <c r="AX315" s="152">
        <f>IF(BA314&lt;=0.005,0,BA314*(1+AX$6))</f>
        <v/>
      </c>
      <c r="AY315" s="152">
        <f>MIN(AX315,AX$7)</f>
        <v/>
      </c>
      <c r="AZ315" s="152">
        <f>MAX(0,MIN(AX315-AY315,CL315))</f>
        <v/>
      </c>
      <c r="BA315" s="152">
        <f>AX315-AY315-AZ315</f>
        <v/>
      </c>
      <c r="BB315" s="152">
        <f>IF(BE314&lt;=0.005,0,BE314*(1+BB$6))</f>
        <v/>
      </c>
      <c r="BC315" s="152">
        <f>MIN(BB315,BB$7)</f>
        <v/>
      </c>
      <c r="BD315" s="152">
        <f>MAX(0,MIN(BB315-BC315,CL315-(AZ315)))</f>
        <v/>
      </c>
      <c r="BE315" s="152">
        <f>BB315-BC315-BD315</f>
        <v/>
      </c>
      <c r="BF315" s="152">
        <f>IF(BI314&lt;=0.005,0,BI314*(1+BF$6))</f>
        <v/>
      </c>
      <c r="BG315" s="152">
        <f>MIN(BF315,BF$7)</f>
        <v/>
      </c>
      <c r="BH315" s="152">
        <f>MAX(0,MIN(BF315-BG315,CL315-(AZ315+BD315)))</f>
        <v/>
      </c>
      <c r="BI315" s="152">
        <f>BF315-BG315-BH315</f>
        <v/>
      </c>
      <c r="BJ315" s="152">
        <f>IF(BM314&lt;=0.005,0,BM314*(1+BJ$6))</f>
        <v/>
      </c>
      <c r="BK315" s="152">
        <f>MIN(BJ315,BJ$7)</f>
        <v/>
      </c>
      <c r="BL315" s="152">
        <f>MAX(0,MIN(BJ315-BK315,CL315-(AZ315+BD315+BH315)))</f>
        <v/>
      </c>
      <c r="BM315" s="152">
        <f>BJ315-BK315-BL315</f>
        <v/>
      </c>
      <c r="BN315" s="152">
        <f>IF(BQ314&lt;=0.005,0,BQ314*(1+BN$6))</f>
        <v/>
      </c>
      <c r="BO315" s="152">
        <f>MIN(BN315,BN$7)</f>
        <v/>
      </c>
      <c r="BP315" s="152">
        <f>MAX(0,MIN(BN315-BO315,CL315-(AZ315+BD315+BH315+BL315)))</f>
        <v/>
      </c>
      <c r="BQ315" s="152">
        <f>BN315-BO315-BP315</f>
        <v/>
      </c>
      <c r="BR315" s="152">
        <f>IF(BU314&lt;=0.005,0,BU314*(1+BR$6))</f>
        <v/>
      </c>
      <c r="BS315" s="152">
        <f>MIN(BR315,BR$7)</f>
        <v/>
      </c>
      <c r="BT315" s="152">
        <f>MAX(0,MIN(BR315-BS315,CL315-(AZ315+BD315+BH315+BL315+BP315)))</f>
        <v/>
      </c>
      <c r="BU315" s="152">
        <f>BR315-BS315-BT315</f>
        <v/>
      </c>
      <c r="BV315" s="152">
        <f>IF(BY314&lt;=0.005,0,BY314*(1+BV$6))</f>
        <v/>
      </c>
      <c r="BW315" s="152">
        <f>MIN(BV315,BV$7)</f>
        <v/>
      </c>
      <c r="BX315" s="152">
        <f>MAX(0,MIN(BV315-BW315,CL315-(AZ315+BD315+BH315+BL315+BP315+BT315)))</f>
        <v/>
      </c>
      <c r="BY315" s="152">
        <f>BV315-BW315-BX315</f>
        <v/>
      </c>
      <c r="BZ315" s="152">
        <f>IF(CC314&lt;=0.005,0,CC314*(1+BZ$6))</f>
        <v/>
      </c>
      <c r="CA315" s="152">
        <f>MIN(BZ315,BZ$7)</f>
        <v/>
      </c>
      <c r="CB315" s="152">
        <f>MAX(0,MIN(BZ315-CA315,CL315-(AZ315+BD315+BH315+BL315+BP315+BT315+BX315)))</f>
        <v/>
      </c>
      <c r="CC315" s="152">
        <f>BZ315-CA315-CB315</f>
        <v/>
      </c>
      <c r="CD315" s="152">
        <f>IF(CG314&lt;=0.005,0,CG314*(1+CD$6))</f>
        <v/>
      </c>
      <c r="CE315" s="152">
        <f>MIN(CD315,CD$7)</f>
        <v/>
      </c>
      <c r="CF315" s="152">
        <f>MAX(0,MIN(CD315-CE315,CL315-(AZ315+BD315+BH315+BL315+BP315+BT315+BX315+CB315)))</f>
        <v/>
      </c>
      <c r="CG315" s="152">
        <f>CD315-CE315-CF315</f>
        <v/>
      </c>
      <c r="CH315" s="152">
        <f>IF(CK314&lt;=0.005,0,CK314*(1+CH$6))</f>
        <v/>
      </c>
      <c r="CI315" s="152">
        <f>MIN(CH315,CH$7)</f>
        <v/>
      </c>
      <c r="CJ315" s="152">
        <f>MAX(0,MIN(CH315-CI315,CL315-(AZ315+BD315+BH315+BL315+BP315+BT315+BX315+CB315+CF315)))</f>
        <v/>
      </c>
      <c r="CK315" s="152">
        <f>CH315-CI315-CJ315</f>
        <v/>
      </c>
      <c r="CL315" s="152">
        <f>'Debt Payoff'!$C$8-SUM(AY315,BC315,BG315,BK315,BO315,BS315,BW315,CA315,CE315,CI315)</f>
        <v/>
      </c>
      <c r="CM315" s="152">
        <f>SUM(AY315,BC315,BG315,BK315,BO315,BS315,BW315,CA315,CE315,CI315)+SUM(AZ315,BD315,BH315,BL315,BP315,BT315,BX315,CB315,CF315,CJ315)</f>
        <v/>
      </c>
      <c r="CN315" s="152">
        <f>SUM(BA315,BE315,BI315,BM315,BQ315,BU315,BY315,CC315,CG315,CK315)</f>
        <v/>
      </c>
      <c r="CO315" s="152">
        <f>IF(AW315&gt;CN$6,NA(),AW315)</f>
        <v/>
      </c>
      <c r="CP315" s="152">
        <f>IF(AW315&gt;CN$6,NA(),CN315)</f>
        <v/>
      </c>
    </row>
    <row r="316">
      <c r="B316" s="152" t="n">
        <v>305</v>
      </c>
      <c r="C316" s="152">
        <f>IF(F315&lt;=0.005,0,F315*(1+C$6))</f>
        <v/>
      </c>
      <c r="D316" s="152">
        <f>MIN(C316,C$7)</f>
        <v/>
      </c>
      <c r="E316" s="152">
        <f>MAX(0,MIN(C316-D316,AQ316))</f>
        <v/>
      </c>
      <c r="F316" s="152">
        <f>C316-D316-E316</f>
        <v/>
      </c>
      <c r="G316" s="152">
        <f>IF(J315&lt;=0.005,0,J315*(1+G$6))</f>
        <v/>
      </c>
      <c r="H316" s="152">
        <f>MIN(G316,G$7)</f>
        <v/>
      </c>
      <c r="I316" s="152">
        <f>MAX(0,MIN(G316-H316,AQ316-(E316)))</f>
        <v/>
      </c>
      <c r="J316" s="152">
        <f>G316-H316-I316</f>
        <v/>
      </c>
      <c r="K316" s="152">
        <f>IF(N315&lt;=0.005,0,N315*(1+K$6))</f>
        <v/>
      </c>
      <c r="L316" s="152">
        <f>MIN(K316,K$7)</f>
        <v/>
      </c>
      <c r="M316" s="152">
        <f>MAX(0,MIN(K316-L316,AQ316-(E316+I316)))</f>
        <v/>
      </c>
      <c r="N316" s="152">
        <f>K316-L316-M316</f>
        <v/>
      </c>
      <c r="O316" s="152">
        <f>IF(R315&lt;=0.005,0,R315*(1+O$6))</f>
        <v/>
      </c>
      <c r="P316" s="152">
        <f>MIN(O316,O$7)</f>
        <v/>
      </c>
      <c r="Q316" s="152">
        <f>MAX(0,MIN(O316-P316,AQ316-(E316+I316+M316)))</f>
        <v/>
      </c>
      <c r="R316" s="152">
        <f>O316-P316-Q316</f>
        <v/>
      </c>
      <c r="S316" s="152">
        <f>IF(V315&lt;=0.005,0,V315*(1+S$6))</f>
        <v/>
      </c>
      <c r="T316" s="152">
        <f>MIN(S316,S$7)</f>
        <v/>
      </c>
      <c r="U316" s="152">
        <f>MAX(0,MIN(S316-T316,AQ316-(E316+I316+M316+Q316)))</f>
        <v/>
      </c>
      <c r="V316" s="152">
        <f>S316-T316-U316</f>
        <v/>
      </c>
      <c r="W316" s="152">
        <f>IF(Z315&lt;=0.005,0,Z315*(1+W$6))</f>
        <v/>
      </c>
      <c r="X316" s="152">
        <f>MIN(W316,W$7)</f>
        <v/>
      </c>
      <c r="Y316" s="152">
        <f>MAX(0,MIN(W316-X316,AQ316-(E316+I316+M316+Q316+U316)))</f>
        <v/>
      </c>
      <c r="Z316" s="152">
        <f>W316-X316-Y316</f>
        <v/>
      </c>
      <c r="AA316" s="152">
        <f>IF(AD315&lt;=0.005,0,AD315*(1+AA$6))</f>
        <v/>
      </c>
      <c r="AB316" s="152">
        <f>MIN(AA316,AA$7)</f>
        <v/>
      </c>
      <c r="AC316" s="152">
        <f>MAX(0,MIN(AA316-AB316,AQ316-(E316+I316+M316+Q316+U316+Y316)))</f>
        <v/>
      </c>
      <c r="AD316" s="152">
        <f>AA316-AB316-AC316</f>
        <v/>
      </c>
      <c r="AE316" s="152">
        <f>IF(AH315&lt;=0.005,0,AH315*(1+AE$6))</f>
        <v/>
      </c>
      <c r="AF316" s="152">
        <f>MIN(AE316,AE$7)</f>
        <v/>
      </c>
      <c r="AG316" s="152">
        <f>MAX(0,MIN(AE316-AF316,AQ316-(E316+I316+M316+Q316+U316+Y316+AC316)))</f>
        <v/>
      </c>
      <c r="AH316" s="152">
        <f>AE316-AF316-AG316</f>
        <v/>
      </c>
      <c r="AI316" s="152">
        <f>IF(AL315&lt;=0.005,0,AL315*(1+AI$6))</f>
        <v/>
      </c>
      <c r="AJ316" s="152">
        <f>MIN(AI316,AI$7)</f>
        <v/>
      </c>
      <c r="AK316" s="152">
        <f>MAX(0,MIN(AI316-AJ316,AQ316-(E316+I316+M316+Q316+U316+Y316+AC316+AG316)))</f>
        <v/>
      </c>
      <c r="AL316" s="152">
        <f>AI316-AJ316-AK316</f>
        <v/>
      </c>
      <c r="AM316" s="152">
        <f>IF(AP315&lt;=0.005,0,AP315*(1+AM$6))</f>
        <v/>
      </c>
      <c r="AN316" s="152">
        <f>MIN(AM316,AM$7)</f>
        <v/>
      </c>
      <c r="AO316" s="152">
        <f>MAX(0,MIN(AM316-AN316,AQ316-(E316+I316+M316+Q316+U316+Y316+AC316+AG316+AK316)))</f>
        <v/>
      </c>
      <c r="AP316" s="152">
        <f>AM316-AN316-AO316</f>
        <v/>
      </c>
      <c r="AQ316" s="152">
        <f>'Debt Payoff'!$C$8-SUM(D316,H316,L316,P316,T316,X316,AB316,AF316,AJ316,AN316)</f>
        <v/>
      </c>
      <c r="AR316" s="152">
        <f>SUM(D316,H316,L316,P316,T316,X316,AB316,AF316,AJ316,AN316)+SUM(E316,I316,M316,Q316,U316,Y316,AC316,AG316,AK316,AO316)</f>
        <v/>
      </c>
      <c r="AS316" s="152">
        <f>SUM(F316,J316,N316,R316,V316,Z316,AD316,AH316,AL316,AP316)</f>
        <v/>
      </c>
      <c r="AT316" s="152">
        <f>IF(B316&gt;AS$6,NA(),B316)</f>
        <v/>
      </c>
      <c r="AU316" s="152">
        <f>IF(B316&gt;AS$6,NA(),AS316)</f>
        <v/>
      </c>
      <c r="AV316" s="152" t="n"/>
      <c r="AW316" s="152" t="n">
        <v>305</v>
      </c>
      <c r="AX316" s="152">
        <f>IF(BA315&lt;=0.005,0,BA315*(1+AX$6))</f>
        <v/>
      </c>
      <c r="AY316" s="152">
        <f>MIN(AX316,AX$7)</f>
        <v/>
      </c>
      <c r="AZ316" s="152">
        <f>MAX(0,MIN(AX316-AY316,CL316))</f>
        <v/>
      </c>
      <c r="BA316" s="152">
        <f>AX316-AY316-AZ316</f>
        <v/>
      </c>
      <c r="BB316" s="152">
        <f>IF(BE315&lt;=0.005,0,BE315*(1+BB$6))</f>
        <v/>
      </c>
      <c r="BC316" s="152">
        <f>MIN(BB316,BB$7)</f>
        <v/>
      </c>
      <c r="BD316" s="152">
        <f>MAX(0,MIN(BB316-BC316,CL316-(AZ316)))</f>
        <v/>
      </c>
      <c r="BE316" s="152">
        <f>BB316-BC316-BD316</f>
        <v/>
      </c>
      <c r="BF316" s="152">
        <f>IF(BI315&lt;=0.005,0,BI315*(1+BF$6))</f>
        <v/>
      </c>
      <c r="BG316" s="152">
        <f>MIN(BF316,BF$7)</f>
        <v/>
      </c>
      <c r="BH316" s="152">
        <f>MAX(0,MIN(BF316-BG316,CL316-(AZ316+BD316)))</f>
        <v/>
      </c>
      <c r="BI316" s="152">
        <f>BF316-BG316-BH316</f>
        <v/>
      </c>
      <c r="BJ316" s="152">
        <f>IF(BM315&lt;=0.005,0,BM315*(1+BJ$6))</f>
        <v/>
      </c>
      <c r="BK316" s="152">
        <f>MIN(BJ316,BJ$7)</f>
        <v/>
      </c>
      <c r="BL316" s="152">
        <f>MAX(0,MIN(BJ316-BK316,CL316-(AZ316+BD316+BH316)))</f>
        <v/>
      </c>
      <c r="BM316" s="152">
        <f>BJ316-BK316-BL316</f>
        <v/>
      </c>
      <c r="BN316" s="152">
        <f>IF(BQ315&lt;=0.005,0,BQ315*(1+BN$6))</f>
        <v/>
      </c>
      <c r="BO316" s="152">
        <f>MIN(BN316,BN$7)</f>
        <v/>
      </c>
      <c r="BP316" s="152">
        <f>MAX(0,MIN(BN316-BO316,CL316-(AZ316+BD316+BH316+BL316)))</f>
        <v/>
      </c>
      <c r="BQ316" s="152">
        <f>BN316-BO316-BP316</f>
        <v/>
      </c>
      <c r="BR316" s="152">
        <f>IF(BU315&lt;=0.005,0,BU315*(1+BR$6))</f>
        <v/>
      </c>
      <c r="BS316" s="152">
        <f>MIN(BR316,BR$7)</f>
        <v/>
      </c>
      <c r="BT316" s="152">
        <f>MAX(0,MIN(BR316-BS316,CL316-(AZ316+BD316+BH316+BL316+BP316)))</f>
        <v/>
      </c>
      <c r="BU316" s="152">
        <f>BR316-BS316-BT316</f>
        <v/>
      </c>
      <c r="BV316" s="152">
        <f>IF(BY315&lt;=0.005,0,BY315*(1+BV$6))</f>
        <v/>
      </c>
      <c r="BW316" s="152">
        <f>MIN(BV316,BV$7)</f>
        <v/>
      </c>
      <c r="BX316" s="152">
        <f>MAX(0,MIN(BV316-BW316,CL316-(AZ316+BD316+BH316+BL316+BP316+BT316)))</f>
        <v/>
      </c>
      <c r="BY316" s="152">
        <f>BV316-BW316-BX316</f>
        <v/>
      </c>
      <c r="BZ316" s="152">
        <f>IF(CC315&lt;=0.005,0,CC315*(1+BZ$6))</f>
        <v/>
      </c>
      <c r="CA316" s="152">
        <f>MIN(BZ316,BZ$7)</f>
        <v/>
      </c>
      <c r="CB316" s="152">
        <f>MAX(0,MIN(BZ316-CA316,CL316-(AZ316+BD316+BH316+BL316+BP316+BT316+BX316)))</f>
        <v/>
      </c>
      <c r="CC316" s="152">
        <f>BZ316-CA316-CB316</f>
        <v/>
      </c>
      <c r="CD316" s="152">
        <f>IF(CG315&lt;=0.005,0,CG315*(1+CD$6))</f>
        <v/>
      </c>
      <c r="CE316" s="152">
        <f>MIN(CD316,CD$7)</f>
        <v/>
      </c>
      <c r="CF316" s="152">
        <f>MAX(0,MIN(CD316-CE316,CL316-(AZ316+BD316+BH316+BL316+BP316+BT316+BX316+CB316)))</f>
        <v/>
      </c>
      <c r="CG316" s="152">
        <f>CD316-CE316-CF316</f>
        <v/>
      </c>
      <c r="CH316" s="152">
        <f>IF(CK315&lt;=0.005,0,CK315*(1+CH$6))</f>
        <v/>
      </c>
      <c r="CI316" s="152">
        <f>MIN(CH316,CH$7)</f>
        <v/>
      </c>
      <c r="CJ316" s="152">
        <f>MAX(0,MIN(CH316-CI316,CL316-(AZ316+BD316+BH316+BL316+BP316+BT316+BX316+CB316+CF316)))</f>
        <v/>
      </c>
      <c r="CK316" s="152">
        <f>CH316-CI316-CJ316</f>
        <v/>
      </c>
      <c r="CL316" s="152">
        <f>'Debt Payoff'!$C$8-SUM(AY316,BC316,BG316,BK316,BO316,BS316,BW316,CA316,CE316,CI316)</f>
        <v/>
      </c>
      <c r="CM316" s="152">
        <f>SUM(AY316,BC316,BG316,BK316,BO316,BS316,BW316,CA316,CE316,CI316)+SUM(AZ316,BD316,BH316,BL316,BP316,BT316,BX316,CB316,CF316,CJ316)</f>
        <v/>
      </c>
      <c r="CN316" s="152">
        <f>SUM(BA316,BE316,BI316,BM316,BQ316,BU316,BY316,CC316,CG316,CK316)</f>
        <v/>
      </c>
      <c r="CO316" s="152">
        <f>IF(AW316&gt;CN$6,NA(),AW316)</f>
        <v/>
      </c>
      <c r="CP316" s="152">
        <f>IF(AW316&gt;CN$6,NA(),CN316)</f>
        <v/>
      </c>
    </row>
    <row r="317">
      <c r="B317" s="152" t="n">
        <v>306</v>
      </c>
      <c r="C317" s="152">
        <f>IF(F316&lt;=0.005,0,F316*(1+C$6))</f>
        <v/>
      </c>
      <c r="D317" s="152">
        <f>MIN(C317,C$7)</f>
        <v/>
      </c>
      <c r="E317" s="152">
        <f>MAX(0,MIN(C317-D317,AQ317))</f>
        <v/>
      </c>
      <c r="F317" s="152">
        <f>C317-D317-E317</f>
        <v/>
      </c>
      <c r="G317" s="152">
        <f>IF(J316&lt;=0.005,0,J316*(1+G$6))</f>
        <v/>
      </c>
      <c r="H317" s="152">
        <f>MIN(G317,G$7)</f>
        <v/>
      </c>
      <c r="I317" s="152">
        <f>MAX(0,MIN(G317-H317,AQ317-(E317)))</f>
        <v/>
      </c>
      <c r="J317" s="152">
        <f>G317-H317-I317</f>
        <v/>
      </c>
      <c r="K317" s="152">
        <f>IF(N316&lt;=0.005,0,N316*(1+K$6))</f>
        <v/>
      </c>
      <c r="L317" s="152">
        <f>MIN(K317,K$7)</f>
        <v/>
      </c>
      <c r="M317" s="152">
        <f>MAX(0,MIN(K317-L317,AQ317-(E317+I317)))</f>
        <v/>
      </c>
      <c r="N317" s="152">
        <f>K317-L317-M317</f>
        <v/>
      </c>
      <c r="O317" s="152">
        <f>IF(R316&lt;=0.005,0,R316*(1+O$6))</f>
        <v/>
      </c>
      <c r="P317" s="152">
        <f>MIN(O317,O$7)</f>
        <v/>
      </c>
      <c r="Q317" s="152">
        <f>MAX(0,MIN(O317-P317,AQ317-(E317+I317+M317)))</f>
        <v/>
      </c>
      <c r="R317" s="152">
        <f>O317-P317-Q317</f>
        <v/>
      </c>
      <c r="S317" s="152">
        <f>IF(V316&lt;=0.005,0,V316*(1+S$6))</f>
        <v/>
      </c>
      <c r="T317" s="152">
        <f>MIN(S317,S$7)</f>
        <v/>
      </c>
      <c r="U317" s="152">
        <f>MAX(0,MIN(S317-T317,AQ317-(E317+I317+M317+Q317)))</f>
        <v/>
      </c>
      <c r="V317" s="152">
        <f>S317-T317-U317</f>
        <v/>
      </c>
      <c r="W317" s="152">
        <f>IF(Z316&lt;=0.005,0,Z316*(1+W$6))</f>
        <v/>
      </c>
      <c r="X317" s="152">
        <f>MIN(W317,W$7)</f>
        <v/>
      </c>
      <c r="Y317" s="152">
        <f>MAX(0,MIN(W317-X317,AQ317-(E317+I317+M317+Q317+U317)))</f>
        <v/>
      </c>
      <c r="Z317" s="152">
        <f>W317-X317-Y317</f>
        <v/>
      </c>
      <c r="AA317" s="152">
        <f>IF(AD316&lt;=0.005,0,AD316*(1+AA$6))</f>
        <v/>
      </c>
      <c r="AB317" s="152">
        <f>MIN(AA317,AA$7)</f>
        <v/>
      </c>
      <c r="AC317" s="152">
        <f>MAX(0,MIN(AA317-AB317,AQ317-(E317+I317+M317+Q317+U317+Y317)))</f>
        <v/>
      </c>
      <c r="AD317" s="152">
        <f>AA317-AB317-AC317</f>
        <v/>
      </c>
      <c r="AE317" s="152">
        <f>IF(AH316&lt;=0.005,0,AH316*(1+AE$6))</f>
        <v/>
      </c>
      <c r="AF317" s="152">
        <f>MIN(AE317,AE$7)</f>
        <v/>
      </c>
      <c r="AG317" s="152">
        <f>MAX(0,MIN(AE317-AF317,AQ317-(E317+I317+M317+Q317+U317+Y317+AC317)))</f>
        <v/>
      </c>
      <c r="AH317" s="152">
        <f>AE317-AF317-AG317</f>
        <v/>
      </c>
      <c r="AI317" s="152">
        <f>IF(AL316&lt;=0.005,0,AL316*(1+AI$6))</f>
        <v/>
      </c>
      <c r="AJ317" s="152">
        <f>MIN(AI317,AI$7)</f>
        <v/>
      </c>
      <c r="AK317" s="152">
        <f>MAX(0,MIN(AI317-AJ317,AQ317-(E317+I317+M317+Q317+U317+Y317+AC317+AG317)))</f>
        <v/>
      </c>
      <c r="AL317" s="152">
        <f>AI317-AJ317-AK317</f>
        <v/>
      </c>
      <c r="AM317" s="152">
        <f>IF(AP316&lt;=0.005,0,AP316*(1+AM$6))</f>
        <v/>
      </c>
      <c r="AN317" s="152">
        <f>MIN(AM317,AM$7)</f>
        <v/>
      </c>
      <c r="AO317" s="152">
        <f>MAX(0,MIN(AM317-AN317,AQ317-(E317+I317+M317+Q317+U317+Y317+AC317+AG317+AK317)))</f>
        <v/>
      </c>
      <c r="AP317" s="152">
        <f>AM317-AN317-AO317</f>
        <v/>
      </c>
      <c r="AQ317" s="152">
        <f>'Debt Payoff'!$C$8-SUM(D317,H317,L317,P317,T317,X317,AB317,AF317,AJ317,AN317)</f>
        <v/>
      </c>
      <c r="AR317" s="152">
        <f>SUM(D317,H317,L317,P317,T317,X317,AB317,AF317,AJ317,AN317)+SUM(E317,I317,M317,Q317,U317,Y317,AC317,AG317,AK317,AO317)</f>
        <v/>
      </c>
      <c r="AS317" s="152">
        <f>SUM(F317,J317,N317,R317,V317,Z317,AD317,AH317,AL317,AP317)</f>
        <v/>
      </c>
      <c r="AT317" s="152">
        <f>IF(B317&gt;AS$6,NA(),B317)</f>
        <v/>
      </c>
      <c r="AU317" s="152">
        <f>IF(B317&gt;AS$6,NA(),AS317)</f>
        <v/>
      </c>
      <c r="AV317" s="152" t="n"/>
      <c r="AW317" s="152" t="n">
        <v>306</v>
      </c>
      <c r="AX317" s="152">
        <f>IF(BA316&lt;=0.005,0,BA316*(1+AX$6))</f>
        <v/>
      </c>
      <c r="AY317" s="152">
        <f>MIN(AX317,AX$7)</f>
        <v/>
      </c>
      <c r="AZ317" s="152">
        <f>MAX(0,MIN(AX317-AY317,CL317))</f>
        <v/>
      </c>
      <c r="BA317" s="152">
        <f>AX317-AY317-AZ317</f>
        <v/>
      </c>
      <c r="BB317" s="152">
        <f>IF(BE316&lt;=0.005,0,BE316*(1+BB$6))</f>
        <v/>
      </c>
      <c r="BC317" s="152">
        <f>MIN(BB317,BB$7)</f>
        <v/>
      </c>
      <c r="BD317" s="152">
        <f>MAX(0,MIN(BB317-BC317,CL317-(AZ317)))</f>
        <v/>
      </c>
      <c r="BE317" s="152">
        <f>BB317-BC317-BD317</f>
        <v/>
      </c>
      <c r="BF317" s="152">
        <f>IF(BI316&lt;=0.005,0,BI316*(1+BF$6))</f>
        <v/>
      </c>
      <c r="BG317" s="152">
        <f>MIN(BF317,BF$7)</f>
        <v/>
      </c>
      <c r="BH317" s="152">
        <f>MAX(0,MIN(BF317-BG317,CL317-(AZ317+BD317)))</f>
        <v/>
      </c>
      <c r="BI317" s="152">
        <f>BF317-BG317-BH317</f>
        <v/>
      </c>
      <c r="BJ317" s="152">
        <f>IF(BM316&lt;=0.005,0,BM316*(1+BJ$6))</f>
        <v/>
      </c>
      <c r="BK317" s="152">
        <f>MIN(BJ317,BJ$7)</f>
        <v/>
      </c>
      <c r="BL317" s="152">
        <f>MAX(0,MIN(BJ317-BK317,CL317-(AZ317+BD317+BH317)))</f>
        <v/>
      </c>
      <c r="BM317" s="152">
        <f>BJ317-BK317-BL317</f>
        <v/>
      </c>
      <c r="BN317" s="152">
        <f>IF(BQ316&lt;=0.005,0,BQ316*(1+BN$6))</f>
        <v/>
      </c>
      <c r="BO317" s="152">
        <f>MIN(BN317,BN$7)</f>
        <v/>
      </c>
      <c r="BP317" s="152">
        <f>MAX(0,MIN(BN317-BO317,CL317-(AZ317+BD317+BH317+BL317)))</f>
        <v/>
      </c>
      <c r="BQ317" s="152">
        <f>BN317-BO317-BP317</f>
        <v/>
      </c>
      <c r="BR317" s="152">
        <f>IF(BU316&lt;=0.005,0,BU316*(1+BR$6))</f>
        <v/>
      </c>
      <c r="BS317" s="152">
        <f>MIN(BR317,BR$7)</f>
        <v/>
      </c>
      <c r="BT317" s="152">
        <f>MAX(0,MIN(BR317-BS317,CL317-(AZ317+BD317+BH317+BL317+BP317)))</f>
        <v/>
      </c>
      <c r="BU317" s="152">
        <f>BR317-BS317-BT317</f>
        <v/>
      </c>
      <c r="BV317" s="152">
        <f>IF(BY316&lt;=0.005,0,BY316*(1+BV$6))</f>
        <v/>
      </c>
      <c r="BW317" s="152">
        <f>MIN(BV317,BV$7)</f>
        <v/>
      </c>
      <c r="BX317" s="152">
        <f>MAX(0,MIN(BV317-BW317,CL317-(AZ317+BD317+BH317+BL317+BP317+BT317)))</f>
        <v/>
      </c>
      <c r="BY317" s="152">
        <f>BV317-BW317-BX317</f>
        <v/>
      </c>
      <c r="BZ317" s="152">
        <f>IF(CC316&lt;=0.005,0,CC316*(1+BZ$6))</f>
        <v/>
      </c>
      <c r="CA317" s="152">
        <f>MIN(BZ317,BZ$7)</f>
        <v/>
      </c>
      <c r="CB317" s="152">
        <f>MAX(0,MIN(BZ317-CA317,CL317-(AZ317+BD317+BH317+BL317+BP317+BT317+BX317)))</f>
        <v/>
      </c>
      <c r="CC317" s="152">
        <f>BZ317-CA317-CB317</f>
        <v/>
      </c>
      <c r="CD317" s="152">
        <f>IF(CG316&lt;=0.005,0,CG316*(1+CD$6))</f>
        <v/>
      </c>
      <c r="CE317" s="152">
        <f>MIN(CD317,CD$7)</f>
        <v/>
      </c>
      <c r="CF317" s="152">
        <f>MAX(0,MIN(CD317-CE317,CL317-(AZ317+BD317+BH317+BL317+BP317+BT317+BX317+CB317)))</f>
        <v/>
      </c>
      <c r="CG317" s="152">
        <f>CD317-CE317-CF317</f>
        <v/>
      </c>
      <c r="CH317" s="152">
        <f>IF(CK316&lt;=0.005,0,CK316*(1+CH$6))</f>
        <v/>
      </c>
      <c r="CI317" s="152">
        <f>MIN(CH317,CH$7)</f>
        <v/>
      </c>
      <c r="CJ317" s="152">
        <f>MAX(0,MIN(CH317-CI317,CL317-(AZ317+BD317+BH317+BL317+BP317+BT317+BX317+CB317+CF317)))</f>
        <v/>
      </c>
      <c r="CK317" s="152">
        <f>CH317-CI317-CJ317</f>
        <v/>
      </c>
      <c r="CL317" s="152">
        <f>'Debt Payoff'!$C$8-SUM(AY317,BC317,BG317,BK317,BO317,BS317,BW317,CA317,CE317,CI317)</f>
        <v/>
      </c>
      <c r="CM317" s="152">
        <f>SUM(AY317,BC317,BG317,BK317,BO317,BS317,BW317,CA317,CE317,CI317)+SUM(AZ317,BD317,BH317,BL317,BP317,BT317,BX317,CB317,CF317,CJ317)</f>
        <v/>
      </c>
      <c r="CN317" s="152">
        <f>SUM(BA317,BE317,BI317,BM317,BQ317,BU317,BY317,CC317,CG317,CK317)</f>
        <v/>
      </c>
      <c r="CO317" s="152">
        <f>IF(AW317&gt;CN$6,NA(),AW317)</f>
        <v/>
      </c>
      <c r="CP317" s="152">
        <f>IF(AW317&gt;CN$6,NA(),CN317)</f>
        <v/>
      </c>
    </row>
    <row r="318">
      <c r="B318" s="152" t="n">
        <v>307</v>
      </c>
      <c r="C318" s="152">
        <f>IF(F317&lt;=0.005,0,F317*(1+C$6))</f>
        <v/>
      </c>
      <c r="D318" s="152">
        <f>MIN(C318,C$7)</f>
        <v/>
      </c>
      <c r="E318" s="152">
        <f>MAX(0,MIN(C318-D318,AQ318))</f>
        <v/>
      </c>
      <c r="F318" s="152">
        <f>C318-D318-E318</f>
        <v/>
      </c>
      <c r="G318" s="152">
        <f>IF(J317&lt;=0.005,0,J317*(1+G$6))</f>
        <v/>
      </c>
      <c r="H318" s="152">
        <f>MIN(G318,G$7)</f>
        <v/>
      </c>
      <c r="I318" s="152">
        <f>MAX(0,MIN(G318-H318,AQ318-(E318)))</f>
        <v/>
      </c>
      <c r="J318" s="152">
        <f>G318-H318-I318</f>
        <v/>
      </c>
      <c r="K318" s="152">
        <f>IF(N317&lt;=0.005,0,N317*(1+K$6))</f>
        <v/>
      </c>
      <c r="L318" s="152">
        <f>MIN(K318,K$7)</f>
        <v/>
      </c>
      <c r="M318" s="152">
        <f>MAX(0,MIN(K318-L318,AQ318-(E318+I318)))</f>
        <v/>
      </c>
      <c r="N318" s="152">
        <f>K318-L318-M318</f>
        <v/>
      </c>
      <c r="O318" s="152">
        <f>IF(R317&lt;=0.005,0,R317*(1+O$6))</f>
        <v/>
      </c>
      <c r="P318" s="152">
        <f>MIN(O318,O$7)</f>
        <v/>
      </c>
      <c r="Q318" s="152">
        <f>MAX(0,MIN(O318-P318,AQ318-(E318+I318+M318)))</f>
        <v/>
      </c>
      <c r="R318" s="152">
        <f>O318-P318-Q318</f>
        <v/>
      </c>
      <c r="S318" s="152">
        <f>IF(V317&lt;=0.005,0,V317*(1+S$6))</f>
        <v/>
      </c>
      <c r="T318" s="152">
        <f>MIN(S318,S$7)</f>
        <v/>
      </c>
      <c r="U318" s="152">
        <f>MAX(0,MIN(S318-T318,AQ318-(E318+I318+M318+Q318)))</f>
        <v/>
      </c>
      <c r="V318" s="152">
        <f>S318-T318-U318</f>
        <v/>
      </c>
      <c r="W318" s="152">
        <f>IF(Z317&lt;=0.005,0,Z317*(1+W$6))</f>
        <v/>
      </c>
      <c r="X318" s="152">
        <f>MIN(W318,W$7)</f>
        <v/>
      </c>
      <c r="Y318" s="152">
        <f>MAX(0,MIN(W318-X318,AQ318-(E318+I318+M318+Q318+U318)))</f>
        <v/>
      </c>
      <c r="Z318" s="152">
        <f>W318-X318-Y318</f>
        <v/>
      </c>
      <c r="AA318" s="152">
        <f>IF(AD317&lt;=0.005,0,AD317*(1+AA$6))</f>
        <v/>
      </c>
      <c r="AB318" s="152">
        <f>MIN(AA318,AA$7)</f>
        <v/>
      </c>
      <c r="AC318" s="152">
        <f>MAX(0,MIN(AA318-AB318,AQ318-(E318+I318+M318+Q318+U318+Y318)))</f>
        <v/>
      </c>
      <c r="AD318" s="152">
        <f>AA318-AB318-AC318</f>
        <v/>
      </c>
      <c r="AE318" s="152">
        <f>IF(AH317&lt;=0.005,0,AH317*(1+AE$6))</f>
        <v/>
      </c>
      <c r="AF318" s="152">
        <f>MIN(AE318,AE$7)</f>
        <v/>
      </c>
      <c r="AG318" s="152">
        <f>MAX(0,MIN(AE318-AF318,AQ318-(E318+I318+M318+Q318+U318+Y318+AC318)))</f>
        <v/>
      </c>
      <c r="AH318" s="152">
        <f>AE318-AF318-AG318</f>
        <v/>
      </c>
      <c r="AI318" s="152">
        <f>IF(AL317&lt;=0.005,0,AL317*(1+AI$6))</f>
        <v/>
      </c>
      <c r="AJ318" s="152">
        <f>MIN(AI318,AI$7)</f>
        <v/>
      </c>
      <c r="AK318" s="152">
        <f>MAX(0,MIN(AI318-AJ318,AQ318-(E318+I318+M318+Q318+U318+Y318+AC318+AG318)))</f>
        <v/>
      </c>
      <c r="AL318" s="152">
        <f>AI318-AJ318-AK318</f>
        <v/>
      </c>
      <c r="AM318" s="152">
        <f>IF(AP317&lt;=0.005,0,AP317*(1+AM$6))</f>
        <v/>
      </c>
      <c r="AN318" s="152">
        <f>MIN(AM318,AM$7)</f>
        <v/>
      </c>
      <c r="AO318" s="152">
        <f>MAX(0,MIN(AM318-AN318,AQ318-(E318+I318+M318+Q318+U318+Y318+AC318+AG318+AK318)))</f>
        <v/>
      </c>
      <c r="AP318" s="152">
        <f>AM318-AN318-AO318</f>
        <v/>
      </c>
      <c r="AQ318" s="152">
        <f>'Debt Payoff'!$C$8-SUM(D318,H318,L318,P318,T318,X318,AB318,AF318,AJ318,AN318)</f>
        <v/>
      </c>
      <c r="AR318" s="152">
        <f>SUM(D318,H318,L318,P318,T318,X318,AB318,AF318,AJ318,AN318)+SUM(E318,I318,M318,Q318,U318,Y318,AC318,AG318,AK318,AO318)</f>
        <v/>
      </c>
      <c r="AS318" s="152">
        <f>SUM(F318,J318,N318,R318,V318,Z318,AD318,AH318,AL318,AP318)</f>
        <v/>
      </c>
      <c r="AT318" s="152">
        <f>IF(B318&gt;AS$6,NA(),B318)</f>
        <v/>
      </c>
      <c r="AU318" s="152">
        <f>IF(B318&gt;AS$6,NA(),AS318)</f>
        <v/>
      </c>
      <c r="AV318" s="152" t="n"/>
      <c r="AW318" s="152" t="n">
        <v>307</v>
      </c>
      <c r="AX318" s="152">
        <f>IF(BA317&lt;=0.005,0,BA317*(1+AX$6))</f>
        <v/>
      </c>
      <c r="AY318" s="152">
        <f>MIN(AX318,AX$7)</f>
        <v/>
      </c>
      <c r="AZ318" s="152">
        <f>MAX(0,MIN(AX318-AY318,CL318))</f>
        <v/>
      </c>
      <c r="BA318" s="152">
        <f>AX318-AY318-AZ318</f>
        <v/>
      </c>
      <c r="BB318" s="152">
        <f>IF(BE317&lt;=0.005,0,BE317*(1+BB$6))</f>
        <v/>
      </c>
      <c r="BC318" s="152">
        <f>MIN(BB318,BB$7)</f>
        <v/>
      </c>
      <c r="BD318" s="152">
        <f>MAX(0,MIN(BB318-BC318,CL318-(AZ318)))</f>
        <v/>
      </c>
      <c r="BE318" s="152">
        <f>BB318-BC318-BD318</f>
        <v/>
      </c>
      <c r="BF318" s="152">
        <f>IF(BI317&lt;=0.005,0,BI317*(1+BF$6))</f>
        <v/>
      </c>
      <c r="BG318" s="152">
        <f>MIN(BF318,BF$7)</f>
        <v/>
      </c>
      <c r="BH318" s="152">
        <f>MAX(0,MIN(BF318-BG318,CL318-(AZ318+BD318)))</f>
        <v/>
      </c>
      <c r="BI318" s="152">
        <f>BF318-BG318-BH318</f>
        <v/>
      </c>
      <c r="BJ318" s="152">
        <f>IF(BM317&lt;=0.005,0,BM317*(1+BJ$6))</f>
        <v/>
      </c>
      <c r="BK318" s="152">
        <f>MIN(BJ318,BJ$7)</f>
        <v/>
      </c>
      <c r="BL318" s="152">
        <f>MAX(0,MIN(BJ318-BK318,CL318-(AZ318+BD318+BH318)))</f>
        <v/>
      </c>
      <c r="BM318" s="152">
        <f>BJ318-BK318-BL318</f>
        <v/>
      </c>
      <c r="BN318" s="152">
        <f>IF(BQ317&lt;=0.005,0,BQ317*(1+BN$6))</f>
        <v/>
      </c>
      <c r="BO318" s="152">
        <f>MIN(BN318,BN$7)</f>
        <v/>
      </c>
      <c r="BP318" s="152">
        <f>MAX(0,MIN(BN318-BO318,CL318-(AZ318+BD318+BH318+BL318)))</f>
        <v/>
      </c>
      <c r="BQ318" s="152">
        <f>BN318-BO318-BP318</f>
        <v/>
      </c>
      <c r="BR318" s="152">
        <f>IF(BU317&lt;=0.005,0,BU317*(1+BR$6))</f>
        <v/>
      </c>
      <c r="BS318" s="152">
        <f>MIN(BR318,BR$7)</f>
        <v/>
      </c>
      <c r="BT318" s="152">
        <f>MAX(0,MIN(BR318-BS318,CL318-(AZ318+BD318+BH318+BL318+BP318)))</f>
        <v/>
      </c>
      <c r="BU318" s="152">
        <f>BR318-BS318-BT318</f>
        <v/>
      </c>
      <c r="BV318" s="152">
        <f>IF(BY317&lt;=0.005,0,BY317*(1+BV$6))</f>
        <v/>
      </c>
      <c r="BW318" s="152">
        <f>MIN(BV318,BV$7)</f>
        <v/>
      </c>
      <c r="BX318" s="152">
        <f>MAX(0,MIN(BV318-BW318,CL318-(AZ318+BD318+BH318+BL318+BP318+BT318)))</f>
        <v/>
      </c>
      <c r="BY318" s="152">
        <f>BV318-BW318-BX318</f>
        <v/>
      </c>
      <c r="BZ318" s="152">
        <f>IF(CC317&lt;=0.005,0,CC317*(1+BZ$6))</f>
        <v/>
      </c>
      <c r="CA318" s="152">
        <f>MIN(BZ318,BZ$7)</f>
        <v/>
      </c>
      <c r="CB318" s="152">
        <f>MAX(0,MIN(BZ318-CA318,CL318-(AZ318+BD318+BH318+BL318+BP318+BT318+BX318)))</f>
        <v/>
      </c>
      <c r="CC318" s="152">
        <f>BZ318-CA318-CB318</f>
        <v/>
      </c>
      <c r="CD318" s="152">
        <f>IF(CG317&lt;=0.005,0,CG317*(1+CD$6))</f>
        <v/>
      </c>
      <c r="CE318" s="152">
        <f>MIN(CD318,CD$7)</f>
        <v/>
      </c>
      <c r="CF318" s="152">
        <f>MAX(0,MIN(CD318-CE318,CL318-(AZ318+BD318+BH318+BL318+BP318+BT318+BX318+CB318)))</f>
        <v/>
      </c>
      <c r="CG318" s="152">
        <f>CD318-CE318-CF318</f>
        <v/>
      </c>
      <c r="CH318" s="152">
        <f>IF(CK317&lt;=0.005,0,CK317*(1+CH$6))</f>
        <v/>
      </c>
      <c r="CI318" s="152">
        <f>MIN(CH318,CH$7)</f>
        <v/>
      </c>
      <c r="CJ318" s="152">
        <f>MAX(0,MIN(CH318-CI318,CL318-(AZ318+BD318+BH318+BL318+BP318+BT318+BX318+CB318+CF318)))</f>
        <v/>
      </c>
      <c r="CK318" s="152">
        <f>CH318-CI318-CJ318</f>
        <v/>
      </c>
      <c r="CL318" s="152">
        <f>'Debt Payoff'!$C$8-SUM(AY318,BC318,BG318,BK318,BO318,BS318,BW318,CA318,CE318,CI318)</f>
        <v/>
      </c>
      <c r="CM318" s="152">
        <f>SUM(AY318,BC318,BG318,BK318,BO318,BS318,BW318,CA318,CE318,CI318)+SUM(AZ318,BD318,BH318,BL318,BP318,BT318,BX318,CB318,CF318,CJ318)</f>
        <v/>
      </c>
      <c r="CN318" s="152">
        <f>SUM(BA318,BE318,BI318,BM318,BQ318,BU318,BY318,CC318,CG318,CK318)</f>
        <v/>
      </c>
      <c r="CO318" s="152">
        <f>IF(AW318&gt;CN$6,NA(),AW318)</f>
        <v/>
      </c>
      <c r="CP318" s="152">
        <f>IF(AW318&gt;CN$6,NA(),CN318)</f>
        <v/>
      </c>
    </row>
    <row r="319">
      <c r="B319" s="152" t="n">
        <v>308</v>
      </c>
      <c r="C319" s="152">
        <f>IF(F318&lt;=0.005,0,F318*(1+C$6))</f>
        <v/>
      </c>
      <c r="D319" s="152">
        <f>MIN(C319,C$7)</f>
        <v/>
      </c>
      <c r="E319" s="152">
        <f>MAX(0,MIN(C319-D319,AQ319))</f>
        <v/>
      </c>
      <c r="F319" s="152">
        <f>C319-D319-E319</f>
        <v/>
      </c>
      <c r="G319" s="152">
        <f>IF(J318&lt;=0.005,0,J318*(1+G$6))</f>
        <v/>
      </c>
      <c r="H319" s="152">
        <f>MIN(G319,G$7)</f>
        <v/>
      </c>
      <c r="I319" s="152">
        <f>MAX(0,MIN(G319-H319,AQ319-(E319)))</f>
        <v/>
      </c>
      <c r="J319" s="152">
        <f>G319-H319-I319</f>
        <v/>
      </c>
      <c r="K319" s="152">
        <f>IF(N318&lt;=0.005,0,N318*(1+K$6))</f>
        <v/>
      </c>
      <c r="L319" s="152">
        <f>MIN(K319,K$7)</f>
        <v/>
      </c>
      <c r="M319" s="152">
        <f>MAX(0,MIN(K319-L319,AQ319-(E319+I319)))</f>
        <v/>
      </c>
      <c r="N319" s="152">
        <f>K319-L319-M319</f>
        <v/>
      </c>
      <c r="O319" s="152">
        <f>IF(R318&lt;=0.005,0,R318*(1+O$6))</f>
        <v/>
      </c>
      <c r="P319" s="152">
        <f>MIN(O319,O$7)</f>
        <v/>
      </c>
      <c r="Q319" s="152">
        <f>MAX(0,MIN(O319-P319,AQ319-(E319+I319+M319)))</f>
        <v/>
      </c>
      <c r="R319" s="152">
        <f>O319-P319-Q319</f>
        <v/>
      </c>
      <c r="S319" s="152">
        <f>IF(V318&lt;=0.005,0,V318*(1+S$6))</f>
        <v/>
      </c>
      <c r="T319" s="152">
        <f>MIN(S319,S$7)</f>
        <v/>
      </c>
      <c r="U319" s="152">
        <f>MAX(0,MIN(S319-T319,AQ319-(E319+I319+M319+Q319)))</f>
        <v/>
      </c>
      <c r="V319" s="152">
        <f>S319-T319-U319</f>
        <v/>
      </c>
      <c r="W319" s="152">
        <f>IF(Z318&lt;=0.005,0,Z318*(1+W$6))</f>
        <v/>
      </c>
      <c r="X319" s="152">
        <f>MIN(W319,W$7)</f>
        <v/>
      </c>
      <c r="Y319" s="152">
        <f>MAX(0,MIN(W319-X319,AQ319-(E319+I319+M319+Q319+U319)))</f>
        <v/>
      </c>
      <c r="Z319" s="152">
        <f>W319-X319-Y319</f>
        <v/>
      </c>
      <c r="AA319" s="152">
        <f>IF(AD318&lt;=0.005,0,AD318*(1+AA$6))</f>
        <v/>
      </c>
      <c r="AB319" s="152">
        <f>MIN(AA319,AA$7)</f>
        <v/>
      </c>
      <c r="AC319" s="152">
        <f>MAX(0,MIN(AA319-AB319,AQ319-(E319+I319+M319+Q319+U319+Y319)))</f>
        <v/>
      </c>
      <c r="AD319" s="152">
        <f>AA319-AB319-AC319</f>
        <v/>
      </c>
      <c r="AE319" s="152">
        <f>IF(AH318&lt;=0.005,0,AH318*(1+AE$6))</f>
        <v/>
      </c>
      <c r="AF319" s="152">
        <f>MIN(AE319,AE$7)</f>
        <v/>
      </c>
      <c r="AG319" s="152">
        <f>MAX(0,MIN(AE319-AF319,AQ319-(E319+I319+M319+Q319+U319+Y319+AC319)))</f>
        <v/>
      </c>
      <c r="AH319" s="152">
        <f>AE319-AF319-AG319</f>
        <v/>
      </c>
      <c r="AI319" s="152">
        <f>IF(AL318&lt;=0.005,0,AL318*(1+AI$6))</f>
        <v/>
      </c>
      <c r="AJ319" s="152">
        <f>MIN(AI319,AI$7)</f>
        <v/>
      </c>
      <c r="AK319" s="152">
        <f>MAX(0,MIN(AI319-AJ319,AQ319-(E319+I319+M319+Q319+U319+Y319+AC319+AG319)))</f>
        <v/>
      </c>
      <c r="AL319" s="152">
        <f>AI319-AJ319-AK319</f>
        <v/>
      </c>
      <c r="AM319" s="152">
        <f>IF(AP318&lt;=0.005,0,AP318*(1+AM$6))</f>
        <v/>
      </c>
      <c r="AN319" s="152">
        <f>MIN(AM319,AM$7)</f>
        <v/>
      </c>
      <c r="AO319" s="152">
        <f>MAX(0,MIN(AM319-AN319,AQ319-(E319+I319+M319+Q319+U319+Y319+AC319+AG319+AK319)))</f>
        <v/>
      </c>
      <c r="AP319" s="152">
        <f>AM319-AN319-AO319</f>
        <v/>
      </c>
      <c r="AQ319" s="152">
        <f>'Debt Payoff'!$C$8-SUM(D319,H319,L319,P319,T319,X319,AB319,AF319,AJ319,AN319)</f>
        <v/>
      </c>
      <c r="AR319" s="152">
        <f>SUM(D319,H319,L319,P319,T319,X319,AB319,AF319,AJ319,AN319)+SUM(E319,I319,M319,Q319,U319,Y319,AC319,AG319,AK319,AO319)</f>
        <v/>
      </c>
      <c r="AS319" s="152">
        <f>SUM(F319,J319,N319,R319,V319,Z319,AD319,AH319,AL319,AP319)</f>
        <v/>
      </c>
      <c r="AT319" s="152">
        <f>IF(B319&gt;AS$6,NA(),B319)</f>
        <v/>
      </c>
      <c r="AU319" s="152">
        <f>IF(B319&gt;AS$6,NA(),AS319)</f>
        <v/>
      </c>
      <c r="AV319" s="152" t="n"/>
      <c r="AW319" s="152" t="n">
        <v>308</v>
      </c>
      <c r="AX319" s="152">
        <f>IF(BA318&lt;=0.005,0,BA318*(1+AX$6))</f>
        <v/>
      </c>
      <c r="AY319" s="152">
        <f>MIN(AX319,AX$7)</f>
        <v/>
      </c>
      <c r="AZ319" s="152">
        <f>MAX(0,MIN(AX319-AY319,CL319))</f>
        <v/>
      </c>
      <c r="BA319" s="152">
        <f>AX319-AY319-AZ319</f>
        <v/>
      </c>
      <c r="BB319" s="152">
        <f>IF(BE318&lt;=0.005,0,BE318*(1+BB$6))</f>
        <v/>
      </c>
      <c r="BC319" s="152">
        <f>MIN(BB319,BB$7)</f>
        <v/>
      </c>
      <c r="BD319" s="152">
        <f>MAX(0,MIN(BB319-BC319,CL319-(AZ319)))</f>
        <v/>
      </c>
      <c r="BE319" s="152">
        <f>BB319-BC319-BD319</f>
        <v/>
      </c>
      <c r="BF319" s="152">
        <f>IF(BI318&lt;=0.005,0,BI318*(1+BF$6))</f>
        <v/>
      </c>
      <c r="BG319" s="152">
        <f>MIN(BF319,BF$7)</f>
        <v/>
      </c>
      <c r="BH319" s="152">
        <f>MAX(0,MIN(BF319-BG319,CL319-(AZ319+BD319)))</f>
        <v/>
      </c>
      <c r="BI319" s="152">
        <f>BF319-BG319-BH319</f>
        <v/>
      </c>
      <c r="BJ319" s="152">
        <f>IF(BM318&lt;=0.005,0,BM318*(1+BJ$6))</f>
        <v/>
      </c>
      <c r="BK319" s="152">
        <f>MIN(BJ319,BJ$7)</f>
        <v/>
      </c>
      <c r="BL319" s="152">
        <f>MAX(0,MIN(BJ319-BK319,CL319-(AZ319+BD319+BH319)))</f>
        <v/>
      </c>
      <c r="BM319" s="152">
        <f>BJ319-BK319-BL319</f>
        <v/>
      </c>
      <c r="BN319" s="152">
        <f>IF(BQ318&lt;=0.005,0,BQ318*(1+BN$6))</f>
        <v/>
      </c>
      <c r="BO319" s="152">
        <f>MIN(BN319,BN$7)</f>
        <v/>
      </c>
      <c r="BP319" s="152">
        <f>MAX(0,MIN(BN319-BO319,CL319-(AZ319+BD319+BH319+BL319)))</f>
        <v/>
      </c>
      <c r="BQ319" s="152">
        <f>BN319-BO319-BP319</f>
        <v/>
      </c>
      <c r="BR319" s="152">
        <f>IF(BU318&lt;=0.005,0,BU318*(1+BR$6))</f>
        <v/>
      </c>
      <c r="BS319" s="152">
        <f>MIN(BR319,BR$7)</f>
        <v/>
      </c>
      <c r="BT319" s="152">
        <f>MAX(0,MIN(BR319-BS319,CL319-(AZ319+BD319+BH319+BL319+BP319)))</f>
        <v/>
      </c>
      <c r="BU319" s="152">
        <f>BR319-BS319-BT319</f>
        <v/>
      </c>
      <c r="BV319" s="152">
        <f>IF(BY318&lt;=0.005,0,BY318*(1+BV$6))</f>
        <v/>
      </c>
      <c r="BW319" s="152">
        <f>MIN(BV319,BV$7)</f>
        <v/>
      </c>
      <c r="BX319" s="152">
        <f>MAX(0,MIN(BV319-BW319,CL319-(AZ319+BD319+BH319+BL319+BP319+BT319)))</f>
        <v/>
      </c>
      <c r="BY319" s="152">
        <f>BV319-BW319-BX319</f>
        <v/>
      </c>
      <c r="BZ319" s="152">
        <f>IF(CC318&lt;=0.005,0,CC318*(1+BZ$6))</f>
        <v/>
      </c>
      <c r="CA319" s="152">
        <f>MIN(BZ319,BZ$7)</f>
        <v/>
      </c>
      <c r="CB319" s="152">
        <f>MAX(0,MIN(BZ319-CA319,CL319-(AZ319+BD319+BH319+BL319+BP319+BT319+BX319)))</f>
        <v/>
      </c>
      <c r="CC319" s="152">
        <f>BZ319-CA319-CB319</f>
        <v/>
      </c>
      <c r="CD319" s="152">
        <f>IF(CG318&lt;=0.005,0,CG318*(1+CD$6))</f>
        <v/>
      </c>
      <c r="CE319" s="152">
        <f>MIN(CD319,CD$7)</f>
        <v/>
      </c>
      <c r="CF319" s="152">
        <f>MAX(0,MIN(CD319-CE319,CL319-(AZ319+BD319+BH319+BL319+BP319+BT319+BX319+CB319)))</f>
        <v/>
      </c>
      <c r="CG319" s="152">
        <f>CD319-CE319-CF319</f>
        <v/>
      </c>
      <c r="CH319" s="152">
        <f>IF(CK318&lt;=0.005,0,CK318*(1+CH$6))</f>
        <v/>
      </c>
      <c r="CI319" s="152">
        <f>MIN(CH319,CH$7)</f>
        <v/>
      </c>
      <c r="CJ319" s="152">
        <f>MAX(0,MIN(CH319-CI319,CL319-(AZ319+BD319+BH319+BL319+BP319+BT319+BX319+CB319+CF319)))</f>
        <v/>
      </c>
      <c r="CK319" s="152">
        <f>CH319-CI319-CJ319</f>
        <v/>
      </c>
      <c r="CL319" s="152">
        <f>'Debt Payoff'!$C$8-SUM(AY319,BC319,BG319,BK319,BO319,BS319,BW319,CA319,CE319,CI319)</f>
        <v/>
      </c>
      <c r="CM319" s="152">
        <f>SUM(AY319,BC319,BG319,BK319,BO319,BS319,BW319,CA319,CE319,CI319)+SUM(AZ319,BD319,BH319,BL319,BP319,BT319,BX319,CB319,CF319,CJ319)</f>
        <v/>
      </c>
      <c r="CN319" s="152">
        <f>SUM(BA319,BE319,BI319,BM319,BQ319,BU319,BY319,CC319,CG319,CK319)</f>
        <v/>
      </c>
      <c r="CO319" s="152">
        <f>IF(AW319&gt;CN$6,NA(),AW319)</f>
        <v/>
      </c>
      <c r="CP319" s="152">
        <f>IF(AW319&gt;CN$6,NA(),CN319)</f>
        <v/>
      </c>
    </row>
    <row r="320">
      <c r="B320" s="152" t="n">
        <v>309</v>
      </c>
      <c r="C320" s="152">
        <f>IF(F319&lt;=0.005,0,F319*(1+C$6))</f>
        <v/>
      </c>
      <c r="D320" s="152">
        <f>MIN(C320,C$7)</f>
        <v/>
      </c>
      <c r="E320" s="152">
        <f>MAX(0,MIN(C320-D320,AQ320))</f>
        <v/>
      </c>
      <c r="F320" s="152">
        <f>C320-D320-E320</f>
        <v/>
      </c>
      <c r="G320" s="152">
        <f>IF(J319&lt;=0.005,0,J319*(1+G$6))</f>
        <v/>
      </c>
      <c r="H320" s="152">
        <f>MIN(G320,G$7)</f>
        <v/>
      </c>
      <c r="I320" s="152">
        <f>MAX(0,MIN(G320-H320,AQ320-(E320)))</f>
        <v/>
      </c>
      <c r="J320" s="152">
        <f>G320-H320-I320</f>
        <v/>
      </c>
      <c r="K320" s="152">
        <f>IF(N319&lt;=0.005,0,N319*(1+K$6))</f>
        <v/>
      </c>
      <c r="L320" s="152">
        <f>MIN(K320,K$7)</f>
        <v/>
      </c>
      <c r="M320" s="152">
        <f>MAX(0,MIN(K320-L320,AQ320-(E320+I320)))</f>
        <v/>
      </c>
      <c r="N320" s="152">
        <f>K320-L320-M320</f>
        <v/>
      </c>
      <c r="O320" s="152">
        <f>IF(R319&lt;=0.005,0,R319*(1+O$6))</f>
        <v/>
      </c>
      <c r="P320" s="152">
        <f>MIN(O320,O$7)</f>
        <v/>
      </c>
      <c r="Q320" s="152">
        <f>MAX(0,MIN(O320-P320,AQ320-(E320+I320+M320)))</f>
        <v/>
      </c>
      <c r="R320" s="152">
        <f>O320-P320-Q320</f>
        <v/>
      </c>
      <c r="S320" s="152">
        <f>IF(V319&lt;=0.005,0,V319*(1+S$6))</f>
        <v/>
      </c>
      <c r="T320" s="152">
        <f>MIN(S320,S$7)</f>
        <v/>
      </c>
      <c r="U320" s="152">
        <f>MAX(0,MIN(S320-T320,AQ320-(E320+I320+M320+Q320)))</f>
        <v/>
      </c>
      <c r="V320" s="152">
        <f>S320-T320-U320</f>
        <v/>
      </c>
      <c r="W320" s="152">
        <f>IF(Z319&lt;=0.005,0,Z319*(1+W$6))</f>
        <v/>
      </c>
      <c r="X320" s="152">
        <f>MIN(W320,W$7)</f>
        <v/>
      </c>
      <c r="Y320" s="152">
        <f>MAX(0,MIN(W320-X320,AQ320-(E320+I320+M320+Q320+U320)))</f>
        <v/>
      </c>
      <c r="Z320" s="152">
        <f>W320-X320-Y320</f>
        <v/>
      </c>
      <c r="AA320" s="152">
        <f>IF(AD319&lt;=0.005,0,AD319*(1+AA$6))</f>
        <v/>
      </c>
      <c r="AB320" s="152">
        <f>MIN(AA320,AA$7)</f>
        <v/>
      </c>
      <c r="AC320" s="152">
        <f>MAX(0,MIN(AA320-AB320,AQ320-(E320+I320+M320+Q320+U320+Y320)))</f>
        <v/>
      </c>
      <c r="AD320" s="152">
        <f>AA320-AB320-AC320</f>
        <v/>
      </c>
      <c r="AE320" s="152">
        <f>IF(AH319&lt;=0.005,0,AH319*(1+AE$6))</f>
        <v/>
      </c>
      <c r="AF320" s="152">
        <f>MIN(AE320,AE$7)</f>
        <v/>
      </c>
      <c r="AG320" s="152">
        <f>MAX(0,MIN(AE320-AF320,AQ320-(E320+I320+M320+Q320+U320+Y320+AC320)))</f>
        <v/>
      </c>
      <c r="AH320" s="152">
        <f>AE320-AF320-AG320</f>
        <v/>
      </c>
      <c r="AI320" s="152">
        <f>IF(AL319&lt;=0.005,0,AL319*(1+AI$6))</f>
        <v/>
      </c>
      <c r="AJ320" s="152">
        <f>MIN(AI320,AI$7)</f>
        <v/>
      </c>
      <c r="AK320" s="152">
        <f>MAX(0,MIN(AI320-AJ320,AQ320-(E320+I320+M320+Q320+U320+Y320+AC320+AG320)))</f>
        <v/>
      </c>
      <c r="AL320" s="152">
        <f>AI320-AJ320-AK320</f>
        <v/>
      </c>
      <c r="AM320" s="152">
        <f>IF(AP319&lt;=0.005,0,AP319*(1+AM$6))</f>
        <v/>
      </c>
      <c r="AN320" s="152">
        <f>MIN(AM320,AM$7)</f>
        <v/>
      </c>
      <c r="AO320" s="152">
        <f>MAX(0,MIN(AM320-AN320,AQ320-(E320+I320+M320+Q320+U320+Y320+AC320+AG320+AK320)))</f>
        <v/>
      </c>
      <c r="AP320" s="152">
        <f>AM320-AN320-AO320</f>
        <v/>
      </c>
      <c r="AQ320" s="152">
        <f>'Debt Payoff'!$C$8-SUM(D320,H320,L320,P320,T320,X320,AB320,AF320,AJ320,AN320)</f>
        <v/>
      </c>
      <c r="AR320" s="152">
        <f>SUM(D320,H320,L320,P320,T320,X320,AB320,AF320,AJ320,AN320)+SUM(E320,I320,M320,Q320,U320,Y320,AC320,AG320,AK320,AO320)</f>
        <v/>
      </c>
      <c r="AS320" s="152">
        <f>SUM(F320,J320,N320,R320,V320,Z320,AD320,AH320,AL320,AP320)</f>
        <v/>
      </c>
      <c r="AT320" s="152">
        <f>IF(B320&gt;AS$6,NA(),B320)</f>
        <v/>
      </c>
      <c r="AU320" s="152">
        <f>IF(B320&gt;AS$6,NA(),AS320)</f>
        <v/>
      </c>
      <c r="AV320" s="152" t="n"/>
      <c r="AW320" s="152" t="n">
        <v>309</v>
      </c>
      <c r="AX320" s="152">
        <f>IF(BA319&lt;=0.005,0,BA319*(1+AX$6))</f>
        <v/>
      </c>
      <c r="AY320" s="152">
        <f>MIN(AX320,AX$7)</f>
        <v/>
      </c>
      <c r="AZ320" s="152">
        <f>MAX(0,MIN(AX320-AY320,CL320))</f>
        <v/>
      </c>
      <c r="BA320" s="152">
        <f>AX320-AY320-AZ320</f>
        <v/>
      </c>
      <c r="BB320" s="152">
        <f>IF(BE319&lt;=0.005,0,BE319*(1+BB$6))</f>
        <v/>
      </c>
      <c r="BC320" s="152">
        <f>MIN(BB320,BB$7)</f>
        <v/>
      </c>
      <c r="BD320" s="152">
        <f>MAX(0,MIN(BB320-BC320,CL320-(AZ320)))</f>
        <v/>
      </c>
      <c r="BE320" s="152">
        <f>BB320-BC320-BD320</f>
        <v/>
      </c>
      <c r="BF320" s="152">
        <f>IF(BI319&lt;=0.005,0,BI319*(1+BF$6))</f>
        <v/>
      </c>
      <c r="BG320" s="152">
        <f>MIN(BF320,BF$7)</f>
        <v/>
      </c>
      <c r="BH320" s="152">
        <f>MAX(0,MIN(BF320-BG320,CL320-(AZ320+BD320)))</f>
        <v/>
      </c>
      <c r="BI320" s="152">
        <f>BF320-BG320-BH320</f>
        <v/>
      </c>
      <c r="BJ320" s="152">
        <f>IF(BM319&lt;=0.005,0,BM319*(1+BJ$6))</f>
        <v/>
      </c>
      <c r="BK320" s="152">
        <f>MIN(BJ320,BJ$7)</f>
        <v/>
      </c>
      <c r="BL320" s="152">
        <f>MAX(0,MIN(BJ320-BK320,CL320-(AZ320+BD320+BH320)))</f>
        <v/>
      </c>
      <c r="BM320" s="152">
        <f>BJ320-BK320-BL320</f>
        <v/>
      </c>
      <c r="BN320" s="152">
        <f>IF(BQ319&lt;=0.005,0,BQ319*(1+BN$6))</f>
        <v/>
      </c>
      <c r="BO320" s="152">
        <f>MIN(BN320,BN$7)</f>
        <v/>
      </c>
      <c r="BP320" s="152">
        <f>MAX(0,MIN(BN320-BO320,CL320-(AZ320+BD320+BH320+BL320)))</f>
        <v/>
      </c>
      <c r="BQ320" s="152">
        <f>BN320-BO320-BP320</f>
        <v/>
      </c>
      <c r="BR320" s="152">
        <f>IF(BU319&lt;=0.005,0,BU319*(1+BR$6))</f>
        <v/>
      </c>
      <c r="BS320" s="152">
        <f>MIN(BR320,BR$7)</f>
        <v/>
      </c>
      <c r="BT320" s="152">
        <f>MAX(0,MIN(BR320-BS320,CL320-(AZ320+BD320+BH320+BL320+BP320)))</f>
        <v/>
      </c>
      <c r="BU320" s="152">
        <f>BR320-BS320-BT320</f>
        <v/>
      </c>
      <c r="BV320" s="152">
        <f>IF(BY319&lt;=0.005,0,BY319*(1+BV$6))</f>
        <v/>
      </c>
      <c r="BW320" s="152">
        <f>MIN(BV320,BV$7)</f>
        <v/>
      </c>
      <c r="BX320" s="152">
        <f>MAX(0,MIN(BV320-BW320,CL320-(AZ320+BD320+BH320+BL320+BP320+BT320)))</f>
        <v/>
      </c>
      <c r="BY320" s="152">
        <f>BV320-BW320-BX320</f>
        <v/>
      </c>
      <c r="BZ320" s="152">
        <f>IF(CC319&lt;=0.005,0,CC319*(1+BZ$6))</f>
        <v/>
      </c>
      <c r="CA320" s="152">
        <f>MIN(BZ320,BZ$7)</f>
        <v/>
      </c>
      <c r="CB320" s="152">
        <f>MAX(0,MIN(BZ320-CA320,CL320-(AZ320+BD320+BH320+BL320+BP320+BT320+BX320)))</f>
        <v/>
      </c>
      <c r="CC320" s="152">
        <f>BZ320-CA320-CB320</f>
        <v/>
      </c>
      <c r="CD320" s="152">
        <f>IF(CG319&lt;=0.005,0,CG319*(1+CD$6))</f>
        <v/>
      </c>
      <c r="CE320" s="152">
        <f>MIN(CD320,CD$7)</f>
        <v/>
      </c>
      <c r="CF320" s="152">
        <f>MAX(0,MIN(CD320-CE320,CL320-(AZ320+BD320+BH320+BL320+BP320+BT320+BX320+CB320)))</f>
        <v/>
      </c>
      <c r="CG320" s="152">
        <f>CD320-CE320-CF320</f>
        <v/>
      </c>
      <c r="CH320" s="152">
        <f>IF(CK319&lt;=0.005,0,CK319*(1+CH$6))</f>
        <v/>
      </c>
      <c r="CI320" s="152">
        <f>MIN(CH320,CH$7)</f>
        <v/>
      </c>
      <c r="CJ320" s="152">
        <f>MAX(0,MIN(CH320-CI320,CL320-(AZ320+BD320+BH320+BL320+BP320+BT320+BX320+CB320+CF320)))</f>
        <v/>
      </c>
      <c r="CK320" s="152">
        <f>CH320-CI320-CJ320</f>
        <v/>
      </c>
      <c r="CL320" s="152">
        <f>'Debt Payoff'!$C$8-SUM(AY320,BC320,BG320,BK320,BO320,BS320,BW320,CA320,CE320,CI320)</f>
        <v/>
      </c>
      <c r="CM320" s="152">
        <f>SUM(AY320,BC320,BG320,BK320,BO320,BS320,BW320,CA320,CE320,CI320)+SUM(AZ320,BD320,BH320,BL320,BP320,BT320,BX320,CB320,CF320,CJ320)</f>
        <v/>
      </c>
      <c r="CN320" s="152">
        <f>SUM(BA320,BE320,BI320,BM320,BQ320,BU320,BY320,CC320,CG320,CK320)</f>
        <v/>
      </c>
      <c r="CO320" s="152">
        <f>IF(AW320&gt;CN$6,NA(),AW320)</f>
        <v/>
      </c>
      <c r="CP320" s="152">
        <f>IF(AW320&gt;CN$6,NA(),CN320)</f>
        <v/>
      </c>
    </row>
    <row r="321">
      <c r="B321" s="152" t="n">
        <v>310</v>
      </c>
      <c r="C321" s="152">
        <f>IF(F320&lt;=0.005,0,F320*(1+C$6))</f>
        <v/>
      </c>
      <c r="D321" s="152">
        <f>MIN(C321,C$7)</f>
        <v/>
      </c>
      <c r="E321" s="152">
        <f>MAX(0,MIN(C321-D321,AQ321))</f>
        <v/>
      </c>
      <c r="F321" s="152">
        <f>C321-D321-E321</f>
        <v/>
      </c>
      <c r="G321" s="152">
        <f>IF(J320&lt;=0.005,0,J320*(1+G$6))</f>
        <v/>
      </c>
      <c r="H321" s="152">
        <f>MIN(G321,G$7)</f>
        <v/>
      </c>
      <c r="I321" s="152">
        <f>MAX(0,MIN(G321-H321,AQ321-(E321)))</f>
        <v/>
      </c>
      <c r="J321" s="152">
        <f>G321-H321-I321</f>
        <v/>
      </c>
      <c r="K321" s="152">
        <f>IF(N320&lt;=0.005,0,N320*(1+K$6))</f>
        <v/>
      </c>
      <c r="L321" s="152">
        <f>MIN(K321,K$7)</f>
        <v/>
      </c>
      <c r="M321" s="152">
        <f>MAX(0,MIN(K321-L321,AQ321-(E321+I321)))</f>
        <v/>
      </c>
      <c r="N321" s="152">
        <f>K321-L321-M321</f>
        <v/>
      </c>
      <c r="O321" s="152">
        <f>IF(R320&lt;=0.005,0,R320*(1+O$6))</f>
        <v/>
      </c>
      <c r="P321" s="152">
        <f>MIN(O321,O$7)</f>
        <v/>
      </c>
      <c r="Q321" s="152">
        <f>MAX(0,MIN(O321-P321,AQ321-(E321+I321+M321)))</f>
        <v/>
      </c>
      <c r="R321" s="152">
        <f>O321-P321-Q321</f>
        <v/>
      </c>
      <c r="S321" s="152">
        <f>IF(V320&lt;=0.005,0,V320*(1+S$6))</f>
        <v/>
      </c>
      <c r="T321" s="152">
        <f>MIN(S321,S$7)</f>
        <v/>
      </c>
      <c r="U321" s="152">
        <f>MAX(0,MIN(S321-T321,AQ321-(E321+I321+M321+Q321)))</f>
        <v/>
      </c>
      <c r="V321" s="152">
        <f>S321-T321-U321</f>
        <v/>
      </c>
      <c r="W321" s="152">
        <f>IF(Z320&lt;=0.005,0,Z320*(1+W$6))</f>
        <v/>
      </c>
      <c r="X321" s="152">
        <f>MIN(W321,W$7)</f>
        <v/>
      </c>
      <c r="Y321" s="152">
        <f>MAX(0,MIN(W321-X321,AQ321-(E321+I321+M321+Q321+U321)))</f>
        <v/>
      </c>
      <c r="Z321" s="152">
        <f>W321-X321-Y321</f>
        <v/>
      </c>
      <c r="AA321" s="152">
        <f>IF(AD320&lt;=0.005,0,AD320*(1+AA$6))</f>
        <v/>
      </c>
      <c r="AB321" s="152">
        <f>MIN(AA321,AA$7)</f>
        <v/>
      </c>
      <c r="AC321" s="152">
        <f>MAX(0,MIN(AA321-AB321,AQ321-(E321+I321+M321+Q321+U321+Y321)))</f>
        <v/>
      </c>
      <c r="AD321" s="152">
        <f>AA321-AB321-AC321</f>
        <v/>
      </c>
      <c r="AE321" s="152">
        <f>IF(AH320&lt;=0.005,0,AH320*(1+AE$6))</f>
        <v/>
      </c>
      <c r="AF321" s="152">
        <f>MIN(AE321,AE$7)</f>
        <v/>
      </c>
      <c r="AG321" s="152">
        <f>MAX(0,MIN(AE321-AF321,AQ321-(E321+I321+M321+Q321+U321+Y321+AC321)))</f>
        <v/>
      </c>
      <c r="AH321" s="152">
        <f>AE321-AF321-AG321</f>
        <v/>
      </c>
      <c r="AI321" s="152">
        <f>IF(AL320&lt;=0.005,0,AL320*(1+AI$6))</f>
        <v/>
      </c>
      <c r="AJ321" s="152">
        <f>MIN(AI321,AI$7)</f>
        <v/>
      </c>
      <c r="AK321" s="152">
        <f>MAX(0,MIN(AI321-AJ321,AQ321-(E321+I321+M321+Q321+U321+Y321+AC321+AG321)))</f>
        <v/>
      </c>
      <c r="AL321" s="152">
        <f>AI321-AJ321-AK321</f>
        <v/>
      </c>
      <c r="AM321" s="152">
        <f>IF(AP320&lt;=0.005,0,AP320*(1+AM$6))</f>
        <v/>
      </c>
      <c r="AN321" s="152">
        <f>MIN(AM321,AM$7)</f>
        <v/>
      </c>
      <c r="AO321" s="152">
        <f>MAX(0,MIN(AM321-AN321,AQ321-(E321+I321+M321+Q321+U321+Y321+AC321+AG321+AK321)))</f>
        <v/>
      </c>
      <c r="AP321" s="152">
        <f>AM321-AN321-AO321</f>
        <v/>
      </c>
      <c r="AQ321" s="152">
        <f>'Debt Payoff'!$C$8-SUM(D321,H321,L321,P321,T321,X321,AB321,AF321,AJ321,AN321)</f>
        <v/>
      </c>
      <c r="AR321" s="152">
        <f>SUM(D321,H321,L321,P321,T321,X321,AB321,AF321,AJ321,AN321)+SUM(E321,I321,M321,Q321,U321,Y321,AC321,AG321,AK321,AO321)</f>
        <v/>
      </c>
      <c r="AS321" s="152">
        <f>SUM(F321,J321,N321,R321,V321,Z321,AD321,AH321,AL321,AP321)</f>
        <v/>
      </c>
      <c r="AT321" s="152">
        <f>IF(B321&gt;AS$6,NA(),B321)</f>
        <v/>
      </c>
      <c r="AU321" s="152">
        <f>IF(B321&gt;AS$6,NA(),AS321)</f>
        <v/>
      </c>
      <c r="AV321" s="152" t="n"/>
      <c r="AW321" s="152" t="n">
        <v>310</v>
      </c>
      <c r="AX321" s="152">
        <f>IF(BA320&lt;=0.005,0,BA320*(1+AX$6))</f>
        <v/>
      </c>
      <c r="AY321" s="152">
        <f>MIN(AX321,AX$7)</f>
        <v/>
      </c>
      <c r="AZ321" s="152">
        <f>MAX(0,MIN(AX321-AY321,CL321))</f>
        <v/>
      </c>
      <c r="BA321" s="152">
        <f>AX321-AY321-AZ321</f>
        <v/>
      </c>
      <c r="BB321" s="152">
        <f>IF(BE320&lt;=0.005,0,BE320*(1+BB$6))</f>
        <v/>
      </c>
      <c r="BC321" s="152">
        <f>MIN(BB321,BB$7)</f>
        <v/>
      </c>
      <c r="BD321" s="152">
        <f>MAX(0,MIN(BB321-BC321,CL321-(AZ321)))</f>
        <v/>
      </c>
      <c r="BE321" s="152">
        <f>BB321-BC321-BD321</f>
        <v/>
      </c>
      <c r="BF321" s="152">
        <f>IF(BI320&lt;=0.005,0,BI320*(1+BF$6))</f>
        <v/>
      </c>
      <c r="BG321" s="152">
        <f>MIN(BF321,BF$7)</f>
        <v/>
      </c>
      <c r="BH321" s="152">
        <f>MAX(0,MIN(BF321-BG321,CL321-(AZ321+BD321)))</f>
        <v/>
      </c>
      <c r="BI321" s="152">
        <f>BF321-BG321-BH321</f>
        <v/>
      </c>
      <c r="BJ321" s="152">
        <f>IF(BM320&lt;=0.005,0,BM320*(1+BJ$6))</f>
        <v/>
      </c>
      <c r="BK321" s="152">
        <f>MIN(BJ321,BJ$7)</f>
        <v/>
      </c>
      <c r="BL321" s="152">
        <f>MAX(0,MIN(BJ321-BK321,CL321-(AZ321+BD321+BH321)))</f>
        <v/>
      </c>
      <c r="BM321" s="152">
        <f>BJ321-BK321-BL321</f>
        <v/>
      </c>
      <c r="BN321" s="152">
        <f>IF(BQ320&lt;=0.005,0,BQ320*(1+BN$6))</f>
        <v/>
      </c>
      <c r="BO321" s="152">
        <f>MIN(BN321,BN$7)</f>
        <v/>
      </c>
      <c r="BP321" s="152">
        <f>MAX(0,MIN(BN321-BO321,CL321-(AZ321+BD321+BH321+BL321)))</f>
        <v/>
      </c>
      <c r="BQ321" s="152">
        <f>BN321-BO321-BP321</f>
        <v/>
      </c>
      <c r="BR321" s="152">
        <f>IF(BU320&lt;=0.005,0,BU320*(1+BR$6))</f>
        <v/>
      </c>
      <c r="BS321" s="152">
        <f>MIN(BR321,BR$7)</f>
        <v/>
      </c>
      <c r="BT321" s="152">
        <f>MAX(0,MIN(BR321-BS321,CL321-(AZ321+BD321+BH321+BL321+BP321)))</f>
        <v/>
      </c>
      <c r="BU321" s="152">
        <f>BR321-BS321-BT321</f>
        <v/>
      </c>
      <c r="BV321" s="152">
        <f>IF(BY320&lt;=0.005,0,BY320*(1+BV$6))</f>
        <v/>
      </c>
      <c r="BW321" s="152">
        <f>MIN(BV321,BV$7)</f>
        <v/>
      </c>
      <c r="BX321" s="152">
        <f>MAX(0,MIN(BV321-BW321,CL321-(AZ321+BD321+BH321+BL321+BP321+BT321)))</f>
        <v/>
      </c>
      <c r="BY321" s="152">
        <f>BV321-BW321-BX321</f>
        <v/>
      </c>
      <c r="BZ321" s="152">
        <f>IF(CC320&lt;=0.005,0,CC320*(1+BZ$6))</f>
        <v/>
      </c>
      <c r="CA321" s="152">
        <f>MIN(BZ321,BZ$7)</f>
        <v/>
      </c>
      <c r="CB321" s="152">
        <f>MAX(0,MIN(BZ321-CA321,CL321-(AZ321+BD321+BH321+BL321+BP321+BT321+BX321)))</f>
        <v/>
      </c>
      <c r="CC321" s="152">
        <f>BZ321-CA321-CB321</f>
        <v/>
      </c>
      <c r="CD321" s="152">
        <f>IF(CG320&lt;=0.005,0,CG320*(1+CD$6))</f>
        <v/>
      </c>
      <c r="CE321" s="152">
        <f>MIN(CD321,CD$7)</f>
        <v/>
      </c>
      <c r="CF321" s="152">
        <f>MAX(0,MIN(CD321-CE321,CL321-(AZ321+BD321+BH321+BL321+BP321+BT321+BX321+CB321)))</f>
        <v/>
      </c>
      <c r="CG321" s="152">
        <f>CD321-CE321-CF321</f>
        <v/>
      </c>
      <c r="CH321" s="152">
        <f>IF(CK320&lt;=0.005,0,CK320*(1+CH$6))</f>
        <v/>
      </c>
      <c r="CI321" s="152">
        <f>MIN(CH321,CH$7)</f>
        <v/>
      </c>
      <c r="CJ321" s="152">
        <f>MAX(0,MIN(CH321-CI321,CL321-(AZ321+BD321+BH321+BL321+BP321+BT321+BX321+CB321+CF321)))</f>
        <v/>
      </c>
      <c r="CK321" s="152">
        <f>CH321-CI321-CJ321</f>
        <v/>
      </c>
      <c r="CL321" s="152">
        <f>'Debt Payoff'!$C$8-SUM(AY321,BC321,BG321,BK321,BO321,BS321,BW321,CA321,CE321,CI321)</f>
        <v/>
      </c>
      <c r="CM321" s="152">
        <f>SUM(AY321,BC321,BG321,BK321,BO321,BS321,BW321,CA321,CE321,CI321)+SUM(AZ321,BD321,BH321,BL321,BP321,BT321,BX321,CB321,CF321,CJ321)</f>
        <v/>
      </c>
      <c r="CN321" s="152">
        <f>SUM(BA321,BE321,BI321,BM321,BQ321,BU321,BY321,CC321,CG321,CK321)</f>
        <v/>
      </c>
      <c r="CO321" s="152">
        <f>IF(AW321&gt;CN$6,NA(),AW321)</f>
        <v/>
      </c>
      <c r="CP321" s="152">
        <f>IF(AW321&gt;CN$6,NA(),CN321)</f>
        <v/>
      </c>
    </row>
    <row r="322">
      <c r="B322" s="152" t="n">
        <v>311</v>
      </c>
      <c r="C322" s="152">
        <f>IF(F321&lt;=0.005,0,F321*(1+C$6))</f>
        <v/>
      </c>
      <c r="D322" s="152">
        <f>MIN(C322,C$7)</f>
        <v/>
      </c>
      <c r="E322" s="152">
        <f>MAX(0,MIN(C322-D322,AQ322))</f>
        <v/>
      </c>
      <c r="F322" s="152">
        <f>C322-D322-E322</f>
        <v/>
      </c>
      <c r="G322" s="152">
        <f>IF(J321&lt;=0.005,0,J321*(1+G$6))</f>
        <v/>
      </c>
      <c r="H322" s="152">
        <f>MIN(G322,G$7)</f>
        <v/>
      </c>
      <c r="I322" s="152">
        <f>MAX(0,MIN(G322-H322,AQ322-(E322)))</f>
        <v/>
      </c>
      <c r="J322" s="152">
        <f>G322-H322-I322</f>
        <v/>
      </c>
      <c r="K322" s="152">
        <f>IF(N321&lt;=0.005,0,N321*(1+K$6))</f>
        <v/>
      </c>
      <c r="L322" s="152">
        <f>MIN(K322,K$7)</f>
        <v/>
      </c>
      <c r="M322" s="152">
        <f>MAX(0,MIN(K322-L322,AQ322-(E322+I322)))</f>
        <v/>
      </c>
      <c r="N322" s="152">
        <f>K322-L322-M322</f>
        <v/>
      </c>
      <c r="O322" s="152">
        <f>IF(R321&lt;=0.005,0,R321*(1+O$6))</f>
        <v/>
      </c>
      <c r="P322" s="152">
        <f>MIN(O322,O$7)</f>
        <v/>
      </c>
      <c r="Q322" s="152">
        <f>MAX(0,MIN(O322-P322,AQ322-(E322+I322+M322)))</f>
        <v/>
      </c>
      <c r="R322" s="152">
        <f>O322-P322-Q322</f>
        <v/>
      </c>
      <c r="S322" s="152">
        <f>IF(V321&lt;=0.005,0,V321*(1+S$6))</f>
        <v/>
      </c>
      <c r="T322" s="152">
        <f>MIN(S322,S$7)</f>
        <v/>
      </c>
      <c r="U322" s="152">
        <f>MAX(0,MIN(S322-T322,AQ322-(E322+I322+M322+Q322)))</f>
        <v/>
      </c>
      <c r="V322" s="152">
        <f>S322-T322-U322</f>
        <v/>
      </c>
      <c r="W322" s="152">
        <f>IF(Z321&lt;=0.005,0,Z321*(1+W$6))</f>
        <v/>
      </c>
      <c r="X322" s="152">
        <f>MIN(W322,W$7)</f>
        <v/>
      </c>
      <c r="Y322" s="152">
        <f>MAX(0,MIN(W322-X322,AQ322-(E322+I322+M322+Q322+U322)))</f>
        <v/>
      </c>
      <c r="Z322" s="152">
        <f>W322-X322-Y322</f>
        <v/>
      </c>
      <c r="AA322" s="152">
        <f>IF(AD321&lt;=0.005,0,AD321*(1+AA$6))</f>
        <v/>
      </c>
      <c r="AB322" s="152">
        <f>MIN(AA322,AA$7)</f>
        <v/>
      </c>
      <c r="AC322" s="152">
        <f>MAX(0,MIN(AA322-AB322,AQ322-(E322+I322+M322+Q322+U322+Y322)))</f>
        <v/>
      </c>
      <c r="AD322" s="152">
        <f>AA322-AB322-AC322</f>
        <v/>
      </c>
      <c r="AE322" s="152">
        <f>IF(AH321&lt;=0.005,0,AH321*(1+AE$6))</f>
        <v/>
      </c>
      <c r="AF322" s="152">
        <f>MIN(AE322,AE$7)</f>
        <v/>
      </c>
      <c r="AG322" s="152">
        <f>MAX(0,MIN(AE322-AF322,AQ322-(E322+I322+M322+Q322+U322+Y322+AC322)))</f>
        <v/>
      </c>
      <c r="AH322" s="152">
        <f>AE322-AF322-AG322</f>
        <v/>
      </c>
      <c r="AI322" s="152">
        <f>IF(AL321&lt;=0.005,0,AL321*(1+AI$6))</f>
        <v/>
      </c>
      <c r="AJ322" s="152">
        <f>MIN(AI322,AI$7)</f>
        <v/>
      </c>
      <c r="AK322" s="152">
        <f>MAX(0,MIN(AI322-AJ322,AQ322-(E322+I322+M322+Q322+U322+Y322+AC322+AG322)))</f>
        <v/>
      </c>
      <c r="AL322" s="152">
        <f>AI322-AJ322-AK322</f>
        <v/>
      </c>
      <c r="AM322" s="152">
        <f>IF(AP321&lt;=0.005,0,AP321*(1+AM$6))</f>
        <v/>
      </c>
      <c r="AN322" s="152">
        <f>MIN(AM322,AM$7)</f>
        <v/>
      </c>
      <c r="AO322" s="152">
        <f>MAX(0,MIN(AM322-AN322,AQ322-(E322+I322+M322+Q322+U322+Y322+AC322+AG322+AK322)))</f>
        <v/>
      </c>
      <c r="AP322" s="152">
        <f>AM322-AN322-AO322</f>
        <v/>
      </c>
      <c r="AQ322" s="152">
        <f>'Debt Payoff'!$C$8-SUM(D322,H322,L322,P322,T322,X322,AB322,AF322,AJ322,AN322)</f>
        <v/>
      </c>
      <c r="AR322" s="152">
        <f>SUM(D322,H322,L322,P322,T322,X322,AB322,AF322,AJ322,AN322)+SUM(E322,I322,M322,Q322,U322,Y322,AC322,AG322,AK322,AO322)</f>
        <v/>
      </c>
      <c r="AS322" s="152">
        <f>SUM(F322,J322,N322,R322,V322,Z322,AD322,AH322,AL322,AP322)</f>
        <v/>
      </c>
      <c r="AT322" s="152">
        <f>IF(B322&gt;AS$6,NA(),B322)</f>
        <v/>
      </c>
      <c r="AU322" s="152">
        <f>IF(B322&gt;AS$6,NA(),AS322)</f>
        <v/>
      </c>
      <c r="AV322" s="152" t="n"/>
      <c r="AW322" s="152" t="n">
        <v>311</v>
      </c>
      <c r="AX322" s="152">
        <f>IF(BA321&lt;=0.005,0,BA321*(1+AX$6))</f>
        <v/>
      </c>
      <c r="AY322" s="152">
        <f>MIN(AX322,AX$7)</f>
        <v/>
      </c>
      <c r="AZ322" s="152">
        <f>MAX(0,MIN(AX322-AY322,CL322))</f>
        <v/>
      </c>
      <c r="BA322" s="152">
        <f>AX322-AY322-AZ322</f>
        <v/>
      </c>
      <c r="BB322" s="152">
        <f>IF(BE321&lt;=0.005,0,BE321*(1+BB$6))</f>
        <v/>
      </c>
      <c r="BC322" s="152">
        <f>MIN(BB322,BB$7)</f>
        <v/>
      </c>
      <c r="BD322" s="152">
        <f>MAX(0,MIN(BB322-BC322,CL322-(AZ322)))</f>
        <v/>
      </c>
      <c r="BE322" s="152">
        <f>BB322-BC322-BD322</f>
        <v/>
      </c>
      <c r="BF322" s="152">
        <f>IF(BI321&lt;=0.005,0,BI321*(1+BF$6))</f>
        <v/>
      </c>
      <c r="BG322" s="152">
        <f>MIN(BF322,BF$7)</f>
        <v/>
      </c>
      <c r="BH322" s="152">
        <f>MAX(0,MIN(BF322-BG322,CL322-(AZ322+BD322)))</f>
        <v/>
      </c>
      <c r="BI322" s="152">
        <f>BF322-BG322-BH322</f>
        <v/>
      </c>
      <c r="BJ322" s="152">
        <f>IF(BM321&lt;=0.005,0,BM321*(1+BJ$6))</f>
        <v/>
      </c>
      <c r="BK322" s="152">
        <f>MIN(BJ322,BJ$7)</f>
        <v/>
      </c>
      <c r="BL322" s="152">
        <f>MAX(0,MIN(BJ322-BK322,CL322-(AZ322+BD322+BH322)))</f>
        <v/>
      </c>
      <c r="BM322" s="152">
        <f>BJ322-BK322-BL322</f>
        <v/>
      </c>
      <c r="BN322" s="152">
        <f>IF(BQ321&lt;=0.005,0,BQ321*(1+BN$6))</f>
        <v/>
      </c>
      <c r="BO322" s="152">
        <f>MIN(BN322,BN$7)</f>
        <v/>
      </c>
      <c r="BP322" s="152">
        <f>MAX(0,MIN(BN322-BO322,CL322-(AZ322+BD322+BH322+BL322)))</f>
        <v/>
      </c>
      <c r="BQ322" s="152">
        <f>BN322-BO322-BP322</f>
        <v/>
      </c>
      <c r="BR322" s="152">
        <f>IF(BU321&lt;=0.005,0,BU321*(1+BR$6))</f>
        <v/>
      </c>
      <c r="BS322" s="152">
        <f>MIN(BR322,BR$7)</f>
        <v/>
      </c>
      <c r="BT322" s="152">
        <f>MAX(0,MIN(BR322-BS322,CL322-(AZ322+BD322+BH322+BL322+BP322)))</f>
        <v/>
      </c>
      <c r="BU322" s="152">
        <f>BR322-BS322-BT322</f>
        <v/>
      </c>
      <c r="BV322" s="152">
        <f>IF(BY321&lt;=0.005,0,BY321*(1+BV$6))</f>
        <v/>
      </c>
      <c r="BW322" s="152">
        <f>MIN(BV322,BV$7)</f>
        <v/>
      </c>
      <c r="BX322" s="152">
        <f>MAX(0,MIN(BV322-BW322,CL322-(AZ322+BD322+BH322+BL322+BP322+BT322)))</f>
        <v/>
      </c>
      <c r="BY322" s="152">
        <f>BV322-BW322-BX322</f>
        <v/>
      </c>
      <c r="BZ322" s="152">
        <f>IF(CC321&lt;=0.005,0,CC321*(1+BZ$6))</f>
        <v/>
      </c>
      <c r="CA322" s="152">
        <f>MIN(BZ322,BZ$7)</f>
        <v/>
      </c>
      <c r="CB322" s="152">
        <f>MAX(0,MIN(BZ322-CA322,CL322-(AZ322+BD322+BH322+BL322+BP322+BT322+BX322)))</f>
        <v/>
      </c>
      <c r="CC322" s="152">
        <f>BZ322-CA322-CB322</f>
        <v/>
      </c>
      <c r="CD322" s="152">
        <f>IF(CG321&lt;=0.005,0,CG321*(1+CD$6))</f>
        <v/>
      </c>
      <c r="CE322" s="152">
        <f>MIN(CD322,CD$7)</f>
        <v/>
      </c>
      <c r="CF322" s="152">
        <f>MAX(0,MIN(CD322-CE322,CL322-(AZ322+BD322+BH322+BL322+BP322+BT322+BX322+CB322)))</f>
        <v/>
      </c>
      <c r="CG322" s="152">
        <f>CD322-CE322-CF322</f>
        <v/>
      </c>
      <c r="CH322" s="152">
        <f>IF(CK321&lt;=0.005,0,CK321*(1+CH$6))</f>
        <v/>
      </c>
      <c r="CI322" s="152">
        <f>MIN(CH322,CH$7)</f>
        <v/>
      </c>
      <c r="CJ322" s="152">
        <f>MAX(0,MIN(CH322-CI322,CL322-(AZ322+BD322+BH322+BL322+BP322+BT322+BX322+CB322+CF322)))</f>
        <v/>
      </c>
      <c r="CK322" s="152">
        <f>CH322-CI322-CJ322</f>
        <v/>
      </c>
      <c r="CL322" s="152">
        <f>'Debt Payoff'!$C$8-SUM(AY322,BC322,BG322,BK322,BO322,BS322,BW322,CA322,CE322,CI322)</f>
        <v/>
      </c>
      <c r="CM322" s="152">
        <f>SUM(AY322,BC322,BG322,BK322,BO322,BS322,BW322,CA322,CE322,CI322)+SUM(AZ322,BD322,BH322,BL322,BP322,BT322,BX322,CB322,CF322,CJ322)</f>
        <v/>
      </c>
      <c r="CN322" s="152">
        <f>SUM(BA322,BE322,BI322,BM322,BQ322,BU322,BY322,CC322,CG322,CK322)</f>
        <v/>
      </c>
      <c r="CO322" s="152">
        <f>IF(AW322&gt;CN$6,NA(),AW322)</f>
        <v/>
      </c>
      <c r="CP322" s="152">
        <f>IF(AW322&gt;CN$6,NA(),CN322)</f>
        <v/>
      </c>
    </row>
    <row r="323">
      <c r="B323" s="152" t="n">
        <v>312</v>
      </c>
      <c r="C323" s="152">
        <f>IF(F322&lt;=0.005,0,F322*(1+C$6))</f>
        <v/>
      </c>
      <c r="D323" s="152">
        <f>MIN(C323,C$7)</f>
        <v/>
      </c>
      <c r="E323" s="152">
        <f>MAX(0,MIN(C323-D323,AQ323))</f>
        <v/>
      </c>
      <c r="F323" s="152">
        <f>C323-D323-E323</f>
        <v/>
      </c>
      <c r="G323" s="152">
        <f>IF(J322&lt;=0.005,0,J322*(1+G$6))</f>
        <v/>
      </c>
      <c r="H323" s="152">
        <f>MIN(G323,G$7)</f>
        <v/>
      </c>
      <c r="I323" s="152">
        <f>MAX(0,MIN(G323-H323,AQ323-(E323)))</f>
        <v/>
      </c>
      <c r="J323" s="152">
        <f>G323-H323-I323</f>
        <v/>
      </c>
      <c r="K323" s="152">
        <f>IF(N322&lt;=0.005,0,N322*(1+K$6))</f>
        <v/>
      </c>
      <c r="L323" s="152">
        <f>MIN(K323,K$7)</f>
        <v/>
      </c>
      <c r="M323" s="152">
        <f>MAX(0,MIN(K323-L323,AQ323-(E323+I323)))</f>
        <v/>
      </c>
      <c r="N323" s="152">
        <f>K323-L323-M323</f>
        <v/>
      </c>
      <c r="O323" s="152">
        <f>IF(R322&lt;=0.005,0,R322*(1+O$6))</f>
        <v/>
      </c>
      <c r="P323" s="152">
        <f>MIN(O323,O$7)</f>
        <v/>
      </c>
      <c r="Q323" s="152">
        <f>MAX(0,MIN(O323-P323,AQ323-(E323+I323+M323)))</f>
        <v/>
      </c>
      <c r="R323" s="152">
        <f>O323-P323-Q323</f>
        <v/>
      </c>
      <c r="S323" s="152">
        <f>IF(V322&lt;=0.005,0,V322*(1+S$6))</f>
        <v/>
      </c>
      <c r="T323" s="152">
        <f>MIN(S323,S$7)</f>
        <v/>
      </c>
      <c r="U323" s="152">
        <f>MAX(0,MIN(S323-T323,AQ323-(E323+I323+M323+Q323)))</f>
        <v/>
      </c>
      <c r="V323" s="152">
        <f>S323-T323-U323</f>
        <v/>
      </c>
      <c r="W323" s="152">
        <f>IF(Z322&lt;=0.005,0,Z322*(1+W$6))</f>
        <v/>
      </c>
      <c r="X323" s="152">
        <f>MIN(W323,W$7)</f>
        <v/>
      </c>
      <c r="Y323" s="152">
        <f>MAX(0,MIN(W323-X323,AQ323-(E323+I323+M323+Q323+U323)))</f>
        <v/>
      </c>
      <c r="Z323" s="152">
        <f>W323-X323-Y323</f>
        <v/>
      </c>
      <c r="AA323" s="152">
        <f>IF(AD322&lt;=0.005,0,AD322*(1+AA$6))</f>
        <v/>
      </c>
      <c r="AB323" s="152">
        <f>MIN(AA323,AA$7)</f>
        <v/>
      </c>
      <c r="AC323" s="152">
        <f>MAX(0,MIN(AA323-AB323,AQ323-(E323+I323+M323+Q323+U323+Y323)))</f>
        <v/>
      </c>
      <c r="AD323" s="152">
        <f>AA323-AB323-AC323</f>
        <v/>
      </c>
      <c r="AE323" s="152">
        <f>IF(AH322&lt;=0.005,0,AH322*(1+AE$6))</f>
        <v/>
      </c>
      <c r="AF323" s="152">
        <f>MIN(AE323,AE$7)</f>
        <v/>
      </c>
      <c r="AG323" s="152">
        <f>MAX(0,MIN(AE323-AF323,AQ323-(E323+I323+M323+Q323+U323+Y323+AC323)))</f>
        <v/>
      </c>
      <c r="AH323" s="152">
        <f>AE323-AF323-AG323</f>
        <v/>
      </c>
      <c r="AI323" s="152">
        <f>IF(AL322&lt;=0.005,0,AL322*(1+AI$6))</f>
        <v/>
      </c>
      <c r="AJ323" s="152">
        <f>MIN(AI323,AI$7)</f>
        <v/>
      </c>
      <c r="AK323" s="152">
        <f>MAX(0,MIN(AI323-AJ323,AQ323-(E323+I323+M323+Q323+U323+Y323+AC323+AG323)))</f>
        <v/>
      </c>
      <c r="AL323" s="152">
        <f>AI323-AJ323-AK323</f>
        <v/>
      </c>
      <c r="AM323" s="152">
        <f>IF(AP322&lt;=0.005,0,AP322*(1+AM$6))</f>
        <v/>
      </c>
      <c r="AN323" s="152">
        <f>MIN(AM323,AM$7)</f>
        <v/>
      </c>
      <c r="AO323" s="152">
        <f>MAX(0,MIN(AM323-AN323,AQ323-(E323+I323+M323+Q323+U323+Y323+AC323+AG323+AK323)))</f>
        <v/>
      </c>
      <c r="AP323" s="152">
        <f>AM323-AN323-AO323</f>
        <v/>
      </c>
      <c r="AQ323" s="152">
        <f>'Debt Payoff'!$C$8-SUM(D323,H323,L323,P323,T323,X323,AB323,AF323,AJ323,AN323)</f>
        <v/>
      </c>
      <c r="AR323" s="152">
        <f>SUM(D323,H323,L323,P323,T323,X323,AB323,AF323,AJ323,AN323)+SUM(E323,I323,M323,Q323,U323,Y323,AC323,AG323,AK323,AO323)</f>
        <v/>
      </c>
      <c r="AS323" s="152">
        <f>SUM(F323,J323,N323,R323,V323,Z323,AD323,AH323,AL323,AP323)</f>
        <v/>
      </c>
      <c r="AT323" s="152">
        <f>IF(B323&gt;AS$6,NA(),B323)</f>
        <v/>
      </c>
      <c r="AU323" s="152">
        <f>IF(B323&gt;AS$6,NA(),AS323)</f>
        <v/>
      </c>
      <c r="AV323" s="152" t="n"/>
      <c r="AW323" s="152" t="n">
        <v>312</v>
      </c>
      <c r="AX323" s="152">
        <f>IF(BA322&lt;=0.005,0,BA322*(1+AX$6))</f>
        <v/>
      </c>
      <c r="AY323" s="152">
        <f>MIN(AX323,AX$7)</f>
        <v/>
      </c>
      <c r="AZ323" s="152">
        <f>MAX(0,MIN(AX323-AY323,CL323))</f>
        <v/>
      </c>
      <c r="BA323" s="152">
        <f>AX323-AY323-AZ323</f>
        <v/>
      </c>
      <c r="BB323" s="152">
        <f>IF(BE322&lt;=0.005,0,BE322*(1+BB$6))</f>
        <v/>
      </c>
      <c r="BC323" s="152">
        <f>MIN(BB323,BB$7)</f>
        <v/>
      </c>
      <c r="BD323" s="152">
        <f>MAX(0,MIN(BB323-BC323,CL323-(AZ323)))</f>
        <v/>
      </c>
      <c r="BE323" s="152">
        <f>BB323-BC323-BD323</f>
        <v/>
      </c>
      <c r="BF323" s="152">
        <f>IF(BI322&lt;=0.005,0,BI322*(1+BF$6))</f>
        <v/>
      </c>
      <c r="BG323" s="152">
        <f>MIN(BF323,BF$7)</f>
        <v/>
      </c>
      <c r="BH323" s="152">
        <f>MAX(0,MIN(BF323-BG323,CL323-(AZ323+BD323)))</f>
        <v/>
      </c>
      <c r="BI323" s="152">
        <f>BF323-BG323-BH323</f>
        <v/>
      </c>
      <c r="BJ323" s="152">
        <f>IF(BM322&lt;=0.005,0,BM322*(1+BJ$6))</f>
        <v/>
      </c>
      <c r="BK323" s="152">
        <f>MIN(BJ323,BJ$7)</f>
        <v/>
      </c>
      <c r="BL323" s="152">
        <f>MAX(0,MIN(BJ323-BK323,CL323-(AZ323+BD323+BH323)))</f>
        <v/>
      </c>
      <c r="BM323" s="152">
        <f>BJ323-BK323-BL323</f>
        <v/>
      </c>
      <c r="BN323" s="152">
        <f>IF(BQ322&lt;=0.005,0,BQ322*(1+BN$6))</f>
        <v/>
      </c>
      <c r="BO323" s="152">
        <f>MIN(BN323,BN$7)</f>
        <v/>
      </c>
      <c r="BP323" s="152">
        <f>MAX(0,MIN(BN323-BO323,CL323-(AZ323+BD323+BH323+BL323)))</f>
        <v/>
      </c>
      <c r="BQ323" s="152">
        <f>BN323-BO323-BP323</f>
        <v/>
      </c>
      <c r="BR323" s="152">
        <f>IF(BU322&lt;=0.005,0,BU322*(1+BR$6))</f>
        <v/>
      </c>
      <c r="BS323" s="152">
        <f>MIN(BR323,BR$7)</f>
        <v/>
      </c>
      <c r="BT323" s="152">
        <f>MAX(0,MIN(BR323-BS323,CL323-(AZ323+BD323+BH323+BL323+BP323)))</f>
        <v/>
      </c>
      <c r="BU323" s="152">
        <f>BR323-BS323-BT323</f>
        <v/>
      </c>
      <c r="BV323" s="152">
        <f>IF(BY322&lt;=0.005,0,BY322*(1+BV$6))</f>
        <v/>
      </c>
      <c r="BW323" s="152">
        <f>MIN(BV323,BV$7)</f>
        <v/>
      </c>
      <c r="BX323" s="152">
        <f>MAX(0,MIN(BV323-BW323,CL323-(AZ323+BD323+BH323+BL323+BP323+BT323)))</f>
        <v/>
      </c>
      <c r="BY323" s="152">
        <f>BV323-BW323-BX323</f>
        <v/>
      </c>
      <c r="BZ323" s="152">
        <f>IF(CC322&lt;=0.005,0,CC322*(1+BZ$6))</f>
        <v/>
      </c>
      <c r="CA323" s="152">
        <f>MIN(BZ323,BZ$7)</f>
        <v/>
      </c>
      <c r="CB323" s="152">
        <f>MAX(0,MIN(BZ323-CA323,CL323-(AZ323+BD323+BH323+BL323+BP323+BT323+BX323)))</f>
        <v/>
      </c>
      <c r="CC323" s="152">
        <f>BZ323-CA323-CB323</f>
        <v/>
      </c>
      <c r="CD323" s="152">
        <f>IF(CG322&lt;=0.005,0,CG322*(1+CD$6))</f>
        <v/>
      </c>
      <c r="CE323" s="152">
        <f>MIN(CD323,CD$7)</f>
        <v/>
      </c>
      <c r="CF323" s="152">
        <f>MAX(0,MIN(CD323-CE323,CL323-(AZ323+BD323+BH323+BL323+BP323+BT323+BX323+CB323)))</f>
        <v/>
      </c>
      <c r="CG323" s="152">
        <f>CD323-CE323-CF323</f>
        <v/>
      </c>
      <c r="CH323" s="152">
        <f>IF(CK322&lt;=0.005,0,CK322*(1+CH$6))</f>
        <v/>
      </c>
      <c r="CI323" s="152">
        <f>MIN(CH323,CH$7)</f>
        <v/>
      </c>
      <c r="CJ323" s="152">
        <f>MAX(0,MIN(CH323-CI323,CL323-(AZ323+BD323+BH323+BL323+BP323+BT323+BX323+CB323+CF323)))</f>
        <v/>
      </c>
      <c r="CK323" s="152">
        <f>CH323-CI323-CJ323</f>
        <v/>
      </c>
      <c r="CL323" s="152">
        <f>'Debt Payoff'!$C$8-SUM(AY323,BC323,BG323,BK323,BO323,BS323,BW323,CA323,CE323,CI323)</f>
        <v/>
      </c>
      <c r="CM323" s="152">
        <f>SUM(AY323,BC323,BG323,BK323,BO323,BS323,BW323,CA323,CE323,CI323)+SUM(AZ323,BD323,BH323,BL323,BP323,BT323,BX323,CB323,CF323,CJ323)</f>
        <v/>
      </c>
      <c r="CN323" s="152">
        <f>SUM(BA323,BE323,BI323,BM323,BQ323,BU323,BY323,CC323,CG323,CK323)</f>
        <v/>
      </c>
      <c r="CO323" s="152">
        <f>IF(AW323&gt;CN$6,NA(),AW323)</f>
        <v/>
      </c>
      <c r="CP323" s="152">
        <f>IF(AW323&gt;CN$6,NA(),CN323)</f>
        <v/>
      </c>
    </row>
    <row r="324">
      <c r="B324" s="152" t="n">
        <v>313</v>
      </c>
      <c r="C324" s="152">
        <f>IF(F323&lt;=0.005,0,F323*(1+C$6))</f>
        <v/>
      </c>
      <c r="D324" s="152">
        <f>MIN(C324,C$7)</f>
        <v/>
      </c>
      <c r="E324" s="152">
        <f>MAX(0,MIN(C324-D324,AQ324))</f>
        <v/>
      </c>
      <c r="F324" s="152">
        <f>C324-D324-E324</f>
        <v/>
      </c>
      <c r="G324" s="152">
        <f>IF(J323&lt;=0.005,0,J323*(1+G$6))</f>
        <v/>
      </c>
      <c r="H324" s="152">
        <f>MIN(G324,G$7)</f>
        <v/>
      </c>
      <c r="I324" s="152">
        <f>MAX(0,MIN(G324-H324,AQ324-(E324)))</f>
        <v/>
      </c>
      <c r="J324" s="152">
        <f>G324-H324-I324</f>
        <v/>
      </c>
      <c r="K324" s="152">
        <f>IF(N323&lt;=0.005,0,N323*(1+K$6))</f>
        <v/>
      </c>
      <c r="L324" s="152">
        <f>MIN(K324,K$7)</f>
        <v/>
      </c>
      <c r="M324" s="152">
        <f>MAX(0,MIN(K324-L324,AQ324-(E324+I324)))</f>
        <v/>
      </c>
      <c r="N324" s="152">
        <f>K324-L324-M324</f>
        <v/>
      </c>
      <c r="O324" s="152">
        <f>IF(R323&lt;=0.005,0,R323*(1+O$6))</f>
        <v/>
      </c>
      <c r="P324" s="152">
        <f>MIN(O324,O$7)</f>
        <v/>
      </c>
      <c r="Q324" s="152">
        <f>MAX(0,MIN(O324-P324,AQ324-(E324+I324+M324)))</f>
        <v/>
      </c>
      <c r="R324" s="152">
        <f>O324-P324-Q324</f>
        <v/>
      </c>
      <c r="S324" s="152">
        <f>IF(V323&lt;=0.005,0,V323*(1+S$6))</f>
        <v/>
      </c>
      <c r="T324" s="152">
        <f>MIN(S324,S$7)</f>
        <v/>
      </c>
      <c r="U324" s="152">
        <f>MAX(0,MIN(S324-T324,AQ324-(E324+I324+M324+Q324)))</f>
        <v/>
      </c>
      <c r="V324" s="152">
        <f>S324-T324-U324</f>
        <v/>
      </c>
      <c r="W324" s="152">
        <f>IF(Z323&lt;=0.005,0,Z323*(1+W$6))</f>
        <v/>
      </c>
      <c r="X324" s="152">
        <f>MIN(W324,W$7)</f>
        <v/>
      </c>
      <c r="Y324" s="152">
        <f>MAX(0,MIN(W324-X324,AQ324-(E324+I324+M324+Q324+U324)))</f>
        <v/>
      </c>
      <c r="Z324" s="152">
        <f>W324-X324-Y324</f>
        <v/>
      </c>
      <c r="AA324" s="152">
        <f>IF(AD323&lt;=0.005,0,AD323*(1+AA$6))</f>
        <v/>
      </c>
      <c r="AB324" s="152">
        <f>MIN(AA324,AA$7)</f>
        <v/>
      </c>
      <c r="AC324" s="152">
        <f>MAX(0,MIN(AA324-AB324,AQ324-(E324+I324+M324+Q324+U324+Y324)))</f>
        <v/>
      </c>
      <c r="AD324" s="152">
        <f>AA324-AB324-AC324</f>
        <v/>
      </c>
      <c r="AE324" s="152">
        <f>IF(AH323&lt;=0.005,0,AH323*(1+AE$6))</f>
        <v/>
      </c>
      <c r="AF324" s="152">
        <f>MIN(AE324,AE$7)</f>
        <v/>
      </c>
      <c r="AG324" s="152">
        <f>MAX(0,MIN(AE324-AF324,AQ324-(E324+I324+M324+Q324+U324+Y324+AC324)))</f>
        <v/>
      </c>
      <c r="AH324" s="152">
        <f>AE324-AF324-AG324</f>
        <v/>
      </c>
      <c r="AI324" s="152">
        <f>IF(AL323&lt;=0.005,0,AL323*(1+AI$6))</f>
        <v/>
      </c>
      <c r="AJ324" s="152">
        <f>MIN(AI324,AI$7)</f>
        <v/>
      </c>
      <c r="AK324" s="152">
        <f>MAX(0,MIN(AI324-AJ324,AQ324-(E324+I324+M324+Q324+U324+Y324+AC324+AG324)))</f>
        <v/>
      </c>
      <c r="AL324" s="152">
        <f>AI324-AJ324-AK324</f>
        <v/>
      </c>
      <c r="AM324" s="152">
        <f>IF(AP323&lt;=0.005,0,AP323*(1+AM$6))</f>
        <v/>
      </c>
      <c r="AN324" s="152">
        <f>MIN(AM324,AM$7)</f>
        <v/>
      </c>
      <c r="AO324" s="152">
        <f>MAX(0,MIN(AM324-AN324,AQ324-(E324+I324+M324+Q324+U324+Y324+AC324+AG324+AK324)))</f>
        <v/>
      </c>
      <c r="AP324" s="152">
        <f>AM324-AN324-AO324</f>
        <v/>
      </c>
      <c r="AQ324" s="152">
        <f>'Debt Payoff'!$C$8-SUM(D324,H324,L324,P324,T324,X324,AB324,AF324,AJ324,AN324)</f>
        <v/>
      </c>
      <c r="AR324" s="152">
        <f>SUM(D324,H324,L324,P324,T324,X324,AB324,AF324,AJ324,AN324)+SUM(E324,I324,M324,Q324,U324,Y324,AC324,AG324,AK324,AO324)</f>
        <v/>
      </c>
      <c r="AS324" s="152">
        <f>SUM(F324,J324,N324,R324,V324,Z324,AD324,AH324,AL324,AP324)</f>
        <v/>
      </c>
      <c r="AT324" s="152">
        <f>IF(B324&gt;AS$6,NA(),B324)</f>
        <v/>
      </c>
      <c r="AU324" s="152">
        <f>IF(B324&gt;AS$6,NA(),AS324)</f>
        <v/>
      </c>
      <c r="AV324" s="152" t="n"/>
      <c r="AW324" s="152" t="n">
        <v>313</v>
      </c>
      <c r="AX324" s="152">
        <f>IF(BA323&lt;=0.005,0,BA323*(1+AX$6))</f>
        <v/>
      </c>
      <c r="AY324" s="152">
        <f>MIN(AX324,AX$7)</f>
        <v/>
      </c>
      <c r="AZ324" s="152">
        <f>MAX(0,MIN(AX324-AY324,CL324))</f>
        <v/>
      </c>
      <c r="BA324" s="152">
        <f>AX324-AY324-AZ324</f>
        <v/>
      </c>
      <c r="BB324" s="152">
        <f>IF(BE323&lt;=0.005,0,BE323*(1+BB$6))</f>
        <v/>
      </c>
      <c r="BC324" s="152">
        <f>MIN(BB324,BB$7)</f>
        <v/>
      </c>
      <c r="BD324" s="152">
        <f>MAX(0,MIN(BB324-BC324,CL324-(AZ324)))</f>
        <v/>
      </c>
      <c r="BE324" s="152">
        <f>BB324-BC324-BD324</f>
        <v/>
      </c>
      <c r="BF324" s="152">
        <f>IF(BI323&lt;=0.005,0,BI323*(1+BF$6))</f>
        <v/>
      </c>
      <c r="BG324" s="152">
        <f>MIN(BF324,BF$7)</f>
        <v/>
      </c>
      <c r="BH324" s="152">
        <f>MAX(0,MIN(BF324-BG324,CL324-(AZ324+BD324)))</f>
        <v/>
      </c>
      <c r="BI324" s="152">
        <f>BF324-BG324-BH324</f>
        <v/>
      </c>
      <c r="BJ324" s="152">
        <f>IF(BM323&lt;=0.005,0,BM323*(1+BJ$6))</f>
        <v/>
      </c>
      <c r="BK324" s="152">
        <f>MIN(BJ324,BJ$7)</f>
        <v/>
      </c>
      <c r="BL324" s="152">
        <f>MAX(0,MIN(BJ324-BK324,CL324-(AZ324+BD324+BH324)))</f>
        <v/>
      </c>
      <c r="BM324" s="152">
        <f>BJ324-BK324-BL324</f>
        <v/>
      </c>
      <c r="BN324" s="152">
        <f>IF(BQ323&lt;=0.005,0,BQ323*(1+BN$6))</f>
        <v/>
      </c>
      <c r="BO324" s="152">
        <f>MIN(BN324,BN$7)</f>
        <v/>
      </c>
      <c r="BP324" s="152">
        <f>MAX(0,MIN(BN324-BO324,CL324-(AZ324+BD324+BH324+BL324)))</f>
        <v/>
      </c>
      <c r="BQ324" s="152">
        <f>BN324-BO324-BP324</f>
        <v/>
      </c>
      <c r="BR324" s="152">
        <f>IF(BU323&lt;=0.005,0,BU323*(1+BR$6))</f>
        <v/>
      </c>
      <c r="BS324" s="152">
        <f>MIN(BR324,BR$7)</f>
        <v/>
      </c>
      <c r="BT324" s="152">
        <f>MAX(0,MIN(BR324-BS324,CL324-(AZ324+BD324+BH324+BL324+BP324)))</f>
        <v/>
      </c>
      <c r="BU324" s="152">
        <f>BR324-BS324-BT324</f>
        <v/>
      </c>
      <c r="BV324" s="152">
        <f>IF(BY323&lt;=0.005,0,BY323*(1+BV$6))</f>
        <v/>
      </c>
      <c r="BW324" s="152">
        <f>MIN(BV324,BV$7)</f>
        <v/>
      </c>
      <c r="BX324" s="152">
        <f>MAX(0,MIN(BV324-BW324,CL324-(AZ324+BD324+BH324+BL324+BP324+BT324)))</f>
        <v/>
      </c>
      <c r="BY324" s="152">
        <f>BV324-BW324-BX324</f>
        <v/>
      </c>
      <c r="BZ324" s="152">
        <f>IF(CC323&lt;=0.005,0,CC323*(1+BZ$6))</f>
        <v/>
      </c>
      <c r="CA324" s="152">
        <f>MIN(BZ324,BZ$7)</f>
        <v/>
      </c>
      <c r="CB324" s="152">
        <f>MAX(0,MIN(BZ324-CA324,CL324-(AZ324+BD324+BH324+BL324+BP324+BT324+BX324)))</f>
        <v/>
      </c>
      <c r="CC324" s="152">
        <f>BZ324-CA324-CB324</f>
        <v/>
      </c>
      <c r="CD324" s="152">
        <f>IF(CG323&lt;=0.005,0,CG323*(1+CD$6))</f>
        <v/>
      </c>
      <c r="CE324" s="152">
        <f>MIN(CD324,CD$7)</f>
        <v/>
      </c>
      <c r="CF324" s="152">
        <f>MAX(0,MIN(CD324-CE324,CL324-(AZ324+BD324+BH324+BL324+BP324+BT324+BX324+CB324)))</f>
        <v/>
      </c>
      <c r="CG324" s="152">
        <f>CD324-CE324-CF324</f>
        <v/>
      </c>
      <c r="CH324" s="152">
        <f>IF(CK323&lt;=0.005,0,CK323*(1+CH$6))</f>
        <v/>
      </c>
      <c r="CI324" s="152">
        <f>MIN(CH324,CH$7)</f>
        <v/>
      </c>
      <c r="CJ324" s="152">
        <f>MAX(0,MIN(CH324-CI324,CL324-(AZ324+BD324+BH324+BL324+BP324+BT324+BX324+CB324+CF324)))</f>
        <v/>
      </c>
      <c r="CK324" s="152">
        <f>CH324-CI324-CJ324</f>
        <v/>
      </c>
      <c r="CL324" s="152">
        <f>'Debt Payoff'!$C$8-SUM(AY324,BC324,BG324,BK324,BO324,BS324,BW324,CA324,CE324,CI324)</f>
        <v/>
      </c>
      <c r="CM324" s="152">
        <f>SUM(AY324,BC324,BG324,BK324,BO324,BS324,BW324,CA324,CE324,CI324)+SUM(AZ324,BD324,BH324,BL324,BP324,BT324,BX324,CB324,CF324,CJ324)</f>
        <v/>
      </c>
      <c r="CN324" s="152">
        <f>SUM(BA324,BE324,BI324,BM324,BQ324,BU324,BY324,CC324,CG324,CK324)</f>
        <v/>
      </c>
      <c r="CO324" s="152">
        <f>IF(AW324&gt;CN$6,NA(),AW324)</f>
        <v/>
      </c>
      <c r="CP324" s="152">
        <f>IF(AW324&gt;CN$6,NA(),CN324)</f>
        <v/>
      </c>
    </row>
    <row r="325">
      <c r="B325" s="152" t="n">
        <v>314</v>
      </c>
      <c r="C325" s="152">
        <f>IF(F324&lt;=0.005,0,F324*(1+C$6))</f>
        <v/>
      </c>
      <c r="D325" s="152">
        <f>MIN(C325,C$7)</f>
        <v/>
      </c>
      <c r="E325" s="152">
        <f>MAX(0,MIN(C325-D325,AQ325))</f>
        <v/>
      </c>
      <c r="F325" s="152">
        <f>C325-D325-E325</f>
        <v/>
      </c>
      <c r="G325" s="152">
        <f>IF(J324&lt;=0.005,0,J324*(1+G$6))</f>
        <v/>
      </c>
      <c r="H325" s="152">
        <f>MIN(G325,G$7)</f>
        <v/>
      </c>
      <c r="I325" s="152">
        <f>MAX(0,MIN(G325-H325,AQ325-(E325)))</f>
        <v/>
      </c>
      <c r="J325" s="152">
        <f>G325-H325-I325</f>
        <v/>
      </c>
      <c r="K325" s="152">
        <f>IF(N324&lt;=0.005,0,N324*(1+K$6))</f>
        <v/>
      </c>
      <c r="L325" s="152">
        <f>MIN(K325,K$7)</f>
        <v/>
      </c>
      <c r="M325" s="152">
        <f>MAX(0,MIN(K325-L325,AQ325-(E325+I325)))</f>
        <v/>
      </c>
      <c r="N325" s="152">
        <f>K325-L325-M325</f>
        <v/>
      </c>
      <c r="O325" s="152">
        <f>IF(R324&lt;=0.005,0,R324*(1+O$6))</f>
        <v/>
      </c>
      <c r="P325" s="152">
        <f>MIN(O325,O$7)</f>
        <v/>
      </c>
      <c r="Q325" s="152">
        <f>MAX(0,MIN(O325-P325,AQ325-(E325+I325+M325)))</f>
        <v/>
      </c>
      <c r="R325" s="152">
        <f>O325-P325-Q325</f>
        <v/>
      </c>
      <c r="S325" s="152">
        <f>IF(V324&lt;=0.005,0,V324*(1+S$6))</f>
        <v/>
      </c>
      <c r="T325" s="152">
        <f>MIN(S325,S$7)</f>
        <v/>
      </c>
      <c r="U325" s="152">
        <f>MAX(0,MIN(S325-T325,AQ325-(E325+I325+M325+Q325)))</f>
        <v/>
      </c>
      <c r="V325" s="152">
        <f>S325-T325-U325</f>
        <v/>
      </c>
      <c r="W325" s="152">
        <f>IF(Z324&lt;=0.005,0,Z324*(1+W$6))</f>
        <v/>
      </c>
      <c r="X325" s="152">
        <f>MIN(W325,W$7)</f>
        <v/>
      </c>
      <c r="Y325" s="152">
        <f>MAX(0,MIN(W325-X325,AQ325-(E325+I325+M325+Q325+U325)))</f>
        <v/>
      </c>
      <c r="Z325" s="152">
        <f>W325-X325-Y325</f>
        <v/>
      </c>
      <c r="AA325" s="152">
        <f>IF(AD324&lt;=0.005,0,AD324*(1+AA$6))</f>
        <v/>
      </c>
      <c r="AB325" s="152">
        <f>MIN(AA325,AA$7)</f>
        <v/>
      </c>
      <c r="AC325" s="152">
        <f>MAX(0,MIN(AA325-AB325,AQ325-(E325+I325+M325+Q325+U325+Y325)))</f>
        <v/>
      </c>
      <c r="AD325" s="152">
        <f>AA325-AB325-AC325</f>
        <v/>
      </c>
      <c r="AE325" s="152">
        <f>IF(AH324&lt;=0.005,0,AH324*(1+AE$6))</f>
        <v/>
      </c>
      <c r="AF325" s="152">
        <f>MIN(AE325,AE$7)</f>
        <v/>
      </c>
      <c r="AG325" s="152">
        <f>MAX(0,MIN(AE325-AF325,AQ325-(E325+I325+M325+Q325+U325+Y325+AC325)))</f>
        <v/>
      </c>
      <c r="AH325" s="152">
        <f>AE325-AF325-AG325</f>
        <v/>
      </c>
      <c r="AI325" s="152">
        <f>IF(AL324&lt;=0.005,0,AL324*(1+AI$6))</f>
        <v/>
      </c>
      <c r="AJ325" s="152">
        <f>MIN(AI325,AI$7)</f>
        <v/>
      </c>
      <c r="AK325" s="152">
        <f>MAX(0,MIN(AI325-AJ325,AQ325-(E325+I325+M325+Q325+U325+Y325+AC325+AG325)))</f>
        <v/>
      </c>
      <c r="AL325" s="152">
        <f>AI325-AJ325-AK325</f>
        <v/>
      </c>
      <c r="AM325" s="152">
        <f>IF(AP324&lt;=0.005,0,AP324*(1+AM$6))</f>
        <v/>
      </c>
      <c r="AN325" s="152">
        <f>MIN(AM325,AM$7)</f>
        <v/>
      </c>
      <c r="AO325" s="152">
        <f>MAX(0,MIN(AM325-AN325,AQ325-(E325+I325+M325+Q325+U325+Y325+AC325+AG325+AK325)))</f>
        <v/>
      </c>
      <c r="AP325" s="152">
        <f>AM325-AN325-AO325</f>
        <v/>
      </c>
      <c r="AQ325" s="152">
        <f>'Debt Payoff'!$C$8-SUM(D325,H325,L325,P325,T325,X325,AB325,AF325,AJ325,AN325)</f>
        <v/>
      </c>
      <c r="AR325" s="152">
        <f>SUM(D325,H325,L325,P325,T325,X325,AB325,AF325,AJ325,AN325)+SUM(E325,I325,M325,Q325,U325,Y325,AC325,AG325,AK325,AO325)</f>
        <v/>
      </c>
      <c r="AS325" s="152">
        <f>SUM(F325,J325,N325,R325,V325,Z325,AD325,AH325,AL325,AP325)</f>
        <v/>
      </c>
      <c r="AT325" s="152">
        <f>IF(B325&gt;AS$6,NA(),B325)</f>
        <v/>
      </c>
      <c r="AU325" s="152">
        <f>IF(B325&gt;AS$6,NA(),AS325)</f>
        <v/>
      </c>
      <c r="AV325" s="152" t="n"/>
      <c r="AW325" s="152" t="n">
        <v>314</v>
      </c>
      <c r="AX325" s="152">
        <f>IF(BA324&lt;=0.005,0,BA324*(1+AX$6))</f>
        <v/>
      </c>
      <c r="AY325" s="152">
        <f>MIN(AX325,AX$7)</f>
        <v/>
      </c>
      <c r="AZ325" s="152">
        <f>MAX(0,MIN(AX325-AY325,CL325))</f>
        <v/>
      </c>
      <c r="BA325" s="152">
        <f>AX325-AY325-AZ325</f>
        <v/>
      </c>
      <c r="BB325" s="152">
        <f>IF(BE324&lt;=0.005,0,BE324*(1+BB$6))</f>
        <v/>
      </c>
      <c r="BC325" s="152">
        <f>MIN(BB325,BB$7)</f>
        <v/>
      </c>
      <c r="BD325" s="152">
        <f>MAX(0,MIN(BB325-BC325,CL325-(AZ325)))</f>
        <v/>
      </c>
      <c r="BE325" s="152">
        <f>BB325-BC325-BD325</f>
        <v/>
      </c>
      <c r="BF325" s="152">
        <f>IF(BI324&lt;=0.005,0,BI324*(1+BF$6))</f>
        <v/>
      </c>
      <c r="BG325" s="152">
        <f>MIN(BF325,BF$7)</f>
        <v/>
      </c>
      <c r="BH325" s="152">
        <f>MAX(0,MIN(BF325-BG325,CL325-(AZ325+BD325)))</f>
        <v/>
      </c>
      <c r="BI325" s="152">
        <f>BF325-BG325-BH325</f>
        <v/>
      </c>
      <c r="BJ325" s="152">
        <f>IF(BM324&lt;=0.005,0,BM324*(1+BJ$6))</f>
        <v/>
      </c>
      <c r="BK325" s="152">
        <f>MIN(BJ325,BJ$7)</f>
        <v/>
      </c>
      <c r="BL325" s="152">
        <f>MAX(0,MIN(BJ325-BK325,CL325-(AZ325+BD325+BH325)))</f>
        <v/>
      </c>
      <c r="BM325" s="152">
        <f>BJ325-BK325-BL325</f>
        <v/>
      </c>
      <c r="BN325" s="152">
        <f>IF(BQ324&lt;=0.005,0,BQ324*(1+BN$6))</f>
        <v/>
      </c>
      <c r="BO325" s="152">
        <f>MIN(BN325,BN$7)</f>
        <v/>
      </c>
      <c r="BP325" s="152">
        <f>MAX(0,MIN(BN325-BO325,CL325-(AZ325+BD325+BH325+BL325)))</f>
        <v/>
      </c>
      <c r="BQ325" s="152">
        <f>BN325-BO325-BP325</f>
        <v/>
      </c>
      <c r="BR325" s="152">
        <f>IF(BU324&lt;=0.005,0,BU324*(1+BR$6))</f>
        <v/>
      </c>
      <c r="BS325" s="152">
        <f>MIN(BR325,BR$7)</f>
        <v/>
      </c>
      <c r="BT325" s="152">
        <f>MAX(0,MIN(BR325-BS325,CL325-(AZ325+BD325+BH325+BL325+BP325)))</f>
        <v/>
      </c>
      <c r="BU325" s="152">
        <f>BR325-BS325-BT325</f>
        <v/>
      </c>
      <c r="BV325" s="152">
        <f>IF(BY324&lt;=0.005,0,BY324*(1+BV$6))</f>
        <v/>
      </c>
      <c r="BW325" s="152">
        <f>MIN(BV325,BV$7)</f>
        <v/>
      </c>
      <c r="BX325" s="152">
        <f>MAX(0,MIN(BV325-BW325,CL325-(AZ325+BD325+BH325+BL325+BP325+BT325)))</f>
        <v/>
      </c>
      <c r="BY325" s="152">
        <f>BV325-BW325-BX325</f>
        <v/>
      </c>
      <c r="BZ325" s="152">
        <f>IF(CC324&lt;=0.005,0,CC324*(1+BZ$6))</f>
        <v/>
      </c>
      <c r="CA325" s="152">
        <f>MIN(BZ325,BZ$7)</f>
        <v/>
      </c>
      <c r="CB325" s="152">
        <f>MAX(0,MIN(BZ325-CA325,CL325-(AZ325+BD325+BH325+BL325+BP325+BT325+BX325)))</f>
        <v/>
      </c>
      <c r="CC325" s="152">
        <f>BZ325-CA325-CB325</f>
        <v/>
      </c>
      <c r="CD325" s="152">
        <f>IF(CG324&lt;=0.005,0,CG324*(1+CD$6))</f>
        <v/>
      </c>
      <c r="CE325" s="152">
        <f>MIN(CD325,CD$7)</f>
        <v/>
      </c>
      <c r="CF325" s="152">
        <f>MAX(0,MIN(CD325-CE325,CL325-(AZ325+BD325+BH325+BL325+BP325+BT325+BX325+CB325)))</f>
        <v/>
      </c>
      <c r="CG325" s="152">
        <f>CD325-CE325-CF325</f>
        <v/>
      </c>
      <c r="CH325" s="152">
        <f>IF(CK324&lt;=0.005,0,CK324*(1+CH$6))</f>
        <v/>
      </c>
      <c r="CI325" s="152">
        <f>MIN(CH325,CH$7)</f>
        <v/>
      </c>
      <c r="CJ325" s="152">
        <f>MAX(0,MIN(CH325-CI325,CL325-(AZ325+BD325+BH325+BL325+BP325+BT325+BX325+CB325+CF325)))</f>
        <v/>
      </c>
      <c r="CK325" s="152">
        <f>CH325-CI325-CJ325</f>
        <v/>
      </c>
      <c r="CL325" s="152">
        <f>'Debt Payoff'!$C$8-SUM(AY325,BC325,BG325,BK325,BO325,BS325,BW325,CA325,CE325,CI325)</f>
        <v/>
      </c>
      <c r="CM325" s="152">
        <f>SUM(AY325,BC325,BG325,BK325,BO325,BS325,BW325,CA325,CE325,CI325)+SUM(AZ325,BD325,BH325,BL325,BP325,BT325,BX325,CB325,CF325,CJ325)</f>
        <v/>
      </c>
      <c r="CN325" s="152">
        <f>SUM(BA325,BE325,BI325,BM325,BQ325,BU325,BY325,CC325,CG325,CK325)</f>
        <v/>
      </c>
      <c r="CO325" s="152">
        <f>IF(AW325&gt;CN$6,NA(),AW325)</f>
        <v/>
      </c>
      <c r="CP325" s="152">
        <f>IF(AW325&gt;CN$6,NA(),CN325)</f>
        <v/>
      </c>
    </row>
    <row r="326">
      <c r="B326" s="152" t="n">
        <v>315</v>
      </c>
      <c r="C326" s="152">
        <f>IF(F325&lt;=0.005,0,F325*(1+C$6))</f>
        <v/>
      </c>
      <c r="D326" s="152">
        <f>MIN(C326,C$7)</f>
        <v/>
      </c>
      <c r="E326" s="152">
        <f>MAX(0,MIN(C326-D326,AQ326))</f>
        <v/>
      </c>
      <c r="F326" s="152">
        <f>C326-D326-E326</f>
        <v/>
      </c>
      <c r="G326" s="152">
        <f>IF(J325&lt;=0.005,0,J325*(1+G$6))</f>
        <v/>
      </c>
      <c r="H326" s="152">
        <f>MIN(G326,G$7)</f>
        <v/>
      </c>
      <c r="I326" s="152">
        <f>MAX(0,MIN(G326-H326,AQ326-(E326)))</f>
        <v/>
      </c>
      <c r="J326" s="152">
        <f>G326-H326-I326</f>
        <v/>
      </c>
      <c r="K326" s="152">
        <f>IF(N325&lt;=0.005,0,N325*(1+K$6))</f>
        <v/>
      </c>
      <c r="L326" s="152">
        <f>MIN(K326,K$7)</f>
        <v/>
      </c>
      <c r="M326" s="152">
        <f>MAX(0,MIN(K326-L326,AQ326-(E326+I326)))</f>
        <v/>
      </c>
      <c r="N326" s="152">
        <f>K326-L326-M326</f>
        <v/>
      </c>
      <c r="O326" s="152">
        <f>IF(R325&lt;=0.005,0,R325*(1+O$6))</f>
        <v/>
      </c>
      <c r="P326" s="152">
        <f>MIN(O326,O$7)</f>
        <v/>
      </c>
      <c r="Q326" s="152">
        <f>MAX(0,MIN(O326-P326,AQ326-(E326+I326+M326)))</f>
        <v/>
      </c>
      <c r="R326" s="152">
        <f>O326-P326-Q326</f>
        <v/>
      </c>
      <c r="S326" s="152">
        <f>IF(V325&lt;=0.005,0,V325*(1+S$6))</f>
        <v/>
      </c>
      <c r="T326" s="152">
        <f>MIN(S326,S$7)</f>
        <v/>
      </c>
      <c r="U326" s="152">
        <f>MAX(0,MIN(S326-T326,AQ326-(E326+I326+M326+Q326)))</f>
        <v/>
      </c>
      <c r="V326" s="152">
        <f>S326-T326-U326</f>
        <v/>
      </c>
      <c r="W326" s="152">
        <f>IF(Z325&lt;=0.005,0,Z325*(1+W$6))</f>
        <v/>
      </c>
      <c r="X326" s="152">
        <f>MIN(W326,W$7)</f>
        <v/>
      </c>
      <c r="Y326" s="152">
        <f>MAX(0,MIN(W326-X326,AQ326-(E326+I326+M326+Q326+U326)))</f>
        <v/>
      </c>
      <c r="Z326" s="152">
        <f>W326-X326-Y326</f>
        <v/>
      </c>
      <c r="AA326" s="152">
        <f>IF(AD325&lt;=0.005,0,AD325*(1+AA$6))</f>
        <v/>
      </c>
      <c r="AB326" s="152">
        <f>MIN(AA326,AA$7)</f>
        <v/>
      </c>
      <c r="AC326" s="152">
        <f>MAX(0,MIN(AA326-AB326,AQ326-(E326+I326+M326+Q326+U326+Y326)))</f>
        <v/>
      </c>
      <c r="AD326" s="152">
        <f>AA326-AB326-AC326</f>
        <v/>
      </c>
      <c r="AE326" s="152">
        <f>IF(AH325&lt;=0.005,0,AH325*(1+AE$6))</f>
        <v/>
      </c>
      <c r="AF326" s="152">
        <f>MIN(AE326,AE$7)</f>
        <v/>
      </c>
      <c r="AG326" s="152">
        <f>MAX(0,MIN(AE326-AF326,AQ326-(E326+I326+M326+Q326+U326+Y326+AC326)))</f>
        <v/>
      </c>
      <c r="AH326" s="152">
        <f>AE326-AF326-AG326</f>
        <v/>
      </c>
      <c r="AI326" s="152">
        <f>IF(AL325&lt;=0.005,0,AL325*(1+AI$6))</f>
        <v/>
      </c>
      <c r="AJ326" s="152">
        <f>MIN(AI326,AI$7)</f>
        <v/>
      </c>
      <c r="AK326" s="152">
        <f>MAX(0,MIN(AI326-AJ326,AQ326-(E326+I326+M326+Q326+U326+Y326+AC326+AG326)))</f>
        <v/>
      </c>
      <c r="AL326" s="152">
        <f>AI326-AJ326-AK326</f>
        <v/>
      </c>
      <c r="AM326" s="152">
        <f>IF(AP325&lt;=0.005,0,AP325*(1+AM$6))</f>
        <v/>
      </c>
      <c r="AN326" s="152">
        <f>MIN(AM326,AM$7)</f>
        <v/>
      </c>
      <c r="AO326" s="152">
        <f>MAX(0,MIN(AM326-AN326,AQ326-(E326+I326+M326+Q326+U326+Y326+AC326+AG326+AK326)))</f>
        <v/>
      </c>
      <c r="AP326" s="152">
        <f>AM326-AN326-AO326</f>
        <v/>
      </c>
      <c r="AQ326" s="152">
        <f>'Debt Payoff'!$C$8-SUM(D326,H326,L326,P326,T326,X326,AB326,AF326,AJ326,AN326)</f>
        <v/>
      </c>
      <c r="AR326" s="152">
        <f>SUM(D326,H326,L326,P326,T326,X326,AB326,AF326,AJ326,AN326)+SUM(E326,I326,M326,Q326,U326,Y326,AC326,AG326,AK326,AO326)</f>
        <v/>
      </c>
      <c r="AS326" s="152">
        <f>SUM(F326,J326,N326,R326,V326,Z326,AD326,AH326,AL326,AP326)</f>
        <v/>
      </c>
      <c r="AT326" s="152">
        <f>IF(B326&gt;AS$6,NA(),B326)</f>
        <v/>
      </c>
      <c r="AU326" s="152">
        <f>IF(B326&gt;AS$6,NA(),AS326)</f>
        <v/>
      </c>
      <c r="AV326" s="152" t="n"/>
      <c r="AW326" s="152" t="n">
        <v>315</v>
      </c>
      <c r="AX326" s="152">
        <f>IF(BA325&lt;=0.005,0,BA325*(1+AX$6))</f>
        <v/>
      </c>
      <c r="AY326" s="152">
        <f>MIN(AX326,AX$7)</f>
        <v/>
      </c>
      <c r="AZ326" s="152">
        <f>MAX(0,MIN(AX326-AY326,CL326))</f>
        <v/>
      </c>
      <c r="BA326" s="152">
        <f>AX326-AY326-AZ326</f>
        <v/>
      </c>
      <c r="BB326" s="152">
        <f>IF(BE325&lt;=0.005,0,BE325*(1+BB$6))</f>
        <v/>
      </c>
      <c r="BC326" s="152">
        <f>MIN(BB326,BB$7)</f>
        <v/>
      </c>
      <c r="BD326" s="152">
        <f>MAX(0,MIN(BB326-BC326,CL326-(AZ326)))</f>
        <v/>
      </c>
      <c r="BE326" s="152">
        <f>BB326-BC326-BD326</f>
        <v/>
      </c>
      <c r="BF326" s="152">
        <f>IF(BI325&lt;=0.005,0,BI325*(1+BF$6))</f>
        <v/>
      </c>
      <c r="BG326" s="152">
        <f>MIN(BF326,BF$7)</f>
        <v/>
      </c>
      <c r="BH326" s="152">
        <f>MAX(0,MIN(BF326-BG326,CL326-(AZ326+BD326)))</f>
        <v/>
      </c>
      <c r="BI326" s="152">
        <f>BF326-BG326-BH326</f>
        <v/>
      </c>
      <c r="BJ326" s="152">
        <f>IF(BM325&lt;=0.005,0,BM325*(1+BJ$6))</f>
        <v/>
      </c>
      <c r="BK326" s="152">
        <f>MIN(BJ326,BJ$7)</f>
        <v/>
      </c>
      <c r="BL326" s="152">
        <f>MAX(0,MIN(BJ326-BK326,CL326-(AZ326+BD326+BH326)))</f>
        <v/>
      </c>
      <c r="BM326" s="152">
        <f>BJ326-BK326-BL326</f>
        <v/>
      </c>
      <c r="BN326" s="152">
        <f>IF(BQ325&lt;=0.005,0,BQ325*(1+BN$6))</f>
        <v/>
      </c>
      <c r="BO326" s="152">
        <f>MIN(BN326,BN$7)</f>
        <v/>
      </c>
      <c r="BP326" s="152">
        <f>MAX(0,MIN(BN326-BO326,CL326-(AZ326+BD326+BH326+BL326)))</f>
        <v/>
      </c>
      <c r="BQ326" s="152">
        <f>BN326-BO326-BP326</f>
        <v/>
      </c>
      <c r="BR326" s="152">
        <f>IF(BU325&lt;=0.005,0,BU325*(1+BR$6))</f>
        <v/>
      </c>
      <c r="BS326" s="152">
        <f>MIN(BR326,BR$7)</f>
        <v/>
      </c>
      <c r="BT326" s="152">
        <f>MAX(0,MIN(BR326-BS326,CL326-(AZ326+BD326+BH326+BL326+BP326)))</f>
        <v/>
      </c>
      <c r="BU326" s="152">
        <f>BR326-BS326-BT326</f>
        <v/>
      </c>
      <c r="BV326" s="152">
        <f>IF(BY325&lt;=0.005,0,BY325*(1+BV$6))</f>
        <v/>
      </c>
      <c r="BW326" s="152">
        <f>MIN(BV326,BV$7)</f>
        <v/>
      </c>
      <c r="BX326" s="152">
        <f>MAX(0,MIN(BV326-BW326,CL326-(AZ326+BD326+BH326+BL326+BP326+BT326)))</f>
        <v/>
      </c>
      <c r="BY326" s="152">
        <f>BV326-BW326-BX326</f>
        <v/>
      </c>
      <c r="BZ326" s="152">
        <f>IF(CC325&lt;=0.005,0,CC325*(1+BZ$6))</f>
        <v/>
      </c>
      <c r="CA326" s="152">
        <f>MIN(BZ326,BZ$7)</f>
        <v/>
      </c>
      <c r="CB326" s="152">
        <f>MAX(0,MIN(BZ326-CA326,CL326-(AZ326+BD326+BH326+BL326+BP326+BT326+BX326)))</f>
        <v/>
      </c>
      <c r="CC326" s="152">
        <f>BZ326-CA326-CB326</f>
        <v/>
      </c>
      <c r="CD326" s="152">
        <f>IF(CG325&lt;=0.005,0,CG325*(1+CD$6))</f>
        <v/>
      </c>
      <c r="CE326" s="152">
        <f>MIN(CD326,CD$7)</f>
        <v/>
      </c>
      <c r="CF326" s="152">
        <f>MAX(0,MIN(CD326-CE326,CL326-(AZ326+BD326+BH326+BL326+BP326+BT326+BX326+CB326)))</f>
        <v/>
      </c>
      <c r="CG326" s="152">
        <f>CD326-CE326-CF326</f>
        <v/>
      </c>
      <c r="CH326" s="152">
        <f>IF(CK325&lt;=0.005,0,CK325*(1+CH$6))</f>
        <v/>
      </c>
      <c r="CI326" s="152">
        <f>MIN(CH326,CH$7)</f>
        <v/>
      </c>
      <c r="CJ326" s="152">
        <f>MAX(0,MIN(CH326-CI326,CL326-(AZ326+BD326+BH326+BL326+BP326+BT326+BX326+CB326+CF326)))</f>
        <v/>
      </c>
      <c r="CK326" s="152">
        <f>CH326-CI326-CJ326</f>
        <v/>
      </c>
      <c r="CL326" s="152">
        <f>'Debt Payoff'!$C$8-SUM(AY326,BC326,BG326,BK326,BO326,BS326,BW326,CA326,CE326,CI326)</f>
        <v/>
      </c>
      <c r="CM326" s="152">
        <f>SUM(AY326,BC326,BG326,BK326,BO326,BS326,BW326,CA326,CE326,CI326)+SUM(AZ326,BD326,BH326,BL326,BP326,BT326,BX326,CB326,CF326,CJ326)</f>
        <v/>
      </c>
      <c r="CN326" s="152">
        <f>SUM(BA326,BE326,BI326,BM326,BQ326,BU326,BY326,CC326,CG326,CK326)</f>
        <v/>
      </c>
      <c r="CO326" s="152">
        <f>IF(AW326&gt;CN$6,NA(),AW326)</f>
        <v/>
      </c>
      <c r="CP326" s="152">
        <f>IF(AW326&gt;CN$6,NA(),CN326)</f>
        <v/>
      </c>
    </row>
    <row r="327">
      <c r="B327" s="152" t="n">
        <v>316</v>
      </c>
      <c r="C327" s="152">
        <f>IF(F326&lt;=0.005,0,F326*(1+C$6))</f>
        <v/>
      </c>
      <c r="D327" s="152">
        <f>MIN(C327,C$7)</f>
        <v/>
      </c>
      <c r="E327" s="152">
        <f>MAX(0,MIN(C327-D327,AQ327))</f>
        <v/>
      </c>
      <c r="F327" s="152">
        <f>C327-D327-E327</f>
        <v/>
      </c>
      <c r="G327" s="152">
        <f>IF(J326&lt;=0.005,0,J326*(1+G$6))</f>
        <v/>
      </c>
      <c r="H327" s="152">
        <f>MIN(G327,G$7)</f>
        <v/>
      </c>
      <c r="I327" s="152">
        <f>MAX(0,MIN(G327-H327,AQ327-(E327)))</f>
        <v/>
      </c>
      <c r="J327" s="152">
        <f>G327-H327-I327</f>
        <v/>
      </c>
      <c r="K327" s="152">
        <f>IF(N326&lt;=0.005,0,N326*(1+K$6))</f>
        <v/>
      </c>
      <c r="L327" s="152">
        <f>MIN(K327,K$7)</f>
        <v/>
      </c>
      <c r="M327" s="152">
        <f>MAX(0,MIN(K327-L327,AQ327-(E327+I327)))</f>
        <v/>
      </c>
      <c r="N327" s="152">
        <f>K327-L327-M327</f>
        <v/>
      </c>
      <c r="O327" s="152">
        <f>IF(R326&lt;=0.005,0,R326*(1+O$6))</f>
        <v/>
      </c>
      <c r="P327" s="152">
        <f>MIN(O327,O$7)</f>
        <v/>
      </c>
      <c r="Q327" s="152">
        <f>MAX(0,MIN(O327-P327,AQ327-(E327+I327+M327)))</f>
        <v/>
      </c>
      <c r="R327" s="152">
        <f>O327-P327-Q327</f>
        <v/>
      </c>
      <c r="S327" s="152">
        <f>IF(V326&lt;=0.005,0,V326*(1+S$6))</f>
        <v/>
      </c>
      <c r="T327" s="152">
        <f>MIN(S327,S$7)</f>
        <v/>
      </c>
      <c r="U327" s="152">
        <f>MAX(0,MIN(S327-T327,AQ327-(E327+I327+M327+Q327)))</f>
        <v/>
      </c>
      <c r="V327" s="152">
        <f>S327-T327-U327</f>
        <v/>
      </c>
      <c r="W327" s="152">
        <f>IF(Z326&lt;=0.005,0,Z326*(1+W$6))</f>
        <v/>
      </c>
      <c r="X327" s="152">
        <f>MIN(W327,W$7)</f>
        <v/>
      </c>
      <c r="Y327" s="152">
        <f>MAX(0,MIN(W327-X327,AQ327-(E327+I327+M327+Q327+U327)))</f>
        <v/>
      </c>
      <c r="Z327" s="152">
        <f>W327-X327-Y327</f>
        <v/>
      </c>
      <c r="AA327" s="152">
        <f>IF(AD326&lt;=0.005,0,AD326*(1+AA$6))</f>
        <v/>
      </c>
      <c r="AB327" s="152">
        <f>MIN(AA327,AA$7)</f>
        <v/>
      </c>
      <c r="AC327" s="152">
        <f>MAX(0,MIN(AA327-AB327,AQ327-(E327+I327+M327+Q327+U327+Y327)))</f>
        <v/>
      </c>
      <c r="AD327" s="152">
        <f>AA327-AB327-AC327</f>
        <v/>
      </c>
      <c r="AE327" s="152">
        <f>IF(AH326&lt;=0.005,0,AH326*(1+AE$6))</f>
        <v/>
      </c>
      <c r="AF327" s="152">
        <f>MIN(AE327,AE$7)</f>
        <v/>
      </c>
      <c r="AG327" s="152">
        <f>MAX(0,MIN(AE327-AF327,AQ327-(E327+I327+M327+Q327+U327+Y327+AC327)))</f>
        <v/>
      </c>
      <c r="AH327" s="152">
        <f>AE327-AF327-AG327</f>
        <v/>
      </c>
      <c r="AI327" s="152">
        <f>IF(AL326&lt;=0.005,0,AL326*(1+AI$6))</f>
        <v/>
      </c>
      <c r="AJ327" s="152">
        <f>MIN(AI327,AI$7)</f>
        <v/>
      </c>
      <c r="AK327" s="152">
        <f>MAX(0,MIN(AI327-AJ327,AQ327-(E327+I327+M327+Q327+U327+Y327+AC327+AG327)))</f>
        <v/>
      </c>
      <c r="AL327" s="152">
        <f>AI327-AJ327-AK327</f>
        <v/>
      </c>
      <c r="AM327" s="152">
        <f>IF(AP326&lt;=0.005,0,AP326*(1+AM$6))</f>
        <v/>
      </c>
      <c r="AN327" s="152">
        <f>MIN(AM327,AM$7)</f>
        <v/>
      </c>
      <c r="AO327" s="152">
        <f>MAX(0,MIN(AM327-AN327,AQ327-(E327+I327+M327+Q327+U327+Y327+AC327+AG327+AK327)))</f>
        <v/>
      </c>
      <c r="AP327" s="152">
        <f>AM327-AN327-AO327</f>
        <v/>
      </c>
      <c r="AQ327" s="152">
        <f>'Debt Payoff'!$C$8-SUM(D327,H327,L327,P327,T327,X327,AB327,AF327,AJ327,AN327)</f>
        <v/>
      </c>
      <c r="AR327" s="152">
        <f>SUM(D327,H327,L327,P327,T327,X327,AB327,AF327,AJ327,AN327)+SUM(E327,I327,M327,Q327,U327,Y327,AC327,AG327,AK327,AO327)</f>
        <v/>
      </c>
      <c r="AS327" s="152">
        <f>SUM(F327,J327,N327,R327,V327,Z327,AD327,AH327,AL327,AP327)</f>
        <v/>
      </c>
      <c r="AT327" s="152">
        <f>IF(B327&gt;AS$6,NA(),B327)</f>
        <v/>
      </c>
      <c r="AU327" s="152">
        <f>IF(B327&gt;AS$6,NA(),AS327)</f>
        <v/>
      </c>
      <c r="AV327" s="152" t="n"/>
      <c r="AW327" s="152" t="n">
        <v>316</v>
      </c>
      <c r="AX327" s="152">
        <f>IF(BA326&lt;=0.005,0,BA326*(1+AX$6))</f>
        <v/>
      </c>
      <c r="AY327" s="152">
        <f>MIN(AX327,AX$7)</f>
        <v/>
      </c>
      <c r="AZ327" s="152">
        <f>MAX(0,MIN(AX327-AY327,CL327))</f>
        <v/>
      </c>
      <c r="BA327" s="152">
        <f>AX327-AY327-AZ327</f>
        <v/>
      </c>
      <c r="BB327" s="152">
        <f>IF(BE326&lt;=0.005,0,BE326*(1+BB$6))</f>
        <v/>
      </c>
      <c r="BC327" s="152">
        <f>MIN(BB327,BB$7)</f>
        <v/>
      </c>
      <c r="BD327" s="152">
        <f>MAX(0,MIN(BB327-BC327,CL327-(AZ327)))</f>
        <v/>
      </c>
      <c r="BE327" s="152">
        <f>BB327-BC327-BD327</f>
        <v/>
      </c>
      <c r="BF327" s="152">
        <f>IF(BI326&lt;=0.005,0,BI326*(1+BF$6))</f>
        <v/>
      </c>
      <c r="BG327" s="152">
        <f>MIN(BF327,BF$7)</f>
        <v/>
      </c>
      <c r="BH327" s="152">
        <f>MAX(0,MIN(BF327-BG327,CL327-(AZ327+BD327)))</f>
        <v/>
      </c>
      <c r="BI327" s="152">
        <f>BF327-BG327-BH327</f>
        <v/>
      </c>
      <c r="BJ327" s="152">
        <f>IF(BM326&lt;=0.005,0,BM326*(1+BJ$6))</f>
        <v/>
      </c>
      <c r="BK327" s="152">
        <f>MIN(BJ327,BJ$7)</f>
        <v/>
      </c>
      <c r="BL327" s="152">
        <f>MAX(0,MIN(BJ327-BK327,CL327-(AZ327+BD327+BH327)))</f>
        <v/>
      </c>
      <c r="BM327" s="152">
        <f>BJ327-BK327-BL327</f>
        <v/>
      </c>
      <c r="BN327" s="152">
        <f>IF(BQ326&lt;=0.005,0,BQ326*(1+BN$6))</f>
        <v/>
      </c>
      <c r="BO327" s="152">
        <f>MIN(BN327,BN$7)</f>
        <v/>
      </c>
      <c r="BP327" s="152">
        <f>MAX(0,MIN(BN327-BO327,CL327-(AZ327+BD327+BH327+BL327)))</f>
        <v/>
      </c>
      <c r="BQ327" s="152">
        <f>BN327-BO327-BP327</f>
        <v/>
      </c>
      <c r="BR327" s="152">
        <f>IF(BU326&lt;=0.005,0,BU326*(1+BR$6))</f>
        <v/>
      </c>
      <c r="BS327" s="152">
        <f>MIN(BR327,BR$7)</f>
        <v/>
      </c>
      <c r="BT327" s="152">
        <f>MAX(0,MIN(BR327-BS327,CL327-(AZ327+BD327+BH327+BL327+BP327)))</f>
        <v/>
      </c>
      <c r="BU327" s="152">
        <f>BR327-BS327-BT327</f>
        <v/>
      </c>
      <c r="BV327" s="152">
        <f>IF(BY326&lt;=0.005,0,BY326*(1+BV$6))</f>
        <v/>
      </c>
      <c r="BW327" s="152">
        <f>MIN(BV327,BV$7)</f>
        <v/>
      </c>
      <c r="BX327" s="152">
        <f>MAX(0,MIN(BV327-BW327,CL327-(AZ327+BD327+BH327+BL327+BP327+BT327)))</f>
        <v/>
      </c>
      <c r="BY327" s="152">
        <f>BV327-BW327-BX327</f>
        <v/>
      </c>
      <c r="BZ327" s="152">
        <f>IF(CC326&lt;=0.005,0,CC326*(1+BZ$6))</f>
        <v/>
      </c>
      <c r="CA327" s="152">
        <f>MIN(BZ327,BZ$7)</f>
        <v/>
      </c>
      <c r="CB327" s="152">
        <f>MAX(0,MIN(BZ327-CA327,CL327-(AZ327+BD327+BH327+BL327+BP327+BT327+BX327)))</f>
        <v/>
      </c>
      <c r="CC327" s="152">
        <f>BZ327-CA327-CB327</f>
        <v/>
      </c>
      <c r="CD327" s="152">
        <f>IF(CG326&lt;=0.005,0,CG326*(1+CD$6))</f>
        <v/>
      </c>
      <c r="CE327" s="152">
        <f>MIN(CD327,CD$7)</f>
        <v/>
      </c>
      <c r="CF327" s="152">
        <f>MAX(0,MIN(CD327-CE327,CL327-(AZ327+BD327+BH327+BL327+BP327+BT327+BX327+CB327)))</f>
        <v/>
      </c>
      <c r="CG327" s="152">
        <f>CD327-CE327-CF327</f>
        <v/>
      </c>
      <c r="CH327" s="152">
        <f>IF(CK326&lt;=0.005,0,CK326*(1+CH$6))</f>
        <v/>
      </c>
      <c r="CI327" s="152">
        <f>MIN(CH327,CH$7)</f>
        <v/>
      </c>
      <c r="CJ327" s="152">
        <f>MAX(0,MIN(CH327-CI327,CL327-(AZ327+BD327+BH327+BL327+BP327+BT327+BX327+CB327+CF327)))</f>
        <v/>
      </c>
      <c r="CK327" s="152">
        <f>CH327-CI327-CJ327</f>
        <v/>
      </c>
      <c r="CL327" s="152">
        <f>'Debt Payoff'!$C$8-SUM(AY327,BC327,BG327,BK327,BO327,BS327,BW327,CA327,CE327,CI327)</f>
        <v/>
      </c>
      <c r="CM327" s="152">
        <f>SUM(AY327,BC327,BG327,BK327,BO327,BS327,BW327,CA327,CE327,CI327)+SUM(AZ327,BD327,BH327,BL327,BP327,BT327,BX327,CB327,CF327,CJ327)</f>
        <v/>
      </c>
      <c r="CN327" s="152">
        <f>SUM(BA327,BE327,BI327,BM327,BQ327,BU327,BY327,CC327,CG327,CK327)</f>
        <v/>
      </c>
      <c r="CO327" s="152">
        <f>IF(AW327&gt;CN$6,NA(),AW327)</f>
        <v/>
      </c>
      <c r="CP327" s="152">
        <f>IF(AW327&gt;CN$6,NA(),CN327)</f>
        <v/>
      </c>
    </row>
    <row r="328">
      <c r="B328" s="152" t="n">
        <v>317</v>
      </c>
      <c r="C328" s="152">
        <f>IF(F327&lt;=0.005,0,F327*(1+C$6))</f>
        <v/>
      </c>
      <c r="D328" s="152">
        <f>MIN(C328,C$7)</f>
        <v/>
      </c>
      <c r="E328" s="152">
        <f>MAX(0,MIN(C328-D328,AQ328))</f>
        <v/>
      </c>
      <c r="F328" s="152">
        <f>C328-D328-E328</f>
        <v/>
      </c>
      <c r="G328" s="152">
        <f>IF(J327&lt;=0.005,0,J327*(1+G$6))</f>
        <v/>
      </c>
      <c r="H328" s="152">
        <f>MIN(G328,G$7)</f>
        <v/>
      </c>
      <c r="I328" s="152">
        <f>MAX(0,MIN(G328-H328,AQ328-(E328)))</f>
        <v/>
      </c>
      <c r="J328" s="152">
        <f>G328-H328-I328</f>
        <v/>
      </c>
      <c r="K328" s="152">
        <f>IF(N327&lt;=0.005,0,N327*(1+K$6))</f>
        <v/>
      </c>
      <c r="L328" s="152">
        <f>MIN(K328,K$7)</f>
        <v/>
      </c>
      <c r="M328" s="152">
        <f>MAX(0,MIN(K328-L328,AQ328-(E328+I328)))</f>
        <v/>
      </c>
      <c r="N328" s="152">
        <f>K328-L328-M328</f>
        <v/>
      </c>
      <c r="O328" s="152">
        <f>IF(R327&lt;=0.005,0,R327*(1+O$6))</f>
        <v/>
      </c>
      <c r="P328" s="152">
        <f>MIN(O328,O$7)</f>
        <v/>
      </c>
      <c r="Q328" s="152">
        <f>MAX(0,MIN(O328-P328,AQ328-(E328+I328+M328)))</f>
        <v/>
      </c>
      <c r="R328" s="152">
        <f>O328-P328-Q328</f>
        <v/>
      </c>
      <c r="S328" s="152">
        <f>IF(V327&lt;=0.005,0,V327*(1+S$6))</f>
        <v/>
      </c>
      <c r="T328" s="152">
        <f>MIN(S328,S$7)</f>
        <v/>
      </c>
      <c r="U328" s="152">
        <f>MAX(0,MIN(S328-T328,AQ328-(E328+I328+M328+Q328)))</f>
        <v/>
      </c>
      <c r="V328" s="152">
        <f>S328-T328-U328</f>
        <v/>
      </c>
      <c r="W328" s="152">
        <f>IF(Z327&lt;=0.005,0,Z327*(1+W$6))</f>
        <v/>
      </c>
      <c r="X328" s="152">
        <f>MIN(W328,W$7)</f>
        <v/>
      </c>
      <c r="Y328" s="152">
        <f>MAX(0,MIN(W328-X328,AQ328-(E328+I328+M328+Q328+U328)))</f>
        <v/>
      </c>
      <c r="Z328" s="152">
        <f>W328-X328-Y328</f>
        <v/>
      </c>
      <c r="AA328" s="152">
        <f>IF(AD327&lt;=0.005,0,AD327*(1+AA$6))</f>
        <v/>
      </c>
      <c r="AB328" s="152">
        <f>MIN(AA328,AA$7)</f>
        <v/>
      </c>
      <c r="AC328" s="152">
        <f>MAX(0,MIN(AA328-AB328,AQ328-(E328+I328+M328+Q328+U328+Y328)))</f>
        <v/>
      </c>
      <c r="AD328" s="152">
        <f>AA328-AB328-AC328</f>
        <v/>
      </c>
      <c r="AE328" s="152">
        <f>IF(AH327&lt;=0.005,0,AH327*(1+AE$6))</f>
        <v/>
      </c>
      <c r="AF328" s="152">
        <f>MIN(AE328,AE$7)</f>
        <v/>
      </c>
      <c r="AG328" s="152">
        <f>MAX(0,MIN(AE328-AF328,AQ328-(E328+I328+M328+Q328+U328+Y328+AC328)))</f>
        <v/>
      </c>
      <c r="AH328" s="152">
        <f>AE328-AF328-AG328</f>
        <v/>
      </c>
      <c r="AI328" s="152">
        <f>IF(AL327&lt;=0.005,0,AL327*(1+AI$6))</f>
        <v/>
      </c>
      <c r="AJ328" s="152">
        <f>MIN(AI328,AI$7)</f>
        <v/>
      </c>
      <c r="AK328" s="152">
        <f>MAX(0,MIN(AI328-AJ328,AQ328-(E328+I328+M328+Q328+U328+Y328+AC328+AG328)))</f>
        <v/>
      </c>
      <c r="AL328" s="152">
        <f>AI328-AJ328-AK328</f>
        <v/>
      </c>
      <c r="AM328" s="152">
        <f>IF(AP327&lt;=0.005,0,AP327*(1+AM$6))</f>
        <v/>
      </c>
      <c r="AN328" s="152">
        <f>MIN(AM328,AM$7)</f>
        <v/>
      </c>
      <c r="AO328" s="152">
        <f>MAX(0,MIN(AM328-AN328,AQ328-(E328+I328+M328+Q328+U328+Y328+AC328+AG328+AK328)))</f>
        <v/>
      </c>
      <c r="AP328" s="152">
        <f>AM328-AN328-AO328</f>
        <v/>
      </c>
      <c r="AQ328" s="152">
        <f>'Debt Payoff'!$C$8-SUM(D328,H328,L328,P328,T328,X328,AB328,AF328,AJ328,AN328)</f>
        <v/>
      </c>
      <c r="AR328" s="152">
        <f>SUM(D328,H328,L328,P328,T328,X328,AB328,AF328,AJ328,AN328)+SUM(E328,I328,M328,Q328,U328,Y328,AC328,AG328,AK328,AO328)</f>
        <v/>
      </c>
      <c r="AS328" s="152">
        <f>SUM(F328,J328,N328,R328,V328,Z328,AD328,AH328,AL328,AP328)</f>
        <v/>
      </c>
      <c r="AT328" s="152">
        <f>IF(B328&gt;AS$6,NA(),B328)</f>
        <v/>
      </c>
      <c r="AU328" s="152">
        <f>IF(B328&gt;AS$6,NA(),AS328)</f>
        <v/>
      </c>
      <c r="AV328" s="152" t="n"/>
      <c r="AW328" s="152" t="n">
        <v>317</v>
      </c>
      <c r="AX328" s="152">
        <f>IF(BA327&lt;=0.005,0,BA327*(1+AX$6))</f>
        <v/>
      </c>
      <c r="AY328" s="152">
        <f>MIN(AX328,AX$7)</f>
        <v/>
      </c>
      <c r="AZ328" s="152">
        <f>MAX(0,MIN(AX328-AY328,CL328))</f>
        <v/>
      </c>
      <c r="BA328" s="152">
        <f>AX328-AY328-AZ328</f>
        <v/>
      </c>
      <c r="BB328" s="152">
        <f>IF(BE327&lt;=0.005,0,BE327*(1+BB$6))</f>
        <v/>
      </c>
      <c r="BC328" s="152">
        <f>MIN(BB328,BB$7)</f>
        <v/>
      </c>
      <c r="BD328" s="152">
        <f>MAX(0,MIN(BB328-BC328,CL328-(AZ328)))</f>
        <v/>
      </c>
      <c r="BE328" s="152">
        <f>BB328-BC328-BD328</f>
        <v/>
      </c>
      <c r="BF328" s="152">
        <f>IF(BI327&lt;=0.005,0,BI327*(1+BF$6))</f>
        <v/>
      </c>
      <c r="BG328" s="152">
        <f>MIN(BF328,BF$7)</f>
        <v/>
      </c>
      <c r="BH328" s="152">
        <f>MAX(0,MIN(BF328-BG328,CL328-(AZ328+BD328)))</f>
        <v/>
      </c>
      <c r="BI328" s="152">
        <f>BF328-BG328-BH328</f>
        <v/>
      </c>
      <c r="BJ328" s="152">
        <f>IF(BM327&lt;=0.005,0,BM327*(1+BJ$6))</f>
        <v/>
      </c>
      <c r="BK328" s="152">
        <f>MIN(BJ328,BJ$7)</f>
        <v/>
      </c>
      <c r="BL328" s="152">
        <f>MAX(0,MIN(BJ328-BK328,CL328-(AZ328+BD328+BH328)))</f>
        <v/>
      </c>
      <c r="BM328" s="152">
        <f>BJ328-BK328-BL328</f>
        <v/>
      </c>
      <c r="BN328" s="152">
        <f>IF(BQ327&lt;=0.005,0,BQ327*(1+BN$6))</f>
        <v/>
      </c>
      <c r="BO328" s="152">
        <f>MIN(BN328,BN$7)</f>
        <v/>
      </c>
      <c r="BP328" s="152">
        <f>MAX(0,MIN(BN328-BO328,CL328-(AZ328+BD328+BH328+BL328)))</f>
        <v/>
      </c>
      <c r="BQ328" s="152">
        <f>BN328-BO328-BP328</f>
        <v/>
      </c>
      <c r="BR328" s="152">
        <f>IF(BU327&lt;=0.005,0,BU327*(1+BR$6))</f>
        <v/>
      </c>
      <c r="BS328" s="152">
        <f>MIN(BR328,BR$7)</f>
        <v/>
      </c>
      <c r="BT328" s="152">
        <f>MAX(0,MIN(BR328-BS328,CL328-(AZ328+BD328+BH328+BL328+BP328)))</f>
        <v/>
      </c>
      <c r="BU328" s="152">
        <f>BR328-BS328-BT328</f>
        <v/>
      </c>
      <c r="BV328" s="152">
        <f>IF(BY327&lt;=0.005,0,BY327*(1+BV$6))</f>
        <v/>
      </c>
      <c r="BW328" s="152">
        <f>MIN(BV328,BV$7)</f>
        <v/>
      </c>
      <c r="BX328" s="152">
        <f>MAX(0,MIN(BV328-BW328,CL328-(AZ328+BD328+BH328+BL328+BP328+BT328)))</f>
        <v/>
      </c>
      <c r="BY328" s="152">
        <f>BV328-BW328-BX328</f>
        <v/>
      </c>
      <c r="BZ328" s="152">
        <f>IF(CC327&lt;=0.005,0,CC327*(1+BZ$6))</f>
        <v/>
      </c>
      <c r="CA328" s="152">
        <f>MIN(BZ328,BZ$7)</f>
        <v/>
      </c>
      <c r="CB328" s="152">
        <f>MAX(0,MIN(BZ328-CA328,CL328-(AZ328+BD328+BH328+BL328+BP328+BT328+BX328)))</f>
        <v/>
      </c>
      <c r="CC328" s="152">
        <f>BZ328-CA328-CB328</f>
        <v/>
      </c>
      <c r="CD328" s="152">
        <f>IF(CG327&lt;=0.005,0,CG327*(1+CD$6))</f>
        <v/>
      </c>
      <c r="CE328" s="152">
        <f>MIN(CD328,CD$7)</f>
        <v/>
      </c>
      <c r="CF328" s="152">
        <f>MAX(0,MIN(CD328-CE328,CL328-(AZ328+BD328+BH328+BL328+BP328+BT328+BX328+CB328)))</f>
        <v/>
      </c>
      <c r="CG328" s="152">
        <f>CD328-CE328-CF328</f>
        <v/>
      </c>
      <c r="CH328" s="152">
        <f>IF(CK327&lt;=0.005,0,CK327*(1+CH$6))</f>
        <v/>
      </c>
      <c r="CI328" s="152">
        <f>MIN(CH328,CH$7)</f>
        <v/>
      </c>
      <c r="CJ328" s="152">
        <f>MAX(0,MIN(CH328-CI328,CL328-(AZ328+BD328+BH328+BL328+BP328+BT328+BX328+CB328+CF328)))</f>
        <v/>
      </c>
      <c r="CK328" s="152">
        <f>CH328-CI328-CJ328</f>
        <v/>
      </c>
      <c r="CL328" s="152">
        <f>'Debt Payoff'!$C$8-SUM(AY328,BC328,BG328,BK328,BO328,BS328,BW328,CA328,CE328,CI328)</f>
        <v/>
      </c>
      <c r="CM328" s="152">
        <f>SUM(AY328,BC328,BG328,BK328,BO328,BS328,BW328,CA328,CE328,CI328)+SUM(AZ328,BD328,BH328,BL328,BP328,BT328,BX328,CB328,CF328,CJ328)</f>
        <v/>
      </c>
      <c r="CN328" s="152">
        <f>SUM(BA328,BE328,BI328,BM328,BQ328,BU328,BY328,CC328,CG328,CK328)</f>
        <v/>
      </c>
      <c r="CO328" s="152">
        <f>IF(AW328&gt;CN$6,NA(),AW328)</f>
        <v/>
      </c>
      <c r="CP328" s="152">
        <f>IF(AW328&gt;CN$6,NA(),CN328)</f>
        <v/>
      </c>
    </row>
    <row r="329">
      <c r="B329" s="152" t="n">
        <v>318</v>
      </c>
      <c r="C329" s="152">
        <f>IF(F328&lt;=0.005,0,F328*(1+C$6))</f>
        <v/>
      </c>
      <c r="D329" s="152">
        <f>MIN(C329,C$7)</f>
        <v/>
      </c>
      <c r="E329" s="152">
        <f>MAX(0,MIN(C329-D329,AQ329))</f>
        <v/>
      </c>
      <c r="F329" s="152">
        <f>C329-D329-E329</f>
        <v/>
      </c>
      <c r="G329" s="152">
        <f>IF(J328&lt;=0.005,0,J328*(1+G$6))</f>
        <v/>
      </c>
      <c r="H329" s="152">
        <f>MIN(G329,G$7)</f>
        <v/>
      </c>
      <c r="I329" s="152">
        <f>MAX(0,MIN(G329-H329,AQ329-(E329)))</f>
        <v/>
      </c>
      <c r="J329" s="152">
        <f>G329-H329-I329</f>
        <v/>
      </c>
      <c r="K329" s="152">
        <f>IF(N328&lt;=0.005,0,N328*(1+K$6))</f>
        <v/>
      </c>
      <c r="L329" s="152">
        <f>MIN(K329,K$7)</f>
        <v/>
      </c>
      <c r="M329" s="152">
        <f>MAX(0,MIN(K329-L329,AQ329-(E329+I329)))</f>
        <v/>
      </c>
      <c r="N329" s="152">
        <f>K329-L329-M329</f>
        <v/>
      </c>
      <c r="O329" s="152">
        <f>IF(R328&lt;=0.005,0,R328*(1+O$6))</f>
        <v/>
      </c>
      <c r="P329" s="152">
        <f>MIN(O329,O$7)</f>
        <v/>
      </c>
      <c r="Q329" s="152">
        <f>MAX(0,MIN(O329-P329,AQ329-(E329+I329+M329)))</f>
        <v/>
      </c>
      <c r="R329" s="152">
        <f>O329-P329-Q329</f>
        <v/>
      </c>
      <c r="S329" s="152">
        <f>IF(V328&lt;=0.005,0,V328*(1+S$6))</f>
        <v/>
      </c>
      <c r="T329" s="152">
        <f>MIN(S329,S$7)</f>
        <v/>
      </c>
      <c r="U329" s="152">
        <f>MAX(0,MIN(S329-T329,AQ329-(E329+I329+M329+Q329)))</f>
        <v/>
      </c>
      <c r="V329" s="152">
        <f>S329-T329-U329</f>
        <v/>
      </c>
      <c r="W329" s="152">
        <f>IF(Z328&lt;=0.005,0,Z328*(1+W$6))</f>
        <v/>
      </c>
      <c r="X329" s="152">
        <f>MIN(W329,W$7)</f>
        <v/>
      </c>
      <c r="Y329" s="152">
        <f>MAX(0,MIN(W329-X329,AQ329-(E329+I329+M329+Q329+U329)))</f>
        <v/>
      </c>
      <c r="Z329" s="152">
        <f>W329-X329-Y329</f>
        <v/>
      </c>
      <c r="AA329" s="152">
        <f>IF(AD328&lt;=0.005,0,AD328*(1+AA$6))</f>
        <v/>
      </c>
      <c r="AB329" s="152">
        <f>MIN(AA329,AA$7)</f>
        <v/>
      </c>
      <c r="AC329" s="152">
        <f>MAX(0,MIN(AA329-AB329,AQ329-(E329+I329+M329+Q329+U329+Y329)))</f>
        <v/>
      </c>
      <c r="AD329" s="152">
        <f>AA329-AB329-AC329</f>
        <v/>
      </c>
      <c r="AE329" s="152">
        <f>IF(AH328&lt;=0.005,0,AH328*(1+AE$6))</f>
        <v/>
      </c>
      <c r="AF329" s="152">
        <f>MIN(AE329,AE$7)</f>
        <v/>
      </c>
      <c r="AG329" s="152">
        <f>MAX(0,MIN(AE329-AF329,AQ329-(E329+I329+M329+Q329+U329+Y329+AC329)))</f>
        <v/>
      </c>
      <c r="AH329" s="152">
        <f>AE329-AF329-AG329</f>
        <v/>
      </c>
      <c r="AI329" s="152">
        <f>IF(AL328&lt;=0.005,0,AL328*(1+AI$6))</f>
        <v/>
      </c>
      <c r="AJ329" s="152">
        <f>MIN(AI329,AI$7)</f>
        <v/>
      </c>
      <c r="AK329" s="152">
        <f>MAX(0,MIN(AI329-AJ329,AQ329-(E329+I329+M329+Q329+U329+Y329+AC329+AG329)))</f>
        <v/>
      </c>
      <c r="AL329" s="152">
        <f>AI329-AJ329-AK329</f>
        <v/>
      </c>
      <c r="AM329" s="152">
        <f>IF(AP328&lt;=0.005,0,AP328*(1+AM$6))</f>
        <v/>
      </c>
      <c r="AN329" s="152">
        <f>MIN(AM329,AM$7)</f>
        <v/>
      </c>
      <c r="AO329" s="152">
        <f>MAX(0,MIN(AM329-AN329,AQ329-(E329+I329+M329+Q329+U329+Y329+AC329+AG329+AK329)))</f>
        <v/>
      </c>
      <c r="AP329" s="152">
        <f>AM329-AN329-AO329</f>
        <v/>
      </c>
      <c r="AQ329" s="152">
        <f>'Debt Payoff'!$C$8-SUM(D329,H329,L329,P329,T329,X329,AB329,AF329,AJ329,AN329)</f>
        <v/>
      </c>
      <c r="AR329" s="152">
        <f>SUM(D329,H329,L329,P329,T329,X329,AB329,AF329,AJ329,AN329)+SUM(E329,I329,M329,Q329,U329,Y329,AC329,AG329,AK329,AO329)</f>
        <v/>
      </c>
      <c r="AS329" s="152">
        <f>SUM(F329,J329,N329,R329,V329,Z329,AD329,AH329,AL329,AP329)</f>
        <v/>
      </c>
      <c r="AT329" s="152">
        <f>IF(B329&gt;AS$6,NA(),B329)</f>
        <v/>
      </c>
      <c r="AU329" s="152">
        <f>IF(B329&gt;AS$6,NA(),AS329)</f>
        <v/>
      </c>
      <c r="AV329" s="152" t="n"/>
      <c r="AW329" s="152" t="n">
        <v>318</v>
      </c>
      <c r="AX329" s="152">
        <f>IF(BA328&lt;=0.005,0,BA328*(1+AX$6))</f>
        <v/>
      </c>
      <c r="AY329" s="152">
        <f>MIN(AX329,AX$7)</f>
        <v/>
      </c>
      <c r="AZ329" s="152">
        <f>MAX(0,MIN(AX329-AY329,CL329))</f>
        <v/>
      </c>
      <c r="BA329" s="152">
        <f>AX329-AY329-AZ329</f>
        <v/>
      </c>
      <c r="BB329" s="152">
        <f>IF(BE328&lt;=0.005,0,BE328*(1+BB$6))</f>
        <v/>
      </c>
      <c r="BC329" s="152">
        <f>MIN(BB329,BB$7)</f>
        <v/>
      </c>
      <c r="BD329" s="152">
        <f>MAX(0,MIN(BB329-BC329,CL329-(AZ329)))</f>
        <v/>
      </c>
      <c r="BE329" s="152">
        <f>BB329-BC329-BD329</f>
        <v/>
      </c>
      <c r="BF329" s="152">
        <f>IF(BI328&lt;=0.005,0,BI328*(1+BF$6))</f>
        <v/>
      </c>
      <c r="BG329" s="152">
        <f>MIN(BF329,BF$7)</f>
        <v/>
      </c>
      <c r="BH329" s="152">
        <f>MAX(0,MIN(BF329-BG329,CL329-(AZ329+BD329)))</f>
        <v/>
      </c>
      <c r="BI329" s="152">
        <f>BF329-BG329-BH329</f>
        <v/>
      </c>
      <c r="BJ329" s="152">
        <f>IF(BM328&lt;=0.005,0,BM328*(1+BJ$6))</f>
        <v/>
      </c>
      <c r="BK329" s="152">
        <f>MIN(BJ329,BJ$7)</f>
        <v/>
      </c>
      <c r="BL329" s="152">
        <f>MAX(0,MIN(BJ329-BK329,CL329-(AZ329+BD329+BH329)))</f>
        <v/>
      </c>
      <c r="BM329" s="152">
        <f>BJ329-BK329-BL329</f>
        <v/>
      </c>
      <c r="BN329" s="152">
        <f>IF(BQ328&lt;=0.005,0,BQ328*(1+BN$6))</f>
        <v/>
      </c>
      <c r="BO329" s="152">
        <f>MIN(BN329,BN$7)</f>
        <v/>
      </c>
      <c r="BP329" s="152">
        <f>MAX(0,MIN(BN329-BO329,CL329-(AZ329+BD329+BH329+BL329)))</f>
        <v/>
      </c>
      <c r="BQ329" s="152">
        <f>BN329-BO329-BP329</f>
        <v/>
      </c>
      <c r="BR329" s="152">
        <f>IF(BU328&lt;=0.005,0,BU328*(1+BR$6))</f>
        <v/>
      </c>
      <c r="BS329" s="152">
        <f>MIN(BR329,BR$7)</f>
        <v/>
      </c>
      <c r="BT329" s="152">
        <f>MAX(0,MIN(BR329-BS329,CL329-(AZ329+BD329+BH329+BL329+BP329)))</f>
        <v/>
      </c>
      <c r="BU329" s="152">
        <f>BR329-BS329-BT329</f>
        <v/>
      </c>
      <c r="BV329" s="152">
        <f>IF(BY328&lt;=0.005,0,BY328*(1+BV$6))</f>
        <v/>
      </c>
      <c r="BW329" s="152">
        <f>MIN(BV329,BV$7)</f>
        <v/>
      </c>
      <c r="BX329" s="152">
        <f>MAX(0,MIN(BV329-BW329,CL329-(AZ329+BD329+BH329+BL329+BP329+BT329)))</f>
        <v/>
      </c>
      <c r="BY329" s="152">
        <f>BV329-BW329-BX329</f>
        <v/>
      </c>
      <c r="BZ329" s="152">
        <f>IF(CC328&lt;=0.005,0,CC328*(1+BZ$6))</f>
        <v/>
      </c>
      <c r="CA329" s="152">
        <f>MIN(BZ329,BZ$7)</f>
        <v/>
      </c>
      <c r="CB329" s="152">
        <f>MAX(0,MIN(BZ329-CA329,CL329-(AZ329+BD329+BH329+BL329+BP329+BT329+BX329)))</f>
        <v/>
      </c>
      <c r="CC329" s="152">
        <f>BZ329-CA329-CB329</f>
        <v/>
      </c>
      <c r="CD329" s="152">
        <f>IF(CG328&lt;=0.005,0,CG328*(1+CD$6))</f>
        <v/>
      </c>
      <c r="CE329" s="152">
        <f>MIN(CD329,CD$7)</f>
        <v/>
      </c>
      <c r="CF329" s="152">
        <f>MAX(0,MIN(CD329-CE329,CL329-(AZ329+BD329+BH329+BL329+BP329+BT329+BX329+CB329)))</f>
        <v/>
      </c>
      <c r="CG329" s="152">
        <f>CD329-CE329-CF329</f>
        <v/>
      </c>
      <c r="CH329" s="152">
        <f>IF(CK328&lt;=0.005,0,CK328*(1+CH$6))</f>
        <v/>
      </c>
      <c r="CI329" s="152">
        <f>MIN(CH329,CH$7)</f>
        <v/>
      </c>
      <c r="CJ329" s="152">
        <f>MAX(0,MIN(CH329-CI329,CL329-(AZ329+BD329+BH329+BL329+BP329+BT329+BX329+CB329+CF329)))</f>
        <v/>
      </c>
      <c r="CK329" s="152">
        <f>CH329-CI329-CJ329</f>
        <v/>
      </c>
      <c r="CL329" s="152">
        <f>'Debt Payoff'!$C$8-SUM(AY329,BC329,BG329,BK329,BO329,BS329,BW329,CA329,CE329,CI329)</f>
        <v/>
      </c>
      <c r="CM329" s="152">
        <f>SUM(AY329,BC329,BG329,BK329,BO329,BS329,BW329,CA329,CE329,CI329)+SUM(AZ329,BD329,BH329,BL329,BP329,BT329,BX329,CB329,CF329,CJ329)</f>
        <v/>
      </c>
      <c r="CN329" s="152">
        <f>SUM(BA329,BE329,BI329,BM329,BQ329,BU329,BY329,CC329,CG329,CK329)</f>
        <v/>
      </c>
      <c r="CO329" s="152">
        <f>IF(AW329&gt;CN$6,NA(),AW329)</f>
        <v/>
      </c>
      <c r="CP329" s="152">
        <f>IF(AW329&gt;CN$6,NA(),CN329)</f>
        <v/>
      </c>
    </row>
    <row r="330">
      <c r="B330" s="152" t="n">
        <v>319</v>
      </c>
      <c r="C330" s="152">
        <f>IF(F329&lt;=0.005,0,F329*(1+C$6))</f>
        <v/>
      </c>
      <c r="D330" s="152">
        <f>MIN(C330,C$7)</f>
        <v/>
      </c>
      <c r="E330" s="152">
        <f>MAX(0,MIN(C330-D330,AQ330))</f>
        <v/>
      </c>
      <c r="F330" s="152">
        <f>C330-D330-E330</f>
        <v/>
      </c>
      <c r="G330" s="152">
        <f>IF(J329&lt;=0.005,0,J329*(1+G$6))</f>
        <v/>
      </c>
      <c r="H330" s="152">
        <f>MIN(G330,G$7)</f>
        <v/>
      </c>
      <c r="I330" s="152">
        <f>MAX(0,MIN(G330-H330,AQ330-(E330)))</f>
        <v/>
      </c>
      <c r="J330" s="152">
        <f>G330-H330-I330</f>
        <v/>
      </c>
      <c r="K330" s="152">
        <f>IF(N329&lt;=0.005,0,N329*(1+K$6))</f>
        <v/>
      </c>
      <c r="L330" s="152">
        <f>MIN(K330,K$7)</f>
        <v/>
      </c>
      <c r="M330" s="152">
        <f>MAX(0,MIN(K330-L330,AQ330-(E330+I330)))</f>
        <v/>
      </c>
      <c r="N330" s="152">
        <f>K330-L330-M330</f>
        <v/>
      </c>
      <c r="O330" s="152">
        <f>IF(R329&lt;=0.005,0,R329*(1+O$6))</f>
        <v/>
      </c>
      <c r="P330" s="152">
        <f>MIN(O330,O$7)</f>
        <v/>
      </c>
      <c r="Q330" s="152">
        <f>MAX(0,MIN(O330-P330,AQ330-(E330+I330+M330)))</f>
        <v/>
      </c>
      <c r="R330" s="152">
        <f>O330-P330-Q330</f>
        <v/>
      </c>
      <c r="S330" s="152">
        <f>IF(V329&lt;=0.005,0,V329*(1+S$6))</f>
        <v/>
      </c>
      <c r="T330" s="152">
        <f>MIN(S330,S$7)</f>
        <v/>
      </c>
      <c r="U330" s="152">
        <f>MAX(0,MIN(S330-T330,AQ330-(E330+I330+M330+Q330)))</f>
        <v/>
      </c>
      <c r="V330" s="152">
        <f>S330-T330-U330</f>
        <v/>
      </c>
      <c r="W330" s="152">
        <f>IF(Z329&lt;=0.005,0,Z329*(1+W$6))</f>
        <v/>
      </c>
      <c r="X330" s="152">
        <f>MIN(W330,W$7)</f>
        <v/>
      </c>
      <c r="Y330" s="152">
        <f>MAX(0,MIN(W330-X330,AQ330-(E330+I330+M330+Q330+U330)))</f>
        <v/>
      </c>
      <c r="Z330" s="152">
        <f>W330-X330-Y330</f>
        <v/>
      </c>
      <c r="AA330" s="152">
        <f>IF(AD329&lt;=0.005,0,AD329*(1+AA$6))</f>
        <v/>
      </c>
      <c r="AB330" s="152">
        <f>MIN(AA330,AA$7)</f>
        <v/>
      </c>
      <c r="AC330" s="152">
        <f>MAX(0,MIN(AA330-AB330,AQ330-(E330+I330+M330+Q330+U330+Y330)))</f>
        <v/>
      </c>
      <c r="AD330" s="152">
        <f>AA330-AB330-AC330</f>
        <v/>
      </c>
      <c r="AE330" s="152">
        <f>IF(AH329&lt;=0.005,0,AH329*(1+AE$6))</f>
        <v/>
      </c>
      <c r="AF330" s="152">
        <f>MIN(AE330,AE$7)</f>
        <v/>
      </c>
      <c r="AG330" s="152">
        <f>MAX(0,MIN(AE330-AF330,AQ330-(E330+I330+M330+Q330+U330+Y330+AC330)))</f>
        <v/>
      </c>
      <c r="AH330" s="152">
        <f>AE330-AF330-AG330</f>
        <v/>
      </c>
      <c r="AI330" s="152">
        <f>IF(AL329&lt;=0.005,0,AL329*(1+AI$6))</f>
        <v/>
      </c>
      <c r="AJ330" s="152">
        <f>MIN(AI330,AI$7)</f>
        <v/>
      </c>
      <c r="AK330" s="152">
        <f>MAX(0,MIN(AI330-AJ330,AQ330-(E330+I330+M330+Q330+U330+Y330+AC330+AG330)))</f>
        <v/>
      </c>
      <c r="AL330" s="152">
        <f>AI330-AJ330-AK330</f>
        <v/>
      </c>
      <c r="AM330" s="152">
        <f>IF(AP329&lt;=0.005,0,AP329*(1+AM$6))</f>
        <v/>
      </c>
      <c r="AN330" s="152">
        <f>MIN(AM330,AM$7)</f>
        <v/>
      </c>
      <c r="AO330" s="152">
        <f>MAX(0,MIN(AM330-AN330,AQ330-(E330+I330+M330+Q330+U330+Y330+AC330+AG330+AK330)))</f>
        <v/>
      </c>
      <c r="AP330" s="152">
        <f>AM330-AN330-AO330</f>
        <v/>
      </c>
      <c r="AQ330" s="152">
        <f>'Debt Payoff'!$C$8-SUM(D330,H330,L330,P330,T330,X330,AB330,AF330,AJ330,AN330)</f>
        <v/>
      </c>
      <c r="AR330" s="152">
        <f>SUM(D330,H330,L330,P330,T330,X330,AB330,AF330,AJ330,AN330)+SUM(E330,I330,M330,Q330,U330,Y330,AC330,AG330,AK330,AO330)</f>
        <v/>
      </c>
      <c r="AS330" s="152">
        <f>SUM(F330,J330,N330,R330,V330,Z330,AD330,AH330,AL330,AP330)</f>
        <v/>
      </c>
      <c r="AT330" s="152">
        <f>IF(B330&gt;AS$6,NA(),B330)</f>
        <v/>
      </c>
      <c r="AU330" s="152">
        <f>IF(B330&gt;AS$6,NA(),AS330)</f>
        <v/>
      </c>
      <c r="AV330" s="152" t="n"/>
      <c r="AW330" s="152" t="n">
        <v>319</v>
      </c>
      <c r="AX330" s="152">
        <f>IF(BA329&lt;=0.005,0,BA329*(1+AX$6))</f>
        <v/>
      </c>
      <c r="AY330" s="152">
        <f>MIN(AX330,AX$7)</f>
        <v/>
      </c>
      <c r="AZ330" s="152">
        <f>MAX(0,MIN(AX330-AY330,CL330))</f>
        <v/>
      </c>
      <c r="BA330" s="152">
        <f>AX330-AY330-AZ330</f>
        <v/>
      </c>
      <c r="BB330" s="152">
        <f>IF(BE329&lt;=0.005,0,BE329*(1+BB$6))</f>
        <v/>
      </c>
      <c r="BC330" s="152">
        <f>MIN(BB330,BB$7)</f>
        <v/>
      </c>
      <c r="BD330" s="152">
        <f>MAX(0,MIN(BB330-BC330,CL330-(AZ330)))</f>
        <v/>
      </c>
      <c r="BE330" s="152">
        <f>BB330-BC330-BD330</f>
        <v/>
      </c>
      <c r="BF330" s="152">
        <f>IF(BI329&lt;=0.005,0,BI329*(1+BF$6))</f>
        <v/>
      </c>
      <c r="BG330" s="152">
        <f>MIN(BF330,BF$7)</f>
        <v/>
      </c>
      <c r="BH330" s="152">
        <f>MAX(0,MIN(BF330-BG330,CL330-(AZ330+BD330)))</f>
        <v/>
      </c>
      <c r="BI330" s="152">
        <f>BF330-BG330-BH330</f>
        <v/>
      </c>
      <c r="BJ330" s="152">
        <f>IF(BM329&lt;=0.005,0,BM329*(1+BJ$6))</f>
        <v/>
      </c>
      <c r="BK330" s="152">
        <f>MIN(BJ330,BJ$7)</f>
        <v/>
      </c>
      <c r="BL330" s="152">
        <f>MAX(0,MIN(BJ330-BK330,CL330-(AZ330+BD330+BH330)))</f>
        <v/>
      </c>
      <c r="BM330" s="152">
        <f>BJ330-BK330-BL330</f>
        <v/>
      </c>
      <c r="BN330" s="152">
        <f>IF(BQ329&lt;=0.005,0,BQ329*(1+BN$6))</f>
        <v/>
      </c>
      <c r="BO330" s="152">
        <f>MIN(BN330,BN$7)</f>
        <v/>
      </c>
      <c r="BP330" s="152">
        <f>MAX(0,MIN(BN330-BO330,CL330-(AZ330+BD330+BH330+BL330)))</f>
        <v/>
      </c>
      <c r="BQ330" s="152">
        <f>BN330-BO330-BP330</f>
        <v/>
      </c>
      <c r="BR330" s="152">
        <f>IF(BU329&lt;=0.005,0,BU329*(1+BR$6))</f>
        <v/>
      </c>
      <c r="BS330" s="152">
        <f>MIN(BR330,BR$7)</f>
        <v/>
      </c>
      <c r="BT330" s="152">
        <f>MAX(0,MIN(BR330-BS330,CL330-(AZ330+BD330+BH330+BL330+BP330)))</f>
        <v/>
      </c>
      <c r="BU330" s="152">
        <f>BR330-BS330-BT330</f>
        <v/>
      </c>
      <c r="BV330" s="152">
        <f>IF(BY329&lt;=0.005,0,BY329*(1+BV$6))</f>
        <v/>
      </c>
      <c r="BW330" s="152">
        <f>MIN(BV330,BV$7)</f>
        <v/>
      </c>
      <c r="BX330" s="152">
        <f>MAX(0,MIN(BV330-BW330,CL330-(AZ330+BD330+BH330+BL330+BP330+BT330)))</f>
        <v/>
      </c>
      <c r="BY330" s="152">
        <f>BV330-BW330-BX330</f>
        <v/>
      </c>
      <c r="BZ330" s="152">
        <f>IF(CC329&lt;=0.005,0,CC329*(1+BZ$6))</f>
        <v/>
      </c>
      <c r="CA330" s="152">
        <f>MIN(BZ330,BZ$7)</f>
        <v/>
      </c>
      <c r="CB330" s="152">
        <f>MAX(0,MIN(BZ330-CA330,CL330-(AZ330+BD330+BH330+BL330+BP330+BT330+BX330)))</f>
        <v/>
      </c>
      <c r="CC330" s="152">
        <f>BZ330-CA330-CB330</f>
        <v/>
      </c>
      <c r="CD330" s="152">
        <f>IF(CG329&lt;=0.005,0,CG329*(1+CD$6))</f>
        <v/>
      </c>
      <c r="CE330" s="152">
        <f>MIN(CD330,CD$7)</f>
        <v/>
      </c>
      <c r="CF330" s="152">
        <f>MAX(0,MIN(CD330-CE330,CL330-(AZ330+BD330+BH330+BL330+BP330+BT330+BX330+CB330)))</f>
        <v/>
      </c>
      <c r="CG330" s="152">
        <f>CD330-CE330-CF330</f>
        <v/>
      </c>
      <c r="CH330" s="152">
        <f>IF(CK329&lt;=0.005,0,CK329*(1+CH$6))</f>
        <v/>
      </c>
      <c r="CI330" s="152">
        <f>MIN(CH330,CH$7)</f>
        <v/>
      </c>
      <c r="CJ330" s="152">
        <f>MAX(0,MIN(CH330-CI330,CL330-(AZ330+BD330+BH330+BL330+BP330+BT330+BX330+CB330+CF330)))</f>
        <v/>
      </c>
      <c r="CK330" s="152">
        <f>CH330-CI330-CJ330</f>
        <v/>
      </c>
      <c r="CL330" s="152">
        <f>'Debt Payoff'!$C$8-SUM(AY330,BC330,BG330,BK330,BO330,BS330,BW330,CA330,CE330,CI330)</f>
        <v/>
      </c>
      <c r="CM330" s="152">
        <f>SUM(AY330,BC330,BG330,BK330,BO330,BS330,BW330,CA330,CE330,CI330)+SUM(AZ330,BD330,BH330,BL330,BP330,BT330,BX330,CB330,CF330,CJ330)</f>
        <v/>
      </c>
      <c r="CN330" s="152">
        <f>SUM(BA330,BE330,BI330,BM330,BQ330,BU330,BY330,CC330,CG330,CK330)</f>
        <v/>
      </c>
      <c r="CO330" s="152">
        <f>IF(AW330&gt;CN$6,NA(),AW330)</f>
        <v/>
      </c>
      <c r="CP330" s="152">
        <f>IF(AW330&gt;CN$6,NA(),CN330)</f>
        <v/>
      </c>
    </row>
    <row r="331">
      <c r="B331" s="152" t="n">
        <v>320</v>
      </c>
      <c r="C331" s="152">
        <f>IF(F330&lt;=0.005,0,F330*(1+C$6))</f>
        <v/>
      </c>
      <c r="D331" s="152">
        <f>MIN(C331,C$7)</f>
        <v/>
      </c>
      <c r="E331" s="152">
        <f>MAX(0,MIN(C331-D331,AQ331))</f>
        <v/>
      </c>
      <c r="F331" s="152">
        <f>C331-D331-E331</f>
        <v/>
      </c>
      <c r="G331" s="152">
        <f>IF(J330&lt;=0.005,0,J330*(1+G$6))</f>
        <v/>
      </c>
      <c r="H331" s="152">
        <f>MIN(G331,G$7)</f>
        <v/>
      </c>
      <c r="I331" s="152">
        <f>MAX(0,MIN(G331-H331,AQ331-(E331)))</f>
        <v/>
      </c>
      <c r="J331" s="152">
        <f>G331-H331-I331</f>
        <v/>
      </c>
      <c r="K331" s="152">
        <f>IF(N330&lt;=0.005,0,N330*(1+K$6))</f>
        <v/>
      </c>
      <c r="L331" s="152">
        <f>MIN(K331,K$7)</f>
        <v/>
      </c>
      <c r="M331" s="152">
        <f>MAX(0,MIN(K331-L331,AQ331-(E331+I331)))</f>
        <v/>
      </c>
      <c r="N331" s="152">
        <f>K331-L331-M331</f>
        <v/>
      </c>
      <c r="O331" s="152">
        <f>IF(R330&lt;=0.005,0,R330*(1+O$6))</f>
        <v/>
      </c>
      <c r="P331" s="152">
        <f>MIN(O331,O$7)</f>
        <v/>
      </c>
      <c r="Q331" s="152">
        <f>MAX(0,MIN(O331-P331,AQ331-(E331+I331+M331)))</f>
        <v/>
      </c>
      <c r="R331" s="152">
        <f>O331-P331-Q331</f>
        <v/>
      </c>
      <c r="S331" s="152">
        <f>IF(V330&lt;=0.005,0,V330*(1+S$6))</f>
        <v/>
      </c>
      <c r="T331" s="152">
        <f>MIN(S331,S$7)</f>
        <v/>
      </c>
      <c r="U331" s="152">
        <f>MAX(0,MIN(S331-T331,AQ331-(E331+I331+M331+Q331)))</f>
        <v/>
      </c>
      <c r="V331" s="152">
        <f>S331-T331-U331</f>
        <v/>
      </c>
      <c r="W331" s="152">
        <f>IF(Z330&lt;=0.005,0,Z330*(1+W$6))</f>
        <v/>
      </c>
      <c r="X331" s="152">
        <f>MIN(W331,W$7)</f>
        <v/>
      </c>
      <c r="Y331" s="152">
        <f>MAX(0,MIN(W331-X331,AQ331-(E331+I331+M331+Q331+U331)))</f>
        <v/>
      </c>
      <c r="Z331" s="152">
        <f>W331-X331-Y331</f>
        <v/>
      </c>
      <c r="AA331" s="152">
        <f>IF(AD330&lt;=0.005,0,AD330*(1+AA$6))</f>
        <v/>
      </c>
      <c r="AB331" s="152">
        <f>MIN(AA331,AA$7)</f>
        <v/>
      </c>
      <c r="AC331" s="152">
        <f>MAX(0,MIN(AA331-AB331,AQ331-(E331+I331+M331+Q331+U331+Y331)))</f>
        <v/>
      </c>
      <c r="AD331" s="152">
        <f>AA331-AB331-AC331</f>
        <v/>
      </c>
      <c r="AE331" s="152">
        <f>IF(AH330&lt;=0.005,0,AH330*(1+AE$6))</f>
        <v/>
      </c>
      <c r="AF331" s="152">
        <f>MIN(AE331,AE$7)</f>
        <v/>
      </c>
      <c r="AG331" s="152">
        <f>MAX(0,MIN(AE331-AF331,AQ331-(E331+I331+M331+Q331+U331+Y331+AC331)))</f>
        <v/>
      </c>
      <c r="AH331" s="152">
        <f>AE331-AF331-AG331</f>
        <v/>
      </c>
      <c r="AI331" s="152">
        <f>IF(AL330&lt;=0.005,0,AL330*(1+AI$6))</f>
        <v/>
      </c>
      <c r="AJ331" s="152">
        <f>MIN(AI331,AI$7)</f>
        <v/>
      </c>
      <c r="AK331" s="152">
        <f>MAX(0,MIN(AI331-AJ331,AQ331-(E331+I331+M331+Q331+U331+Y331+AC331+AG331)))</f>
        <v/>
      </c>
      <c r="AL331" s="152">
        <f>AI331-AJ331-AK331</f>
        <v/>
      </c>
      <c r="AM331" s="152">
        <f>IF(AP330&lt;=0.005,0,AP330*(1+AM$6))</f>
        <v/>
      </c>
      <c r="AN331" s="152">
        <f>MIN(AM331,AM$7)</f>
        <v/>
      </c>
      <c r="AO331" s="152">
        <f>MAX(0,MIN(AM331-AN331,AQ331-(E331+I331+M331+Q331+U331+Y331+AC331+AG331+AK331)))</f>
        <v/>
      </c>
      <c r="AP331" s="152">
        <f>AM331-AN331-AO331</f>
        <v/>
      </c>
      <c r="AQ331" s="152">
        <f>'Debt Payoff'!$C$8-SUM(D331,H331,L331,P331,T331,X331,AB331,AF331,AJ331,AN331)</f>
        <v/>
      </c>
      <c r="AR331" s="152">
        <f>SUM(D331,H331,L331,P331,T331,X331,AB331,AF331,AJ331,AN331)+SUM(E331,I331,M331,Q331,U331,Y331,AC331,AG331,AK331,AO331)</f>
        <v/>
      </c>
      <c r="AS331" s="152">
        <f>SUM(F331,J331,N331,R331,V331,Z331,AD331,AH331,AL331,AP331)</f>
        <v/>
      </c>
      <c r="AT331" s="152">
        <f>IF(B331&gt;AS$6,NA(),B331)</f>
        <v/>
      </c>
      <c r="AU331" s="152">
        <f>IF(B331&gt;AS$6,NA(),AS331)</f>
        <v/>
      </c>
      <c r="AV331" s="152" t="n"/>
      <c r="AW331" s="152" t="n">
        <v>320</v>
      </c>
      <c r="AX331" s="152">
        <f>IF(BA330&lt;=0.005,0,BA330*(1+AX$6))</f>
        <v/>
      </c>
      <c r="AY331" s="152">
        <f>MIN(AX331,AX$7)</f>
        <v/>
      </c>
      <c r="AZ331" s="152">
        <f>MAX(0,MIN(AX331-AY331,CL331))</f>
        <v/>
      </c>
      <c r="BA331" s="152">
        <f>AX331-AY331-AZ331</f>
        <v/>
      </c>
      <c r="BB331" s="152">
        <f>IF(BE330&lt;=0.005,0,BE330*(1+BB$6))</f>
        <v/>
      </c>
      <c r="BC331" s="152">
        <f>MIN(BB331,BB$7)</f>
        <v/>
      </c>
      <c r="BD331" s="152">
        <f>MAX(0,MIN(BB331-BC331,CL331-(AZ331)))</f>
        <v/>
      </c>
      <c r="BE331" s="152">
        <f>BB331-BC331-BD331</f>
        <v/>
      </c>
      <c r="BF331" s="152">
        <f>IF(BI330&lt;=0.005,0,BI330*(1+BF$6))</f>
        <v/>
      </c>
      <c r="BG331" s="152">
        <f>MIN(BF331,BF$7)</f>
        <v/>
      </c>
      <c r="BH331" s="152">
        <f>MAX(0,MIN(BF331-BG331,CL331-(AZ331+BD331)))</f>
        <v/>
      </c>
      <c r="BI331" s="152">
        <f>BF331-BG331-BH331</f>
        <v/>
      </c>
      <c r="BJ331" s="152">
        <f>IF(BM330&lt;=0.005,0,BM330*(1+BJ$6))</f>
        <v/>
      </c>
      <c r="BK331" s="152">
        <f>MIN(BJ331,BJ$7)</f>
        <v/>
      </c>
      <c r="BL331" s="152">
        <f>MAX(0,MIN(BJ331-BK331,CL331-(AZ331+BD331+BH331)))</f>
        <v/>
      </c>
      <c r="BM331" s="152">
        <f>BJ331-BK331-BL331</f>
        <v/>
      </c>
      <c r="BN331" s="152">
        <f>IF(BQ330&lt;=0.005,0,BQ330*(1+BN$6))</f>
        <v/>
      </c>
      <c r="BO331" s="152">
        <f>MIN(BN331,BN$7)</f>
        <v/>
      </c>
      <c r="BP331" s="152">
        <f>MAX(0,MIN(BN331-BO331,CL331-(AZ331+BD331+BH331+BL331)))</f>
        <v/>
      </c>
      <c r="BQ331" s="152">
        <f>BN331-BO331-BP331</f>
        <v/>
      </c>
      <c r="BR331" s="152">
        <f>IF(BU330&lt;=0.005,0,BU330*(1+BR$6))</f>
        <v/>
      </c>
      <c r="BS331" s="152">
        <f>MIN(BR331,BR$7)</f>
        <v/>
      </c>
      <c r="BT331" s="152">
        <f>MAX(0,MIN(BR331-BS331,CL331-(AZ331+BD331+BH331+BL331+BP331)))</f>
        <v/>
      </c>
      <c r="BU331" s="152">
        <f>BR331-BS331-BT331</f>
        <v/>
      </c>
      <c r="BV331" s="152">
        <f>IF(BY330&lt;=0.005,0,BY330*(1+BV$6))</f>
        <v/>
      </c>
      <c r="BW331" s="152">
        <f>MIN(BV331,BV$7)</f>
        <v/>
      </c>
      <c r="BX331" s="152">
        <f>MAX(0,MIN(BV331-BW331,CL331-(AZ331+BD331+BH331+BL331+BP331+BT331)))</f>
        <v/>
      </c>
      <c r="BY331" s="152">
        <f>BV331-BW331-BX331</f>
        <v/>
      </c>
      <c r="BZ331" s="152">
        <f>IF(CC330&lt;=0.005,0,CC330*(1+BZ$6))</f>
        <v/>
      </c>
      <c r="CA331" s="152">
        <f>MIN(BZ331,BZ$7)</f>
        <v/>
      </c>
      <c r="CB331" s="152">
        <f>MAX(0,MIN(BZ331-CA331,CL331-(AZ331+BD331+BH331+BL331+BP331+BT331+BX331)))</f>
        <v/>
      </c>
      <c r="CC331" s="152">
        <f>BZ331-CA331-CB331</f>
        <v/>
      </c>
      <c r="CD331" s="152">
        <f>IF(CG330&lt;=0.005,0,CG330*(1+CD$6))</f>
        <v/>
      </c>
      <c r="CE331" s="152">
        <f>MIN(CD331,CD$7)</f>
        <v/>
      </c>
      <c r="CF331" s="152">
        <f>MAX(0,MIN(CD331-CE331,CL331-(AZ331+BD331+BH331+BL331+BP331+BT331+BX331+CB331)))</f>
        <v/>
      </c>
      <c r="CG331" s="152">
        <f>CD331-CE331-CF331</f>
        <v/>
      </c>
      <c r="CH331" s="152">
        <f>IF(CK330&lt;=0.005,0,CK330*(1+CH$6))</f>
        <v/>
      </c>
      <c r="CI331" s="152">
        <f>MIN(CH331,CH$7)</f>
        <v/>
      </c>
      <c r="CJ331" s="152">
        <f>MAX(0,MIN(CH331-CI331,CL331-(AZ331+BD331+BH331+BL331+BP331+BT331+BX331+CB331+CF331)))</f>
        <v/>
      </c>
      <c r="CK331" s="152">
        <f>CH331-CI331-CJ331</f>
        <v/>
      </c>
      <c r="CL331" s="152">
        <f>'Debt Payoff'!$C$8-SUM(AY331,BC331,BG331,BK331,BO331,BS331,BW331,CA331,CE331,CI331)</f>
        <v/>
      </c>
      <c r="CM331" s="152">
        <f>SUM(AY331,BC331,BG331,BK331,BO331,BS331,BW331,CA331,CE331,CI331)+SUM(AZ331,BD331,BH331,BL331,BP331,BT331,BX331,CB331,CF331,CJ331)</f>
        <v/>
      </c>
      <c r="CN331" s="152">
        <f>SUM(BA331,BE331,BI331,BM331,BQ331,BU331,BY331,CC331,CG331,CK331)</f>
        <v/>
      </c>
      <c r="CO331" s="152">
        <f>IF(AW331&gt;CN$6,NA(),AW331)</f>
        <v/>
      </c>
      <c r="CP331" s="152">
        <f>IF(AW331&gt;CN$6,NA(),CN331)</f>
        <v/>
      </c>
    </row>
    <row r="332">
      <c r="B332" s="152" t="n">
        <v>321</v>
      </c>
      <c r="C332" s="152">
        <f>IF(F331&lt;=0.005,0,F331*(1+C$6))</f>
        <v/>
      </c>
      <c r="D332" s="152">
        <f>MIN(C332,C$7)</f>
        <v/>
      </c>
      <c r="E332" s="152">
        <f>MAX(0,MIN(C332-D332,AQ332))</f>
        <v/>
      </c>
      <c r="F332" s="152">
        <f>C332-D332-E332</f>
        <v/>
      </c>
      <c r="G332" s="152">
        <f>IF(J331&lt;=0.005,0,J331*(1+G$6))</f>
        <v/>
      </c>
      <c r="H332" s="152">
        <f>MIN(G332,G$7)</f>
        <v/>
      </c>
      <c r="I332" s="152">
        <f>MAX(0,MIN(G332-H332,AQ332-(E332)))</f>
        <v/>
      </c>
      <c r="J332" s="152">
        <f>G332-H332-I332</f>
        <v/>
      </c>
      <c r="K332" s="152">
        <f>IF(N331&lt;=0.005,0,N331*(1+K$6))</f>
        <v/>
      </c>
      <c r="L332" s="152">
        <f>MIN(K332,K$7)</f>
        <v/>
      </c>
      <c r="M332" s="152">
        <f>MAX(0,MIN(K332-L332,AQ332-(E332+I332)))</f>
        <v/>
      </c>
      <c r="N332" s="152">
        <f>K332-L332-M332</f>
        <v/>
      </c>
      <c r="O332" s="152">
        <f>IF(R331&lt;=0.005,0,R331*(1+O$6))</f>
        <v/>
      </c>
      <c r="P332" s="152">
        <f>MIN(O332,O$7)</f>
        <v/>
      </c>
      <c r="Q332" s="152">
        <f>MAX(0,MIN(O332-P332,AQ332-(E332+I332+M332)))</f>
        <v/>
      </c>
      <c r="R332" s="152">
        <f>O332-P332-Q332</f>
        <v/>
      </c>
      <c r="S332" s="152">
        <f>IF(V331&lt;=0.005,0,V331*(1+S$6))</f>
        <v/>
      </c>
      <c r="T332" s="152">
        <f>MIN(S332,S$7)</f>
        <v/>
      </c>
      <c r="U332" s="152">
        <f>MAX(0,MIN(S332-T332,AQ332-(E332+I332+M332+Q332)))</f>
        <v/>
      </c>
      <c r="V332" s="152">
        <f>S332-T332-U332</f>
        <v/>
      </c>
      <c r="W332" s="152">
        <f>IF(Z331&lt;=0.005,0,Z331*(1+W$6))</f>
        <v/>
      </c>
      <c r="X332" s="152">
        <f>MIN(W332,W$7)</f>
        <v/>
      </c>
      <c r="Y332" s="152">
        <f>MAX(0,MIN(W332-X332,AQ332-(E332+I332+M332+Q332+U332)))</f>
        <v/>
      </c>
      <c r="Z332" s="152">
        <f>W332-X332-Y332</f>
        <v/>
      </c>
      <c r="AA332" s="152">
        <f>IF(AD331&lt;=0.005,0,AD331*(1+AA$6))</f>
        <v/>
      </c>
      <c r="AB332" s="152">
        <f>MIN(AA332,AA$7)</f>
        <v/>
      </c>
      <c r="AC332" s="152">
        <f>MAX(0,MIN(AA332-AB332,AQ332-(E332+I332+M332+Q332+U332+Y332)))</f>
        <v/>
      </c>
      <c r="AD332" s="152">
        <f>AA332-AB332-AC332</f>
        <v/>
      </c>
      <c r="AE332" s="152">
        <f>IF(AH331&lt;=0.005,0,AH331*(1+AE$6))</f>
        <v/>
      </c>
      <c r="AF332" s="152">
        <f>MIN(AE332,AE$7)</f>
        <v/>
      </c>
      <c r="AG332" s="152">
        <f>MAX(0,MIN(AE332-AF332,AQ332-(E332+I332+M332+Q332+U332+Y332+AC332)))</f>
        <v/>
      </c>
      <c r="AH332" s="152">
        <f>AE332-AF332-AG332</f>
        <v/>
      </c>
      <c r="AI332" s="152">
        <f>IF(AL331&lt;=0.005,0,AL331*(1+AI$6))</f>
        <v/>
      </c>
      <c r="AJ332" s="152">
        <f>MIN(AI332,AI$7)</f>
        <v/>
      </c>
      <c r="AK332" s="152">
        <f>MAX(0,MIN(AI332-AJ332,AQ332-(E332+I332+M332+Q332+U332+Y332+AC332+AG332)))</f>
        <v/>
      </c>
      <c r="AL332" s="152">
        <f>AI332-AJ332-AK332</f>
        <v/>
      </c>
      <c r="AM332" s="152">
        <f>IF(AP331&lt;=0.005,0,AP331*(1+AM$6))</f>
        <v/>
      </c>
      <c r="AN332" s="152">
        <f>MIN(AM332,AM$7)</f>
        <v/>
      </c>
      <c r="AO332" s="152">
        <f>MAX(0,MIN(AM332-AN332,AQ332-(E332+I332+M332+Q332+U332+Y332+AC332+AG332+AK332)))</f>
        <v/>
      </c>
      <c r="AP332" s="152">
        <f>AM332-AN332-AO332</f>
        <v/>
      </c>
      <c r="AQ332" s="152">
        <f>'Debt Payoff'!$C$8-SUM(D332,H332,L332,P332,T332,X332,AB332,AF332,AJ332,AN332)</f>
        <v/>
      </c>
      <c r="AR332" s="152">
        <f>SUM(D332,H332,L332,P332,T332,X332,AB332,AF332,AJ332,AN332)+SUM(E332,I332,M332,Q332,U332,Y332,AC332,AG332,AK332,AO332)</f>
        <v/>
      </c>
      <c r="AS332" s="152">
        <f>SUM(F332,J332,N332,R332,V332,Z332,AD332,AH332,AL332,AP332)</f>
        <v/>
      </c>
      <c r="AT332" s="152">
        <f>IF(B332&gt;AS$6,NA(),B332)</f>
        <v/>
      </c>
      <c r="AU332" s="152">
        <f>IF(B332&gt;AS$6,NA(),AS332)</f>
        <v/>
      </c>
      <c r="AV332" s="152" t="n"/>
      <c r="AW332" s="152" t="n">
        <v>321</v>
      </c>
      <c r="AX332" s="152">
        <f>IF(BA331&lt;=0.005,0,BA331*(1+AX$6))</f>
        <v/>
      </c>
      <c r="AY332" s="152">
        <f>MIN(AX332,AX$7)</f>
        <v/>
      </c>
      <c r="AZ332" s="152">
        <f>MAX(0,MIN(AX332-AY332,CL332))</f>
        <v/>
      </c>
      <c r="BA332" s="152">
        <f>AX332-AY332-AZ332</f>
        <v/>
      </c>
      <c r="BB332" s="152">
        <f>IF(BE331&lt;=0.005,0,BE331*(1+BB$6))</f>
        <v/>
      </c>
      <c r="BC332" s="152">
        <f>MIN(BB332,BB$7)</f>
        <v/>
      </c>
      <c r="BD332" s="152">
        <f>MAX(0,MIN(BB332-BC332,CL332-(AZ332)))</f>
        <v/>
      </c>
      <c r="BE332" s="152">
        <f>BB332-BC332-BD332</f>
        <v/>
      </c>
      <c r="BF332" s="152">
        <f>IF(BI331&lt;=0.005,0,BI331*(1+BF$6))</f>
        <v/>
      </c>
      <c r="BG332" s="152">
        <f>MIN(BF332,BF$7)</f>
        <v/>
      </c>
      <c r="BH332" s="152">
        <f>MAX(0,MIN(BF332-BG332,CL332-(AZ332+BD332)))</f>
        <v/>
      </c>
      <c r="BI332" s="152">
        <f>BF332-BG332-BH332</f>
        <v/>
      </c>
      <c r="BJ332" s="152">
        <f>IF(BM331&lt;=0.005,0,BM331*(1+BJ$6))</f>
        <v/>
      </c>
      <c r="BK332" s="152">
        <f>MIN(BJ332,BJ$7)</f>
        <v/>
      </c>
      <c r="BL332" s="152">
        <f>MAX(0,MIN(BJ332-BK332,CL332-(AZ332+BD332+BH332)))</f>
        <v/>
      </c>
      <c r="BM332" s="152">
        <f>BJ332-BK332-BL332</f>
        <v/>
      </c>
      <c r="BN332" s="152">
        <f>IF(BQ331&lt;=0.005,0,BQ331*(1+BN$6))</f>
        <v/>
      </c>
      <c r="BO332" s="152">
        <f>MIN(BN332,BN$7)</f>
        <v/>
      </c>
      <c r="BP332" s="152">
        <f>MAX(0,MIN(BN332-BO332,CL332-(AZ332+BD332+BH332+BL332)))</f>
        <v/>
      </c>
      <c r="BQ332" s="152">
        <f>BN332-BO332-BP332</f>
        <v/>
      </c>
      <c r="BR332" s="152">
        <f>IF(BU331&lt;=0.005,0,BU331*(1+BR$6))</f>
        <v/>
      </c>
      <c r="BS332" s="152">
        <f>MIN(BR332,BR$7)</f>
        <v/>
      </c>
      <c r="BT332" s="152">
        <f>MAX(0,MIN(BR332-BS332,CL332-(AZ332+BD332+BH332+BL332+BP332)))</f>
        <v/>
      </c>
      <c r="BU332" s="152">
        <f>BR332-BS332-BT332</f>
        <v/>
      </c>
      <c r="BV332" s="152">
        <f>IF(BY331&lt;=0.005,0,BY331*(1+BV$6))</f>
        <v/>
      </c>
      <c r="BW332" s="152">
        <f>MIN(BV332,BV$7)</f>
        <v/>
      </c>
      <c r="BX332" s="152">
        <f>MAX(0,MIN(BV332-BW332,CL332-(AZ332+BD332+BH332+BL332+BP332+BT332)))</f>
        <v/>
      </c>
      <c r="BY332" s="152">
        <f>BV332-BW332-BX332</f>
        <v/>
      </c>
      <c r="BZ332" s="152">
        <f>IF(CC331&lt;=0.005,0,CC331*(1+BZ$6))</f>
        <v/>
      </c>
      <c r="CA332" s="152">
        <f>MIN(BZ332,BZ$7)</f>
        <v/>
      </c>
      <c r="CB332" s="152">
        <f>MAX(0,MIN(BZ332-CA332,CL332-(AZ332+BD332+BH332+BL332+BP332+BT332+BX332)))</f>
        <v/>
      </c>
      <c r="CC332" s="152">
        <f>BZ332-CA332-CB332</f>
        <v/>
      </c>
      <c r="CD332" s="152">
        <f>IF(CG331&lt;=0.005,0,CG331*(1+CD$6))</f>
        <v/>
      </c>
      <c r="CE332" s="152">
        <f>MIN(CD332,CD$7)</f>
        <v/>
      </c>
      <c r="CF332" s="152">
        <f>MAX(0,MIN(CD332-CE332,CL332-(AZ332+BD332+BH332+BL332+BP332+BT332+BX332+CB332)))</f>
        <v/>
      </c>
      <c r="CG332" s="152">
        <f>CD332-CE332-CF332</f>
        <v/>
      </c>
      <c r="CH332" s="152">
        <f>IF(CK331&lt;=0.005,0,CK331*(1+CH$6))</f>
        <v/>
      </c>
      <c r="CI332" s="152">
        <f>MIN(CH332,CH$7)</f>
        <v/>
      </c>
      <c r="CJ332" s="152">
        <f>MAX(0,MIN(CH332-CI332,CL332-(AZ332+BD332+BH332+BL332+BP332+BT332+BX332+CB332+CF332)))</f>
        <v/>
      </c>
      <c r="CK332" s="152">
        <f>CH332-CI332-CJ332</f>
        <v/>
      </c>
      <c r="CL332" s="152">
        <f>'Debt Payoff'!$C$8-SUM(AY332,BC332,BG332,BK332,BO332,BS332,BW332,CA332,CE332,CI332)</f>
        <v/>
      </c>
      <c r="CM332" s="152">
        <f>SUM(AY332,BC332,BG332,BK332,BO332,BS332,BW332,CA332,CE332,CI332)+SUM(AZ332,BD332,BH332,BL332,BP332,BT332,BX332,CB332,CF332,CJ332)</f>
        <v/>
      </c>
      <c r="CN332" s="152">
        <f>SUM(BA332,BE332,BI332,BM332,BQ332,BU332,BY332,CC332,CG332,CK332)</f>
        <v/>
      </c>
      <c r="CO332" s="152">
        <f>IF(AW332&gt;CN$6,NA(),AW332)</f>
        <v/>
      </c>
      <c r="CP332" s="152">
        <f>IF(AW332&gt;CN$6,NA(),CN332)</f>
        <v/>
      </c>
    </row>
    <row r="333">
      <c r="B333" s="152" t="n">
        <v>322</v>
      </c>
      <c r="C333" s="152">
        <f>IF(F332&lt;=0.005,0,F332*(1+C$6))</f>
        <v/>
      </c>
      <c r="D333" s="152">
        <f>MIN(C333,C$7)</f>
        <v/>
      </c>
      <c r="E333" s="152">
        <f>MAX(0,MIN(C333-D333,AQ333))</f>
        <v/>
      </c>
      <c r="F333" s="152">
        <f>C333-D333-E333</f>
        <v/>
      </c>
      <c r="G333" s="152">
        <f>IF(J332&lt;=0.005,0,J332*(1+G$6))</f>
        <v/>
      </c>
      <c r="H333" s="152">
        <f>MIN(G333,G$7)</f>
        <v/>
      </c>
      <c r="I333" s="152">
        <f>MAX(0,MIN(G333-H333,AQ333-(E333)))</f>
        <v/>
      </c>
      <c r="J333" s="152">
        <f>G333-H333-I333</f>
        <v/>
      </c>
      <c r="K333" s="152">
        <f>IF(N332&lt;=0.005,0,N332*(1+K$6))</f>
        <v/>
      </c>
      <c r="L333" s="152">
        <f>MIN(K333,K$7)</f>
        <v/>
      </c>
      <c r="M333" s="152">
        <f>MAX(0,MIN(K333-L333,AQ333-(E333+I333)))</f>
        <v/>
      </c>
      <c r="N333" s="152">
        <f>K333-L333-M333</f>
        <v/>
      </c>
      <c r="O333" s="152">
        <f>IF(R332&lt;=0.005,0,R332*(1+O$6))</f>
        <v/>
      </c>
      <c r="P333" s="152">
        <f>MIN(O333,O$7)</f>
        <v/>
      </c>
      <c r="Q333" s="152">
        <f>MAX(0,MIN(O333-P333,AQ333-(E333+I333+M333)))</f>
        <v/>
      </c>
      <c r="R333" s="152">
        <f>O333-P333-Q333</f>
        <v/>
      </c>
      <c r="S333" s="152">
        <f>IF(V332&lt;=0.005,0,V332*(1+S$6))</f>
        <v/>
      </c>
      <c r="T333" s="152">
        <f>MIN(S333,S$7)</f>
        <v/>
      </c>
      <c r="U333" s="152">
        <f>MAX(0,MIN(S333-T333,AQ333-(E333+I333+M333+Q333)))</f>
        <v/>
      </c>
      <c r="V333" s="152">
        <f>S333-T333-U333</f>
        <v/>
      </c>
      <c r="W333" s="152">
        <f>IF(Z332&lt;=0.005,0,Z332*(1+W$6))</f>
        <v/>
      </c>
      <c r="X333" s="152">
        <f>MIN(W333,W$7)</f>
        <v/>
      </c>
      <c r="Y333" s="152">
        <f>MAX(0,MIN(W333-X333,AQ333-(E333+I333+M333+Q333+U333)))</f>
        <v/>
      </c>
      <c r="Z333" s="152">
        <f>W333-X333-Y333</f>
        <v/>
      </c>
      <c r="AA333" s="152">
        <f>IF(AD332&lt;=0.005,0,AD332*(1+AA$6))</f>
        <v/>
      </c>
      <c r="AB333" s="152">
        <f>MIN(AA333,AA$7)</f>
        <v/>
      </c>
      <c r="AC333" s="152">
        <f>MAX(0,MIN(AA333-AB333,AQ333-(E333+I333+M333+Q333+U333+Y333)))</f>
        <v/>
      </c>
      <c r="AD333" s="152">
        <f>AA333-AB333-AC333</f>
        <v/>
      </c>
      <c r="AE333" s="152">
        <f>IF(AH332&lt;=0.005,0,AH332*(1+AE$6))</f>
        <v/>
      </c>
      <c r="AF333" s="152">
        <f>MIN(AE333,AE$7)</f>
        <v/>
      </c>
      <c r="AG333" s="152">
        <f>MAX(0,MIN(AE333-AF333,AQ333-(E333+I333+M333+Q333+U333+Y333+AC333)))</f>
        <v/>
      </c>
      <c r="AH333" s="152">
        <f>AE333-AF333-AG333</f>
        <v/>
      </c>
      <c r="AI333" s="152">
        <f>IF(AL332&lt;=0.005,0,AL332*(1+AI$6))</f>
        <v/>
      </c>
      <c r="AJ333" s="152">
        <f>MIN(AI333,AI$7)</f>
        <v/>
      </c>
      <c r="AK333" s="152">
        <f>MAX(0,MIN(AI333-AJ333,AQ333-(E333+I333+M333+Q333+U333+Y333+AC333+AG333)))</f>
        <v/>
      </c>
      <c r="AL333" s="152">
        <f>AI333-AJ333-AK333</f>
        <v/>
      </c>
      <c r="AM333" s="152">
        <f>IF(AP332&lt;=0.005,0,AP332*(1+AM$6))</f>
        <v/>
      </c>
      <c r="AN333" s="152">
        <f>MIN(AM333,AM$7)</f>
        <v/>
      </c>
      <c r="AO333" s="152">
        <f>MAX(0,MIN(AM333-AN333,AQ333-(E333+I333+M333+Q333+U333+Y333+AC333+AG333+AK333)))</f>
        <v/>
      </c>
      <c r="AP333" s="152">
        <f>AM333-AN333-AO333</f>
        <v/>
      </c>
      <c r="AQ333" s="152">
        <f>'Debt Payoff'!$C$8-SUM(D333,H333,L333,P333,T333,X333,AB333,AF333,AJ333,AN333)</f>
        <v/>
      </c>
      <c r="AR333" s="152">
        <f>SUM(D333,H333,L333,P333,T333,X333,AB333,AF333,AJ333,AN333)+SUM(E333,I333,M333,Q333,U333,Y333,AC333,AG333,AK333,AO333)</f>
        <v/>
      </c>
      <c r="AS333" s="152">
        <f>SUM(F333,J333,N333,R333,V333,Z333,AD333,AH333,AL333,AP333)</f>
        <v/>
      </c>
      <c r="AT333" s="152">
        <f>IF(B333&gt;AS$6,NA(),B333)</f>
        <v/>
      </c>
      <c r="AU333" s="152">
        <f>IF(B333&gt;AS$6,NA(),AS333)</f>
        <v/>
      </c>
      <c r="AV333" s="152" t="n"/>
      <c r="AW333" s="152" t="n">
        <v>322</v>
      </c>
      <c r="AX333" s="152">
        <f>IF(BA332&lt;=0.005,0,BA332*(1+AX$6))</f>
        <v/>
      </c>
      <c r="AY333" s="152">
        <f>MIN(AX333,AX$7)</f>
        <v/>
      </c>
      <c r="AZ333" s="152">
        <f>MAX(0,MIN(AX333-AY333,CL333))</f>
        <v/>
      </c>
      <c r="BA333" s="152">
        <f>AX333-AY333-AZ333</f>
        <v/>
      </c>
      <c r="BB333" s="152">
        <f>IF(BE332&lt;=0.005,0,BE332*(1+BB$6))</f>
        <v/>
      </c>
      <c r="BC333" s="152">
        <f>MIN(BB333,BB$7)</f>
        <v/>
      </c>
      <c r="BD333" s="152">
        <f>MAX(0,MIN(BB333-BC333,CL333-(AZ333)))</f>
        <v/>
      </c>
      <c r="BE333" s="152">
        <f>BB333-BC333-BD333</f>
        <v/>
      </c>
      <c r="BF333" s="152">
        <f>IF(BI332&lt;=0.005,0,BI332*(1+BF$6))</f>
        <v/>
      </c>
      <c r="BG333" s="152">
        <f>MIN(BF333,BF$7)</f>
        <v/>
      </c>
      <c r="BH333" s="152">
        <f>MAX(0,MIN(BF333-BG333,CL333-(AZ333+BD333)))</f>
        <v/>
      </c>
      <c r="BI333" s="152">
        <f>BF333-BG333-BH333</f>
        <v/>
      </c>
      <c r="BJ333" s="152">
        <f>IF(BM332&lt;=0.005,0,BM332*(1+BJ$6))</f>
        <v/>
      </c>
      <c r="BK333" s="152">
        <f>MIN(BJ333,BJ$7)</f>
        <v/>
      </c>
      <c r="BL333" s="152">
        <f>MAX(0,MIN(BJ333-BK333,CL333-(AZ333+BD333+BH333)))</f>
        <v/>
      </c>
      <c r="BM333" s="152">
        <f>BJ333-BK333-BL333</f>
        <v/>
      </c>
      <c r="BN333" s="152">
        <f>IF(BQ332&lt;=0.005,0,BQ332*(1+BN$6))</f>
        <v/>
      </c>
      <c r="BO333" s="152">
        <f>MIN(BN333,BN$7)</f>
        <v/>
      </c>
      <c r="BP333" s="152">
        <f>MAX(0,MIN(BN333-BO333,CL333-(AZ333+BD333+BH333+BL333)))</f>
        <v/>
      </c>
      <c r="BQ333" s="152">
        <f>BN333-BO333-BP333</f>
        <v/>
      </c>
      <c r="BR333" s="152">
        <f>IF(BU332&lt;=0.005,0,BU332*(1+BR$6))</f>
        <v/>
      </c>
      <c r="BS333" s="152">
        <f>MIN(BR333,BR$7)</f>
        <v/>
      </c>
      <c r="BT333" s="152">
        <f>MAX(0,MIN(BR333-BS333,CL333-(AZ333+BD333+BH333+BL333+BP333)))</f>
        <v/>
      </c>
      <c r="BU333" s="152">
        <f>BR333-BS333-BT333</f>
        <v/>
      </c>
      <c r="BV333" s="152">
        <f>IF(BY332&lt;=0.005,0,BY332*(1+BV$6))</f>
        <v/>
      </c>
      <c r="BW333" s="152">
        <f>MIN(BV333,BV$7)</f>
        <v/>
      </c>
      <c r="BX333" s="152">
        <f>MAX(0,MIN(BV333-BW333,CL333-(AZ333+BD333+BH333+BL333+BP333+BT333)))</f>
        <v/>
      </c>
      <c r="BY333" s="152">
        <f>BV333-BW333-BX333</f>
        <v/>
      </c>
      <c r="BZ333" s="152">
        <f>IF(CC332&lt;=0.005,0,CC332*(1+BZ$6))</f>
        <v/>
      </c>
      <c r="CA333" s="152">
        <f>MIN(BZ333,BZ$7)</f>
        <v/>
      </c>
      <c r="CB333" s="152">
        <f>MAX(0,MIN(BZ333-CA333,CL333-(AZ333+BD333+BH333+BL333+BP333+BT333+BX333)))</f>
        <v/>
      </c>
      <c r="CC333" s="152">
        <f>BZ333-CA333-CB333</f>
        <v/>
      </c>
      <c r="CD333" s="152">
        <f>IF(CG332&lt;=0.005,0,CG332*(1+CD$6))</f>
        <v/>
      </c>
      <c r="CE333" s="152">
        <f>MIN(CD333,CD$7)</f>
        <v/>
      </c>
      <c r="CF333" s="152">
        <f>MAX(0,MIN(CD333-CE333,CL333-(AZ333+BD333+BH333+BL333+BP333+BT333+BX333+CB333)))</f>
        <v/>
      </c>
      <c r="CG333" s="152">
        <f>CD333-CE333-CF333</f>
        <v/>
      </c>
      <c r="CH333" s="152">
        <f>IF(CK332&lt;=0.005,0,CK332*(1+CH$6))</f>
        <v/>
      </c>
      <c r="CI333" s="152">
        <f>MIN(CH333,CH$7)</f>
        <v/>
      </c>
      <c r="CJ333" s="152">
        <f>MAX(0,MIN(CH333-CI333,CL333-(AZ333+BD333+BH333+BL333+BP333+BT333+BX333+CB333+CF333)))</f>
        <v/>
      </c>
      <c r="CK333" s="152">
        <f>CH333-CI333-CJ333</f>
        <v/>
      </c>
      <c r="CL333" s="152">
        <f>'Debt Payoff'!$C$8-SUM(AY333,BC333,BG333,BK333,BO333,BS333,BW333,CA333,CE333,CI333)</f>
        <v/>
      </c>
      <c r="CM333" s="152">
        <f>SUM(AY333,BC333,BG333,BK333,BO333,BS333,BW333,CA333,CE333,CI333)+SUM(AZ333,BD333,BH333,BL333,BP333,BT333,BX333,CB333,CF333,CJ333)</f>
        <v/>
      </c>
      <c r="CN333" s="152">
        <f>SUM(BA333,BE333,BI333,BM333,BQ333,BU333,BY333,CC333,CG333,CK333)</f>
        <v/>
      </c>
      <c r="CO333" s="152">
        <f>IF(AW333&gt;CN$6,NA(),AW333)</f>
        <v/>
      </c>
      <c r="CP333" s="152">
        <f>IF(AW333&gt;CN$6,NA(),CN333)</f>
        <v/>
      </c>
    </row>
    <row r="334">
      <c r="B334" s="152" t="n">
        <v>323</v>
      </c>
      <c r="C334" s="152">
        <f>IF(F333&lt;=0.005,0,F333*(1+C$6))</f>
        <v/>
      </c>
      <c r="D334" s="152">
        <f>MIN(C334,C$7)</f>
        <v/>
      </c>
      <c r="E334" s="152">
        <f>MAX(0,MIN(C334-D334,AQ334))</f>
        <v/>
      </c>
      <c r="F334" s="152">
        <f>C334-D334-E334</f>
        <v/>
      </c>
      <c r="G334" s="152">
        <f>IF(J333&lt;=0.005,0,J333*(1+G$6))</f>
        <v/>
      </c>
      <c r="H334" s="152">
        <f>MIN(G334,G$7)</f>
        <v/>
      </c>
      <c r="I334" s="152">
        <f>MAX(0,MIN(G334-H334,AQ334-(E334)))</f>
        <v/>
      </c>
      <c r="J334" s="152">
        <f>G334-H334-I334</f>
        <v/>
      </c>
      <c r="K334" s="152">
        <f>IF(N333&lt;=0.005,0,N333*(1+K$6))</f>
        <v/>
      </c>
      <c r="L334" s="152">
        <f>MIN(K334,K$7)</f>
        <v/>
      </c>
      <c r="M334" s="152">
        <f>MAX(0,MIN(K334-L334,AQ334-(E334+I334)))</f>
        <v/>
      </c>
      <c r="N334" s="152">
        <f>K334-L334-M334</f>
        <v/>
      </c>
      <c r="O334" s="152">
        <f>IF(R333&lt;=0.005,0,R333*(1+O$6))</f>
        <v/>
      </c>
      <c r="P334" s="152">
        <f>MIN(O334,O$7)</f>
        <v/>
      </c>
      <c r="Q334" s="152">
        <f>MAX(0,MIN(O334-P334,AQ334-(E334+I334+M334)))</f>
        <v/>
      </c>
      <c r="R334" s="152">
        <f>O334-P334-Q334</f>
        <v/>
      </c>
      <c r="S334" s="152">
        <f>IF(V333&lt;=0.005,0,V333*(1+S$6))</f>
        <v/>
      </c>
      <c r="T334" s="152">
        <f>MIN(S334,S$7)</f>
        <v/>
      </c>
      <c r="U334" s="152">
        <f>MAX(0,MIN(S334-T334,AQ334-(E334+I334+M334+Q334)))</f>
        <v/>
      </c>
      <c r="V334" s="152">
        <f>S334-T334-U334</f>
        <v/>
      </c>
      <c r="W334" s="152">
        <f>IF(Z333&lt;=0.005,0,Z333*(1+W$6))</f>
        <v/>
      </c>
      <c r="X334" s="152">
        <f>MIN(W334,W$7)</f>
        <v/>
      </c>
      <c r="Y334" s="152">
        <f>MAX(0,MIN(W334-X334,AQ334-(E334+I334+M334+Q334+U334)))</f>
        <v/>
      </c>
      <c r="Z334" s="152">
        <f>W334-X334-Y334</f>
        <v/>
      </c>
      <c r="AA334" s="152">
        <f>IF(AD333&lt;=0.005,0,AD333*(1+AA$6))</f>
        <v/>
      </c>
      <c r="AB334" s="152">
        <f>MIN(AA334,AA$7)</f>
        <v/>
      </c>
      <c r="AC334" s="152">
        <f>MAX(0,MIN(AA334-AB334,AQ334-(E334+I334+M334+Q334+U334+Y334)))</f>
        <v/>
      </c>
      <c r="AD334" s="152">
        <f>AA334-AB334-AC334</f>
        <v/>
      </c>
      <c r="AE334" s="152">
        <f>IF(AH333&lt;=0.005,0,AH333*(1+AE$6))</f>
        <v/>
      </c>
      <c r="AF334" s="152">
        <f>MIN(AE334,AE$7)</f>
        <v/>
      </c>
      <c r="AG334" s="152">
        <f>MAX(0,MIN(AE334-AF334,AQ334-(E334+I334+M334+Q334+U334+Y334+AC334)))</f>
        <v/>
      </c>
      <c r="AH334" s="152">
        <f>AE334-AF334-AG334</f>
        <v/>
      </c>
      <c r="AI334" s="152">
        <f>IF(AL333&lt;=0.005,0,AL333*(1+AI$6))</f>
        <v/>
      </c>
      <c r="AJ334" s="152">
        <f>MIN(AI334,AI$7)</f>
        <v/>
      </c>
      <c r="AK334" s="152">
        <f>MAX(0,MIN(AI334-AJ334,AQ334-(E334+I334+M334+Q334+U334+Y334+AC334+AG334)))</f>
        <v/>
      </c>
      <c r="AL334" s="152">
        <f>AI334-AJ334-AK334</f>
        <v/>
      </c>
      <c r="AM334" s="152">
        <f>IF(AP333&lt;=0.005,0,AP333*(1+AM$6))</f>
        <v/>
      </c>
      <c r="AN334" s="152">
        <f>MIN(AM334,AM$7)</f>
        <v/>
      </c>
      <c r="AO334" s="152">
        <f>MAX(0,MIN(AM334-AN334,AQ334-(E334+I334+M334+Q334+U334+Y334+AC334+AG334+AK334)))</f>
        <v/>
      </c>
      <c r="AP334" s="152">
        <f>AM334-AN334-AO334</f>
        <v/>
      </c>
      <c r="AQ334" s="152">
        <f>'Debt Payoff'!$C$8-SUM(D334,H334,L334,P334,T334,X334,AB334,AF334,AJ334,AN334)</f>
        <v/>
      </c>
      <c r="AR334" s="152">
        <f>SUM(D334,H334,L334,P334,T334,X334,AB334,AF334,AJ334,AN334)+SUM(E334,I334,M334,Q334,U334,Y334,AC334,AG334,AK334,AO334)</f>
        <v/>
      </c>
      <c r="AS334" s="152">
        <f>SUM(F334,J334,N334,R334,V334,Z334,AD334,AH334,AL334,AP334)</f>
        <v/>
      </c>
      <c r="AT334" s="152">
        <f>IF(B334&gt;AS$6,NA(),B334)</f>
        <v/>
      </c>
      <c r="AU334" s="152">
        <f>IF(B334&gt;AS$6,NA(),AS334)</f>
        <v/>
      </c>
      <c r="AV334" s="152" t="n"/>
      <c r="AW334" s="152" t="n">
        <v>323</v>
      </c>
      <c r="AX334" s="152">
        <f>IF(BA333&lt;=0.005,0,BA333*(1+AX$6))</f>
        <v/>
      </c>
      <c r="AY334" s="152">
        <f>MIN(AX334,AX$7)</f>
        <v/>
      </c>
      <c r="AZ334" s="152">
        <f>MAX(0,MIN(AX334-AY334,CL334))</f>
        <v/>
      </c>
      <c r="BA334" s="152">
        <f>AX334-AY334-AZ334</f>
        <v/>
      </c>
      <c r="BB334" s="152">
        <f>IF(BE333&lt;=0.005,0,BE333*(1+BB$6))</f>
        <v/>
      </c>
      <c r="BC334" s="152">
        <f>MIN(BB334,BB$7)</f>
        <v/>
      </c>
      <c r="BD334" s="152">
        <f>MAX(0,MIN(BB334-BC334,CL334-(AZ334)))</f>
        <v/>
      </c>
      <c r="BE334" s="152">
        <f>BB334-BC334-BD334</f>
        <v/>
      </c>
      <c r="BF334" s="152">
        <f>IF(BI333&lt;=0.005,0,BI333*(1+BF$6))</f>
        <v/>
      </c>
      <c r="BG334" s="152">
        <f>MIN(BF334,BF$7)</f>
        <v/>
      </c>
      <c r="BH334" s="152">
        <f>MAX(0,MIN(BF334-BG334,CL334-(AZ334+BD334)))</f>
        <v/>
      </c>
      <c r="BI334" s="152">
        <f>BF334-BG334-BH334</f>
        <v/>
      </c>
      <c r="BJ334" s="152">
        <f>IF(BM333&lt;=0.005,0,BM333*(1+BJ$6))</f>
        <v/>
      </c>
      <c r="BK334" s="152">
        <f>MIN(BJ334,BJ$7)</f>
        <v/>
      </c>
      <c r="BL334" s="152">
        <f>MAX(0,MIN(BJ334-BK334,CL334-(AZ334+BD334+BH334)))</f>
        <v/>
      </c>
      <c r="BM334" s="152">
        <f>BJ334-BK334-BL334</f>
        <v/>
      </c>
      <c r="BN334" s="152">
        <f>IF(BQ333&lt;=0.005,0,BQ333*(1+BN$6))</f>
        <v/>
      </c>
      <c r="BO334" s="152">
        <f>MIN(BN334,BN$7)</f>
        <v/>
      </c>
      <c r="BP334" s="152">
        <f>MAX(0,MIN(BN334-BO334,CL334-(AZ334+BD334+BH334+BL334)))</f>
        <v/>
      </c>
      <c r="BQ334" s="152">
        <f>BN334-BO334-BP334</f>
        <v/>
      </c>
      <c r="BR334" s="152">
        <f>IF(BU333&lt;=0.005,0,BU333*(1+BR$6))</f>
        <v/>
      </c>
      <c r="BS334" s="152">
        <f>MIN(BR334,BR$7)</f>
        <v/>
      </c>
      <c r="BT334" s="152">
        <f>MAX(0,MIN(BR334-BS334,CL334-(AZ334+BD334+BH334+BL334+BP334)))</f>
        <v/>
      </c>
      <c r="BU334" s="152">
        <f>BR334-BS334-BT334</f>
        <v/>
      </c>
      <c r="BV334" s="152">
        <f>IF(BY333&lt;=0.005,0,BY333*(1+BV$6))</f>
        <v/>
      </c>
      <c r="BW334" s="152">
        <f>MIN(BV334,BV$7)</f>
        <v/>
      </c>
      <c r="BX334" s="152">
        <f>MAX(0,MIN(BV334-BW334,CL334-(AZ334+BD334+BH334+BL334+BP334+BT334)))</f>
        <v/>
      </c>
      <c r="BY334" s="152">
        <f>BV334-BW334-BX334</f>
        <v/>
      </c>
      <c r="BZ334" s="152">
        <f>IF(CC333&lt;=0.005,0,CC333*(1+BZ$6))</f>
        <v/>
      </c>
      <c r="CA334" s="152">
        <f>MIN(BZ334,BZ$7)</f>
        <v/>
      </c>
      <c r="CB334" s="152">
        <f>MAX(0,MIN(BZ334-CA334,CL334-(AZ334+BD334+BH334+BL334+BP334+BT334+BX334)))</f>
        <v/>
      </c>
      <c r="CC334" s="152">
        <f>BZ334-CA334-CB334</f>
        <v/>
      </c>
      <c r="CD334" s="152">
        <f>IF(CG333&lt;=0.005,0,CG333*(1+CD$6))</f>
        <v/>
      </c>
      <c r="CE334" s="152">
        <f>MIN(CD334,CD$7)</f>
        <v/>
      </c>
      <c r="CF334" s="152">
        <f>MAX(0,MIN(CD334-CE334,CL334-(AZ334+BD334+BH334+BL334+BP334+BT334+BX334+CB334)))</f>
        <v/>
      </c>
      <c r="CG334" s="152">
        <f>CD334-CE334-CF334</f>
        <v/>
      </c>
      <c r="CH334" s="152">
        <f>IF(CK333&lt;=0.005,0,CK333*(1+CH$6))</f>
        <v/>
      </c>
      <c r="CI334" s="152">
        <f>MIN(CH334,CH$7)</f>
        <v/>
      </c>
      <c r="CJ334" s="152">
        <f>MAX(0,MIN(CH334-CI334,CL334-(AZ334+BD334+BH334+BL334+BP334+BT334+BX334+CB334+CF334)))</f>
        <v/>
      </c>
      <c r="CK334" s="152">
        <f>CH334-CI334-CJ334</f>
        <v/>
      </c>
      <c r="CL334" s="152">
        <f>'Debt Payoff'!$C$8-SUM(AY334,BC334,BG334,BK334,BO334,BS334,BW334,CA334,CE334,CI334)</f>
        <v/>
      </c>
      <c r="CM334" s="152">
        <f>SUM(AY334,BC334,BG334,BK334,BO334,BS334,BW334,CA334,CE334,CI334)+SUM(AZ334,BD334,BH334,BL334,BP334,BT334,BX334,CB334,CF334,CJ334)</f>
        <v/>
      </c>
      <c r="CN334" s="152">
        <f>SUM(BA334,BE334,BI334,BM334,BQ334,BU334,BY334,CC334,CG334,CK334)</f>
        <v/>
      </c>
      <c r="CO334" s="152">
        <f>IF(AW334&gt;CN$6,NA(),AW334)</f>
        <v/>
      </c>
      <c r="CP334" s="152">
        <f>IF(AW334&gt;CN$6,NA(),CN334)</f>
        <v/>
      </c>
    </row>
    <row r="335">
      <c r="B335" s="152" t="n">
        <v>324</v>
      </c>
      <c r="C335" s="152">
        <f>IF(F334&lt;=0.005,0,F334*(1+C$6))</f>
        <v/>
      </c>
      <c r="D335" s="152">
        <f>MIN(C335,C$7)</f>
        <v/>
      </c>
      <c r="E335" s="152">
        <f>MAX(0,MIN(C335-D335,AQ335))</f>
        <v/>
      </c>
      <c r="F335" s="152">
        <f>C335-D335-E335</f>
        <v/>
      </c>
      <c r="G335" s="152">
        <f>IF(J334&lt;=0.005,0,J334*(1+G$6))</f>
        <v/>
      </c>
      <c r="H335" s="152">
        <f>MIN(G335,G$7)</f>
        <v/>
      </c>
      <c r="I335" s="152">
        <f>MAX(0,MIN(G335-H335,AQ335-(E335)))</f>
        <v/>
      </c>
      <c r="J335" s="152">
        <f>G335-H335-I335</f>
        <v/>
      </c>
      <c r="K335" s="152">
        <f>IF(N334&lt;=0.005,0,N334*(1+K$6))</f>
        <v/>
      </c>
      <c r="L335" s="152">
        <f>MIN(K335,K$7)</f>
        <v/>
      </c>
      <c r="M335" s="152">
        <f>MAX(0,MIN(K335-L335,AQ335-(E335+I335)))</f>
        <v/>
      </c>
      <c r="N335" s="152">
        <f>K335-L335-M335</f>
        <v/>
      </c>
      <c r="O335" s="152">
        <f>IF(R334&lt;=0.005,0,R334*(1+O$6))</f>
        <v/>
      </c>
      <c r="P335" s="152">
        <f>MIN(O335,O$7)</f>
        <v/>
      </c>
      <c r="Q335" s="152">
        <f>MAX(0,MIN(O335-P335,AQ335-(E335+I335+M335)))</f>
        <v/>
      </c>
      <c r="R335" s="152">
        <f>O335-P335-Q335</f>
        <v/>
      </c>
      <c r="S335" s="152">
        <f>IF(V334&lt;=0.005,0,V334*(1+S$6))</f>
        <v/>
      </c>
      <c r="T335" s="152">
        <f>MIN(S335,S$7)</f>
        <v/>
      </c>
      <c r="U335" s="152">
        <f>MAX(0,MIN(S335-T335,AQ335-(E335+I335+M335+Q335)))</f>
        <v/>
      </c>
      <c r="V335" s="152">
        <f>S335-T335-U335</f>
        <v/>
      </c>
      <c r="W335" s="152">
        <f>IF(Z334&lt;=0.005,0,Z334*(1+W$6))</f>
        <v/>
      </c>
      <c r="X335" s="152">
        <f>MIN(W335,W$7)</f>
        <v/>
      </c>
      <c r="Y335" s="152">
        <f>MAX(0,MIN(W335-X335,AQ335-(E335+I335+M335+Q335+U335)))</f>
        <v/>
      </c>
      <c r="Z335" s="152">
        <f>W335-X335-Y335</f>
        <v/>
      </c>
      <c r="AA335" s="152">
        <f>IF(AD334&lt;=0.005,0,AD334*(1+AA$6))</f>
        <v/>
      </c>
      <c r="AB335" s="152">
        <f>MIN(AA335,AA$7)</f>
        <v/>
      </c>
      <c r="AC335" s="152">
        <f>MAX(0,MIN(AA335-AB335,AQ335-(E335+I335+M335+Q335+U335+Y335)))</f>
        <v/>
      </c>
      <c r="AD335" s="152">
        <f>AA335-AB335-AC335</f>
        <v/>
      </c>
      <c r="AE335" s="152">
        <f>IF(AH334&lt;=0.005,0,AH334*(1+AE$6))</f>
        <v/>
      </c>
      <c r="AF335" s="152">
        <f>MIN(AE335,AE$7)</f>
        <v/>
      </c>
      <c r="AG335" s="152">
        <f>MAX(0,MIN(AE335-AF335,AQ335-(E335+I335+M335+Q335+U335+Y335+AC335)))</f>
        <v/>
      </c>
      <c r="AH335" s="152">
        <f>AE335-AF335-AG335</f>
        <v/>
      </c>
      <c r="AI335" s="152">
        <f>IF(AL334&lt;=0.005,0,AL334*(1+AI$6))</f>
        <v/>
      </c>
      <c r="AJ335" s="152">
        <f>MIN(AI335,AI$7)</f>
        <v/>
      </c>
      <c r="AK335" s="152">
        <f>MAX(0,MIN(AI335-AJ335,AQ335-(E335+I335+M335+Q335+U335+Y335+AC335+AG335)))</f>
        <v/>
      </c>
      <c r="AL335" s="152">
        <f>AI335-AJ335-AK335</f>
        <v/>
      </c>
      <c r="AM335" s="152">
        <f>IF(AP334&lt;=0.005,0,AP334*(1+AM$6))</f>
        <v/>
      </c>
      <c r="AN335" s="152">
        <f>MIN(AM335,AM$7)</f>
        <v/>
      </c>
      <c r="AO335" s="152">
        <f>MAX(0,MIN(AM335-AN335,AQ335-(E335+I335+M335+Q335+U335+Y335+AC335+AG335+AK335)))</f>
        <v/>
      </c>
      <c r="AP335" s="152">
        <f>AM335-AN335-AO335</f>
        <v/>
      </c>
      <c r="AQ335" s="152">
        <f>'Debt Payoff'!$C$8-SUM(D335,H335,L335,P335,T335,X335,AB335,AF335,AJ335,AN335)</f>
        <v/>
      </c>
      <c r="AR335" s="152">
        <f>SUM(D335,H335,L335,P335,T335,X335,AB335,AF335,AJ335,AN335)+SUM(E335,I335,M335,Q335,U335,Y335,AC335,AG335,AK335,AO335)</f>
        <v/>
      </c>
      <c r="AS335" s="152">
        <f>SUM(F335,J335,N335,R335,V335,Z335,AD335,AH335,AL335,AP335)</f>
        <v/>
      </c>
      <c r="AT335" s="152">
        <f>IF(B335&gt;AS$6,NA(),B335)</f>
        <v/>
      </c>
      <c r="AU335" s="152">
        <f>IF(B335&gt;AS$6,NA(),AS335)</f>
        <v/>
      </c>
      <c r="AV335" s="152" t="n"/>
      <c r="AW335" s="152" t="n">
        <v>324</v>
      </c>
      <c r="AX335" s="152">
        <f>IF(BA334&lt;=0.005,0,BA334*(1+AX$6))</f>
        <v/>
      </c>
      <c r="AY335" s="152">
        <f>MIN(AX335,AX$7)</f>
        <v/>
      </c>
      <c r="AZ335" s="152">
        <f>MAX(0,MIN(AX335-AY335,CL335))</f>
        <v/>
      </c>
      <c r="BA335" s="152">
        <f>AX335-AY335-AZ335</f>
        <v/>
      </c>
      <c r="BB335" s="152">
        <f>IF(BE334&lt;=0.005,0,BE334*(1+BB$6))</f>
        <v/>
      </c>
      <c r="BC335" s="152">
        <f>MIN(BB335,BB$7)</f>
        <v/>
      </c>
      <c r="BD335" s="152">
        <f>MAX(0,MIN(BB335-BC335,CL335-(AZ335)))</f>
        <v/>
      </c>
      <c r="BE335" s="152">
        <f>BB335-BC335-BD335</f>
        <v/>
      </c>
      <c r="BF335" s="152">
        <f>IF(BI334&lt;=0.005,0,BI334*(1+BF$6))</f>
        <v/>
      </c>
      <c r="BG335" s="152">
        <f>MIN(BF335,BF$7)</f>
        <v/>
      </c>
      <c r="BH335" s="152">
        <f>MAX(0,MIN(BF335-BG335,CL335-(AZ335+BD335)))</f>
        <v/>
      </c>
      <c r="BI335" s="152">
        <f>BF335-BG335-BH335</f>
        <v/>
      </c>
      <c r="BJ335" s="152">
        <f>IF(BM334&lt;=0.005,0,BM334*(1+BJ$6))</f>
        <v/>
      </c>
      <c r="BK335" s="152">
        <f>MIN(BJ335,BJ$7)</f>
        <v/>
      </c>
      <c r="BL335" s="152">
        <f>MAX(0,MIN(BJ335-BK335,CL335-(AZ335+BD335+BH335)))</f>
        <v/>
      </c>
      <c r="BM335" s="152">
        <f>BJ335-BK335-BL335</f>
        <v/>
      </c>
      <c r="BN335" s="152">
        <f>IF(BQ334&lt;=0.005,0,BQ334*(1+BN$6))</f>
        <v/>
      </c>
      <c r="BO335" s="152">
        <f>MIN(BN335,BN$7)</f>
        <v/>
      </c>
      <c r="BP335" s="152">
        <f>MAX(0,MIN(BN335-BO335,CL335-(AZ335+BD335+BH335+BL335)))</f>
        <v/>
      </c>
      <c r="BQ335" s="152">
        <f>BN335-BO335-BP335</f>
        <v/>
      </c>
      <c r="BR335" s="152">
        <f>IF(BU334&lt;=0.005,0,BU334*(1+BR$6))</f>
        <v/>
      </c>
      <c r="BS335" s="152">
        <f>MIN(BR335,BR$7)</f>
        <v/>
      </c>
      <c r="BT335" s="152">
        <f>MAX(0,MIN(BR335-BS335,CL335-(AZ335+BD335+BH335+BL335+BP335)))</f>
        <v/>
      </c>
      <c r="BU335" s="152">
        <f>BR335-BS335-BT335</f>
        <v/>
      </c>
      <c r="BV335" s="152">
        <f>IF(BY334&lt;=0.005,0,BY334*(1+BV$6))</f>
        <v/>
      </c>
      <c r="BW335" s="152">
        <f>MIN(BV335,BV$7)</f>
        <v/>
      </c>
      <c r="BX335" s="152">
        <f>MAX(0,MIN(BV335-BW335,CL335-(AZ335+BD335+BH335+BL335+BP335+BT335)))</f>
        <v/>
      </c>
      <c r="BY335" s="152">
        <f>BV335-BW335-BX335</f>
        <v/>
      </c>
      <c r="BZ335" s="152">
        <f>IF(CC334&lt;=0.005,0,CC334*(1+BZ$6))</f>
        <v/>
      </c>
      <c r="CA335" s="152">
        <f>MIN(BZ335,BZ$7)</f>
        <v/>
      </c>
      <c r="CB335" s="152">
        <f>MAX(0,MIN(BZ335-CA335,CL335-(AZ335+BD335+BH335+BL335+BP335+BT335+BX335)))</f>
        <v/>
      </c>
      <c r="CC335" s="152">
        <f>BZ335-CA335-CB335</f>
        <v/>
      </c>
      <c r="CD335" s="152">
        <f>IF(CG334&lt;=0.005,0,CG334*(1+CD$6))</f>
        <v/>
      </c>
      <c r="CE335" s="152">
        <f>MIN(CD335,CD$7)</f>
        <v/>
      </c>
      <c r="CF335" s="152">
        <f>MAX(0,MIN(CD335-CE335,CL335-(AZ335+BD335+BH335+BL335+BP335+BT335+BX335+CB335)))</f>
        <v/>
      </c>
      <c r="CG335" s="152">
        <f>CD335-CE335-CF335</f>
        <v/>
      </c>
      <c r="CH335" s="152">
        <f>IF(CK334&lt;=0.005,0,CK334*(1+CH$6))</f>
        <v/>
      </c>
      <c r="CI335" s="152">
        <f>MIN(CH335,CH$7)</f>
        <v/>
      </c>
      <c r="CJ335" s="152">
        <f>MAX(0,MIN(CH335-CI335,CL335-(AZ335+BD335+BH335+BL335+BP335+BT335+BX335+CB335+CF335)))</f>
        <v/>
      </c>
      <c r="CK335" s="152">
        <f>CH335-CI335-CJ335</f>
        <v/>
      </c>
      <c r="CL335" s="152">
        <f>'Debt Payoff'!$C$8-SUM(AY335,BC335,BG335,BK335,BO335,BS335,BW335,CA335,CE335,CI335)</f>
        <v/>
      </c>
      <c r="CM335" s="152">
        <f>SUM(AY335,BC335,BG335,BK335,BO335,BS335,BW335,CA335,CE335,CI335)+SUM(AZ335,BD335,BH335,BL335,BP335,BT335,BX335,CB335,CF335,CJ335)</f>
        <v/>
      </c>
      <c r="CN335" s="152">
        <f>SUM(BA335,BE335,BI335,BM335,BQ335,BU335,BY335,CC335,CG335,CK335)</f>
        <v/>
      </c>
      <c r="CO335" s="152">
        <f>IF(AW335&gt;CN$6,NA(),AW335)</f>
        <v/>
      </c>
      <c r="CP335" s="152">
        <f>IF(AW335&gt;CN$6,NA(),CN335)</f>
        <v/>
      </c>
    </row>
    <row r="336">
      <c r="B336" s="152" t="n">
        <v>325</v>
      </c>
      <c r="C336" s="152">
        <f>IF(F335&lt;=0.005,0,F335*(1+C$6))</f>
        <v/>
      </c>
      <c r="D336" s="152">
        <f>MIN(C336,C$7)</f>
        <v/>
      </c>
      <c r="E336" s="152">
        <f>MAX(0,MIN(C336-D336,AQ336))</f>
        <v/>
      </c>
      <c r="F336" s="152">
        <f>C336-D336-E336</f>
        <v/>
      </c>
      <c r="G336" s="152">
        <f>IF(J335&lt;=0.005,0,J335*(1+G$6))</f>
        <v/>
      </c>
      <c r="H336" s="152">
        <f>MIN(G336,G$7)</f>
        <v/>
      </c>
      <c r="I336" s="152">
        <f>MAX(0,MIN(G336-H336,AQ336-(E336)))</f>
        <v/>
      </c>
      <c r="J336" s="152">
        <f>G336-H336-I336</f>
        <v/>
      </c>
      <c r="K336" s="152">
        <f>IF(N335&lt;=0.005,0,N335*(1+K$6))</f>
        <v/>
      </c>
      <c r="L336" s="152">
        <f>MIN(K336,K$7)</f>
        <v/>
      </c>
      <c r="M336" s="152">
        <f>MAX(0,MIN(K336-L336,AQ336-(E336+I336)))</f>
        <v/>
      </c>
      <c r="N336" s="152">
        <f>K336-L336-M336</f>
        <v/>
      </c>
      <c r="O336" s="152">
        <f>IF(R335&lt;=0.005,0,R335*(1+O$6))</f>
        <v/>
      </c>
      <c r="P336" s="152">
        <f>MIN(O336,O$7)</f>
        <v/>
      </c>
      <c r="Q336" s="152">
        <f>MAX(0,MIN(O336-P336,AQ336-(E336+I336+M336)))</f>
        <v/>
      </c>
      <c r="R336" s="152">
        <f>O336-P336-Q336</f>
        <v/>
      </c>
      <c r="S336" s="152">
        <f>IF(V335&lt;=0.005,0,V335*(1+S$6))</f>
        <v/>
      </c>
      <c r="T336" s="152">
        <f>MIN(S336,S$7)</f>
        <v/>
      </c>
      <c r="U336" s="152">
        <f>MAX(0,MIN(S336-T336,AQ336-(E336+I336+M336+Q336)))</f>
        <v/>
      </c>
      <c r="V336" s="152">
        <f>S336-T336-U336</f>
        <v/>
      </c>
      <c r="W336" s="152">
        <f>IF(Z335&lt;=0.005,0,Z335*(1+W$6))</f>
        <v/>
      </c>
      <c r="X336" s="152">
        <f>MIN(W336,W$7)</f>
        <v/>
      </c>
      <c r="Y336" s="152">
        <f>MAX(0,MIN(W336-X336,AQ336-(E336+I336+M336+Q336+U336)))</f>
        <v/>
      </c>
      <c r="Z336" s="152">
        <f>W336-X336-Y336</f>
        <v/>
      </c>
      <c r="AA336" s="152">
        <f>IF(AD335&lt;=0.005,0,AD335*(1+AA$6))</f>
        <v/>
      </c>
      <c r="AB336" s="152">
        <f>MIN(AA336,AA$7)</f>
        <v/>
      </c>
      <c r="AC336" s="152">
        <f>MAX(0,MIN(AA336-AB336,AQ336-(E336+I336+M336+Q336+U336+Y336)))</f>
        <v/>
      </c>
      <c r="AD336" s="152">
        <f>AA336-AB336-AC336</f>
        <v/>
      </c>
      <c r="AE336" s="152">
        <f>IF(AH335&lt;=0.005,0,AH335*(1+AE$6))</f>
        <v/>
      </c>
      <c r="AF336" s="152">
        <f>MIN(AE336,AE$7)</f>
        <v/>
      </c>
      <c r="AG336" s="152">
        <f>MAX(0,MIN(AE336-AF336,AQ336-(E336+I336+M336+Q336+U336+Y336+AC336)))</f>
        <v/>
      </c>
      <c r="AH336" s="152">
        <f>AE336-AF336-AG336</f>
        <v/>
      </c>
      <c r="AI336" s="152">
        <f>IF(AL335&lt;=0.005,0,AL335*(1+AI$6))</f>
        <v/>
      </c>
      <c r="AJ336" s="152">
        <f>MIN(AI336,AI$7)</f>
        <v/>
      </c>
      <c r="AK336" s="152">
        <f>MAX(0,MIN(AI336-AJ336,AQ336-(E336+I336+M336+Q336+U336+Y336+AC336+AG336)))</f>
        <v/>
      </c>
      <c r="AL336" s="152">
        <f>AI336-AJ336-AK336</f>
        <v/>
      </c>
      <c r="AM336" s="152">
        <f>IF(AP335&lt;=0.005,0,AP335*(1+AM$6))</f>
        <v/>
      </c>
      <c r="AN336" s="152">
        <f>MIN(AM336,AM$7)</f>
        <v/>
      </c>
      <c r="AO336" s="152">
        <f>MAX(0,MIN(AM336-AN336,AQ336-(E336+I336+M336+Q336+U336+Y336+AC336+AG336+AK336)))</f>
        <v/>
      </c>
      <c r="AP336" s="152">
        <f>AM336-AN336-AO336</f>
        <v/>
      </c>
      <c r="AQ336" s="152">
        <f>'Debt Payoff'!$C$8-SUM(D336,H336,L336,P336,T336,X336,AB336,AF336,AJ336,AN336)</f>
        <v/>
      </c>
      <c r="AR336" s="152">
        <f>SUM(D336,H336,L336,P336,T336,X336,AB336,AF336,AJ336,AN336)+SUM(E336,I336,M336,Q336,U336,Y336,AC336,AG336,AK336,AO336)</f>
        <v/>
      </c>
      <c r="AS336" s="152">
        <f>SUM(F336,J336,N336,R336,V336,Z336,AD336,AH336,AL336,AP336)</f>
        <v/>
      </c>
      <c r="AT336" s="152">
        <f>IF(B336&gt;AS$6,NA(),B336)</f>
        <v/>
      </c>
      <c r="AU336" s="152">
        <f>IF(B336&gt;AS$6,NA(),AS336)</f>
        <v/>
      </c>
      <c r="AV336" s="152" t="n"/>
      <c r="AW336" s="152" t="n">
        <v>325</v>
      </c>
      <c r="AX336" s="152">
        <f>IF(BA335&lt;=0.005,0,BA335*(1+AX$6))</f>
        <v/>
      </c>
      <c r="AY336" s="152">
        <f>MIN(AX336,AX$7)</f>
        <v/>
      </c>
      <c r="AZ336" s="152">
        <f>MAX(0,MIN(AX336-AY336,CL336))</f>
        <v/>
      </c>
      <c r="BA336" s="152">
        <f>AX336-AY336-AZ336</f>
        <v/>
      </c>
      <c r="BB336" s="152">
        <f>IF(BE335&lt;=0.005,0,BE335*(1+BB$6))</f>
        <v/>
      </c>
      <c r="BC336" s="152">
        <f>MIN(BB336,BB$7)</f>
        <v/>
      </c>
      <c r="BD336" s="152">
        <f>MAX(0,MIN(BB336-BC336,CL336-(AZ336)))</f>
        <v/>
      </c>
      <c r="BE336" s="152">
        <f>BB336-BC336-BD336</f>
        <v/>
      </c>
      <c r="BF336" s="152">
        <f>IF(BI335&lt;=0.005,0,BI335*(1+BF$6))</f>
        <v/>
      </c>
      <c r="BG336" s="152">
        <f>MIN(BF336,BF$7)</f>
        <v/>
      </c>
      <c r="BH336" s="152">
        <f>MAX(0,MIN(BF336-BG336,CL336-(AZ336+BD336)))</f>
        <v/>
      </c>
      <c r="BI336" s="152">
        <f>BF336-BG336-BH336</f>
        <v/>
      </c>
      <c r="BJ336" s="152">
        <f>IF(BM335&lt;=0.005,0,BM335*(1+BJ$6))</f>
        <v/>
      </c>
      <c r="BK336" s="152">
        <f>MIN(BJ336,BJ$7)</f>
        <v/>
      </c>
      <c r="BL336" s="152">
        <f>MAX(0,MIN(BJ336-BK336,CL336-(AZ336+BD336+BH336)))</f>
        <v/>
      </c>
      <c r="BM336" s="152">
        <f>BJ336-BK336-BL336</f>
        <v/>
      </c>
      <c r="BN336" s="152">
        <f>IF(BQ335&lt;=0.005,0,BQ335*(1+BN$6))</f>
        <v/>
      </c>
      <c r="BO336" s="152">
        <f>MIN(BN336,BN$7)</f>
        <v/>
      </c>
      <c r="BP336" s="152">
        <f>MAX(0,MIN(BN336-BO336,CL336-(AZ336+BD336+BH336+BL336)))</f>
        <v/>
      </c>
      <c r="BQ336" s="152">
        <f>BN336-BO336-BP336</f>
        <v/>
      </c>
      <c r="BR336" s="152">
        <f>IF(BU335&lt;=0.005,0,BU335*(1+BR$6))</f>
        <v/>
      </c>
      <c r="BS336" s="152">
        <f>MIN(BR336,BR$7)</f>
        <v/>
      </c>
      <c r="BT336" s="152">
        <f>MAX(0,MIN(BR336-BS336,CL336-(AZ336+BD336+BH336+BL336+BP336)))</f>
        <v/>
      </c>
      <c r="BU336" s="152">
        <f>BR336-BS336-BT336</f>
        <v/>
      </c>
      <c r="BV336" s="152">
        <f>IF(BY335&lt;=0.005,0,BY335*(1+BV$6))</f>
        <v/>
      </c>
      <c r="BW336" s="152">
        <f>MIN(BV336,BV$7)</f>
        <v/>
      </c>
      <c r="BX336" s="152">
        <f>MAX(0,MIN(BV336-BW336,CL336-(AZ336+BD336+BH336+BL336+BP336+BT336)))</f>
        <v/>
      </c>
      <c r="BY336" s="152">
        <f>BV336-BW336-BX336</f>
        <v/>
      </c>
      <c r="BZ336" s="152">
        <f>IF(CC335&lt;=0.005,0,CC335*(1+BZ$6))</f>
        <v/>
      </c>
      <c r="CA336" s="152">
        <f>MIN(BZ336,BZ$7)</f>
        <v/>
      </c>
      <c r="CB336" s="152">
        <f>MAX(0,MIN(BZ336-CA336,CL336-(AZ336+BD336+BH336+BL336+BP336+BT336+BX336)))</f>
        <v/>
      </c>
      <c r="CC336" s="152">
        <f>BZ336-CA336-CB336</f>
        <v/>
      </c>
      <c r="CD336" s="152">
        <f>IF(CG335&lt;=0.005,0,CG335*(1+CD$6))</f>
        <v/>
      </c>
      <c r="CE336" s="152">
        <f>MIN(CD336,CD$7)</f>
        <v/>
      </c>
      <c r="CF336" s="152">
        <f>MAX(0,MIN(CD336-CE336,CL336-(AZ336+BD336+BH336+BL336+BP336+BT336+BX336+CB336)))</f>
        <v/>
      </c>
      <c r="CG336" s="152">
        <f>CD336-CE336-CF336</f>
        <v/>
      </c>
      <c r="CH336" s="152">
        <f>IF(CK335&lt;=0.005,0,CK335*(1+CH$6))</f>
        <v/>
      </c>
      <c r="CI336" s="152">
        <f>MIN(CH336,CH$7)</f>
        <v/>
      </c>
      <c r="CJ336" s="152">
        <f>MAX(0,MIN(CH336-CI336,CL336-(AZ336+BD336+BH336+BL336+BP336+BT336+BX336+CB336+CF336)))</f>
        <v/>
      </c>
      <c r="CK336" s="152">
        <f>CH336-CI336-CJ336</f>
        <v/>
      </c>
      <c r="CL336" s="152">
        <f>'Debt Payoff'!$C$8-SUM(AY336,BC336,BG336,BK336,BO336,BS336,BW336,CA336,CE336,CI336)</f>
        <v/>
      </c>
      <c r="CM336" s="152">
        <f>SUM(AY336,BC336,BG336,BK336,BO336,BS336,BW336,CA336,CE336,CI336)+SUM(AZ336,BD336,BH336,BL336,BP336,BT336,BX336,CB336,CF336,CJ336)</f>
        <v/>
      </c>
      <c r="CN336" s="152">
        <f>SUM(BA336,BE336,BI336,BM336,BQ336,BU336,BY336,CC336,CG336,CK336)</f>
        <v/>
      </c>
      <c r="CO336" s="152">
        <f>IF(AW336&gt;CN$6,NA(),AW336)</f>
        <v/>
      </c>
      <c r="CP336" s="152">
        <f>IF(AW336&gt;CN$6,NA(),CN336)</f>
        <v/>
      </c>
    </row>
    <row r="337">
      <c r="B337" s="152" t="n">
        <v>326</v>
      </c>
      <c r="C337" s="152">
        <f>IF(F336&lt;=0.005,0,F336*(1+C$6))</f>
        <v/>
      </c>
      <c r="D337" s="152">
        <f>MIN(C337,C$7)</f>
        <v/>
      </c>
      <c r="E337" s="152">
        <f>MAX(0,MIN(C337-D337,AQ337))</f>
        <v/>
      </c>
      <c r="F337" s="152">
        <f>C337-D337-E337</f>
        <v/>
      </c>
      <c r="G337" s="152">
        <f>IF(J336&lt;=0.005,0,J336*(1+G$6))</f>
        <v/>
      </c>
      <c r="H337" s="152">
        <f>MIN(G337,G$7)</f>
        <v/>
      </c>
      <c r="I337" s="152">
        <f>MAX(0,MIN(G337-H337,AQ337-(E337)))</f>
        <v/>
      </c>
      <c r="J337" s="152">
        <f>G337-H337-I337</f>
        <v/>
      </c>
      <c r="K337" s="152">
        <f>IF(N336&lt;=0.005,0,N336*(1+K$6))</f>
        <v/>
      </c>
      <c r="L337" s="152">
        <f>MIN(K337,K$7)</f>
        <v/>
      </c>
      <c r="M337" s="152">
        <f>MAX(0,MIN(K337-L337,AQ337-(E337+I337)))</f>
        <v/>
      </c>
      <c r="N337" s="152">
        <f>K337-L337-M337</f>
        <v/>
      </c>
      <c r="O337" s="152">
        <f>IF(R336&lt;=0.005,0,R336*(1+O$6))</f>
        <v/>
      </c>
      <c r="P337" s="152">
        <f>MIN(O337,O$7)</f>
        <v/>
      </c>
      <c r="Q337" s="152">
        <f>MAX(0,MIN(O337-P337,AQ337-(E337+I337+M337)))</f>
        <v/>
      </c>
      <c r="R337" s="152">
        <f>O337-P337-Q337</f>
        <v/>
      </c>
      <c r="S337" s="152">
        <f>IF(V336&lt;=0.005,0,V336*(1+S$6))</f>
        <v/>
      </c>
      <c r="T337" s="152">
        <f>MIN(S337,S$7)</f>
        <v/>
      </c>
      <c r="U337" s="152">
        <f>MAX(0,MIN(S337-T337,AQ337-(E337+I337+M337+Q337)))</f>
        <v/>
      </c>
      <c r="V337" s="152">
        <f>S337-T337-U337</f>
        <v/>
      </c>
      <c r="W337" s="152">
        <f>IF(Z336&lt;=0.005,0,Z336*(1+W$6))</f>
        <v/>
      </c>
      <c r="X337" s="152">
        <f>MIN(W337,W$7)</f>
        <v/>
      </c>
      <c r="Y337" s="152">
        <f>MAX(0,MIN(W337-X337,AQ337-(E337+I337+M337+Q337+U337)))</f>
        <v/>
      </c>
      <c r="Z337" s="152">
        <f>W337-X337-Y337</f>
        <v/>
      </c>
      <c r="AA337" s="152">
        <f>IF(AD336&lt;=0.005,0,AD336*(1+AA$6))</f>
        <v/>
      </c>
      <c r="AB337" s="152">
        <f>MIN(AA337,AA$7)</f>
        <v/>
      </c>
      <c r="AC337" s="152">
        <f>MAX(0,MIN(AA337-AB337,AQ337-(E337+I337+M337+Q337+U337+Y337)))</f>
        <v/>
      </c>
      <c r="AD337" s="152">
        <f>AA337-AB337-AC337</f>
        <v/>
      </c>
      <c r="AE337" s="152">
        <f>IF(AH336&lt;=0.005,0,AH336*(1+AE$6))</f>
        <v/>
      </c>
      <c r="AF337" s="152">
        <f>MIN(AE337,AE$7)</f>
        <v/>
      </c>
      <c r="AG337" s="152">
        <f>MAX(0,MIN(AE337-AF337,AQ337-(E337+I337+M337+Q337+U337+Y337+AC337)))</f>
        <v/>
      </c>
      <c r="AH337" s="152">
        <f>AE337-AF337-AG337</f>
        <v/>
      </c>
      <c r="AI337" s="152">
        <f>IF(AL336&lt;=0.005,0,AL336*(1+AI$6))</f>
        <v/>
      </c>
      <c r="AJ337" s="152">
        <f>MIN(AI337,AI$7)</f>
        <v/>
      </c>
      <c r="AK337" s="152">
        <f>MAX(0,MIN(AI337-AJ337,AQ337-(E337+I337+M337+Q337+U337+Y337+AC337+AG337)))</f>
        <v/>
      </c>
      <c r="AL337" s="152">
        <f>AI337-AJ337-AK337</f>
        <v/>
      </c>
      <c r="AM337" s="152">
        <f>IF(AP336&lt;=0.005,0,AP336*(1+AM$6))</f>
        <v/>
      </c>
      <c r="AN337" s="152">
        <f>MIN(AM337,AM$7)</f>
        <v/>
      </c>
      <c r="AO337" s="152">
        <f>MAX(0,MIN(AM337-AN337,AQ337-(E337+I337+M337+Q337+U337+Y337+AC337+AG337+AK337)))</f>
        <v/>
      </c>
      <c r="AP337" s="152">
        <f>AM337-AN337-AO337</f>
        <v/>
      </c>
      <c r="AQ337" s="152">
        <f>'Debt Payoff'!$C$8-SUM(D337,H337,L337,P337,T337,X337,AB337,AF337,AJ337,AN337)</f>
        <v/>
      </c>
      <c r="AR337" s="152">
        <f>SUM(D337,H337,L337,P337,T337,X337,AB337,AF337,AJ337,AN337)+SUM(E337,I337,M337,Q337,U337,Y337,AC337,AG337,AK337,AO337)</f>
        <v/>
      </c>
      <c r="AS337" s="152">
        <f>SUM(F337,J337,N337,R337,V337,Z337,AD337,AH337,AL337,AP337)</f>
        <v/>
      </c>
      <c r="AT337" s="152">
        <f>IF(B337&gt;AS$6,NA(),B337)</f>
        <v/>
      </c>
      <c r="AU337" s="152">
        <f>IF(B337&gt;AS$6,NA(),AS337)</f>
        <v/>
      </c>
      <c r="AV337" s="152" t="n"/>
      <c r="AW337" s="152" t="n">
        <v>326</v>
      </c>
      <c r="AX337" s="152">
        <f>IF(BA336&lt;=0.005,0,BA336*(1+AX$6))</f>
        <v/>
      </c>
      <c r="AY337" s="152">
        <f>MIN(AX337,AX$7)</f>
        <v/>
      </c>
      <c r="AZ337" s="152">
        <f>MAX(0,MIN(AX337-AY337,CL337))</f>
        <v/>
      </c>
      <c r="BA337" s="152">
        <f>AX337-AY337-AZ337</f>
        <v/>
      </c>
      <c r="BB337" s="152">
        <f>IF(BE336&lt;=0.005,0,BE336*(1+BB$6))</f>
        <v/>
      </c>
      <c r="BC337" s="152">
        <f>MIN(BB337,BB$7)</f>
        <v/>
      </c>
      <c r="BD337" s="152">
        <f>MAX(0,MIN(BB337-BC337,CL337-(AZ337)))</f>
        <v/>
      </c>
      <c r="BE337" s="152">
        <f>BB337-BC337-BD337</f>
        <v/>
      </c>
      <c r="BF337" s="152">
        <f>IF(BI336&lt;=0.005,0,BI336*(1+BF$6))</f>
        <v/>
      </c>
      <c r="BG337" s="152">
        <f>MIN(BF337,BF$7)</f>
        <v/>
      </c>
      <c r="BH337" s="152">
        <f>MAX(0,MIN(BF337-BG337,CL337-(AZ337+BD337)))</f>
        <v/>
      </c>
      <c r="BI337" s="152">
        <f>BF337-BG337-BH337</f>
        <v/>
      </c>
      <c r="BJ337" s="152">
        <f>IF(BM336&lt;=0.005,0,BM336*(1+BJ$6))</f>
        <v/>
      </c>
      <c r="BK337" s="152">
        <f>MIN(BJ337,BJ$7)</f>
        <v/>
      </c>
      <c r="BL337" s="152">
        <f>MAX(0,MIN(BJ337-BK337,CL337-(AZ337+BD337+BH337)))</f>
        <v/>
      </c>
      <c r="BM337" s="152">
        <f>BJ337-BK337-BL337</f>
        <v/>
      </c>
      <c r="BN337" s="152">
        <f>IF(BQ336&lt;=0.005,0,BQ336*(1+BN$6))</f>
        <v/>
      </c>
      <c r="BO337" s="152">
        <f>MIN(BN337,BN$7)</f>
        <v/>
      </c>
      <c r="BP337" s="152">
        <f>MAX(0,MIN(BN337-BO337,CL337-(AZ337+BD337+BH337+BL337)))</f>
        <v/>
      </c>
      <c r="BQ337" s="152">
        <f>BN337-BO337-BP337</f>
        <v/>
      </c>
      <c r="BR337" s="152">
        <f>IF(BU336&lt;=0.005,0,BU336*(1+BR$6))</f>
        <v/>
      </c>
      <c r="BS337" s="152">
        <f>MIN(BR337,BR$7)</f>
        <v/>
      </c>
      <c r="BT337" s="152">
        <f>MAX(0,MIN(BR337-BS337,CL337-(AZ337+BD337+BH337+BL337+BP337)))</f>
        <v/>
      </c>
      <c r="BU337" s="152">
        <f>BR337-BS337-BT337</f>
        <v/>
      </c>
      <c r="BV337" s="152">
        <f>IF(BY336&lt;=0.005,0,BY336*(1+BV$6))</f>
        <v/>
      </c>
      <c r="BW337" s="152">
        <f>MIN(BV337,BV$7)</f>
        <v/>
      </c>
      <c r="BX337" s="152">
        <f>MAX(0,MIN(BV337-BW337,CL337-(AZ337+BD337+BH337+BL337+BP337+BT337)))</f>
        <v/>
      </c>
      <c r="BY337" s="152">
        <f>BV337-BW337-BX337</f>
        <v/>
      </c>
      <c r="BZ337" s="152">
        <f>IF(CC336&lt;=0.005,0,CC336*(1+BZ$6))</f>
        <v/>
      </c>
      <c r="CA337" s="152">
        <f>MIN(BZ337,BZ$7)</f>
        <v/>
      </c>
      <c r="CB337" s="152">
        <f>MAX(0,MIN(BZ337-CA337,CL337-(AZ337+BD337+BH337+BL337+BP337+BT337+BX337)))</f>
        <v/>
      </c>
      <c r="CC337" s="152">
        <f>BZ337-CA337-CB337</f>
        <v/>
      </c>
      <c r="CD337" s="152">
        <f>IF(CG336&lt;=0.005,0,CG336*(1+CD$6))</f>
        <v/>
      </c>
      <c r="CE337" s="152">
        <f>MIN(CD337,CD$7)</f>
        <v/>
      </c>
      <c r="CF337" s="152">
        <f>MAX(0,MIN(CD337-CE337,CL337-(AZ337+BD337+BH337+BL337+BP337+BT337+BX337+CB337)))</f>
        <v/>
      </c>
      <c r="CG337" s="152">
        <f>CD337-CE337-CF337</f>
        <v/>
      </c>
      <c r="CH337" s="152">
        <f>IF(CK336&lt;=0.005,0,CK336*(1+CH$6))</f>
        <v/>
      </c>
      <c r="CI337" s="152">
        <f>MIN(CH337,CH$7)</f>
        <v/>
      </c>
      <c r="CJ337" s="152">
        <f>MAX(0,MIN(CH337-CI337,CL337-(AZ337+BD337+BH337+BL337+BP337+BT337+BX337+CB337+CF337)))</f>
        <v/>
      </c>
      <c r="CK337" s="152">
        <f>CH337-CI337-CJ337</f>
        <v/>
      </c>
      <c r="CL337" s="152">
        <f>'Debt Payoff'!$C$8-SUM(AY337,BC337,BG337,BK337,BO337,BS337,BW337,CA337,CE337,CI337)</f>
        <v/>
      </c>
      <c r="CM337" s="152">
        <f>SUM(AY337,BC337,BG337,BK337,BO337,BS337,BW337,CA337,CE337,CI337)+SUM(AZ337,BD337,BH337,BL337,BP337,BT337,BX337,CB337,CF337,CJ337)</f>
        <v/>
      </c>
      <c r="CN337" s="152">
        <f>SUM(BA337,BE337,BI337,BM337,BQ337,BU337,BY337,CC337,CG337,CK337)</f>
        <v/>
      </c>
      <c r="CO337" s="152">
        <f>IF(AW337&gt;CN$6,NA(),AW337)</f>
        <v/>
      </c>
      <c r="CP337" s="152">
        <f>IF(AW337&gt;CN$6,NA(),CN337)</f>
        <v/>
      </c>
    </row>
    <row r="338">
      <c r="B338" s="152" t="n">
        <v>327</v>
      </c>
      <c r="C338" s="152">
        <f>IF(F337&lt;=0.005,0,F337*(1+C$6))</f>
        <v/>
      </c>
      <c r="D338" s="152">
        <f>MIN(C338,C$7)</f>
        <v/>
      </c>
      <c r="E338" s="152">
        <f>MAX(0,MIN(C338-D338,AQ338))</f>
        <v/>
      </c>
      <c r="F338" s="152">
        <f>C338-D338-E338</f>
        <v/>
      </c>
      <c r="G338" s="152">
        <f>IF(J337&lt;=0.005,0,J337*(1+G$6))</f>
        <v/>
      </c>
      <c r="H338" s="152">
        <f>MIN(G338,G$7)</f>
        <v/>
      </c>
      <c r="I338" s="152">
        <f>MAX(0,MIN(G338-H338,AQ338-(E338)))</f>
        <v/>
      </c>
      <c r="J338" s="152">
        <f>G338-H338-I338</f>
        <v/>
      </c>
      <c r="K338" s="152">
        <f>IF(N337&lt;=0.005,0,N337*(1+K$6))</f>
        <v/>
      </c>
      <c r="L338" s="152">
        <f>MIN(K338,K$7)</f>
        <v/>
      </c>
      <c r="M338" s="152">
        <f>MAX(0,MIN(K338-L338,AQ338-(E338+I338)))</f>
        <v/>
      </c>
      <c r="N338" s="152">
        <f>K338-L338-M338</f>
        <v/>
      </c>
      <c r="O338" s="152">
        <f>IF(R337&lt;=0.005,0,R337*(1+O$6))</f>
        <v/>
      </c>
      <c r="P338" s="152">
        <f>MIN(O338,O$7)</f>
        <v/>
      </c>
      <c r="Q338" s="152">
        <f>MAX(0,MIN(O338-P338,AQ338-(E338+I338+M338)))</f>
        <v/>
      </c>
      <c r="R338" s="152">
        <f>O338-P338-Q338</f>
        <v/>
      </c>
      <c r="S338" s="152">
        <f>IF(V337&lt;=0.005,0,V337*(1+S$6))</f>
        <v/>
      </c>
      <c r="T338" s="152">
        <f>MIN(S338,S$7)</f>
        <v/>
      </c>
      <c r="U338" s="152">
        <f>MAX(0,MIN(S338-T338,AQ338-(E338+I338+M338+Q338)))</f>
        <v/>
      </c>
      <c r="V338" s="152">
        <f>S338-T338-U338</f>
        <v/>
      </c>
      <c r="W338" s="152">
        <f>IF(Z337&lt;=0.005,0,Z337*(1+W$6))</f>
        <v/>
      </c>
      <c r="X338" s="152">
        <f>MIN(W338,W$7)</f>
        <v/>
      </c>
      <c r="Y338" s="152">
        <f>MAX(0,MIN(W338-X338,AQ338-(E338+I338+M338+Q338+U338)))</f>
        <v/>
      </c>
      <c r="Z338" s="152">
        <f>W338-X338-Y338</f>
        <v/>
      </c>
      <c r="AA338" s="152">
        <f>IF(AD337&lt;=0.005,0,AD337*(1+AA$6))</f>
        <v/>
      </c>
      <c r="AB338" s="152">
        <f>MIN(AA338,AA$7)</f>
        <v/>
      </c>
      <c r="AC338" s="152">
        <f>MAX(0,MIN(AA338-AB338,AQ338-(E338+I338+M338+Q338+U338+Y338)))</f>
        <v/>
      </c>
      <c r="AD338" s="152">
        <f>AA338-AB338-AC338</f>
        <v/>
      </c>
      <c r="AE338" s="152">
        <f>IF(AH337&lt;=0.005,0,AH337*(1+AE$6))</f>
        <v/>
      </c>
      <c r="AF338" s="152">
        <f>MIN(AE338,AE$7)</f>
        <v/>
      </c>
      <c r="AG338" s="152">
        <f>MAX(0,MIN(AE338-AF338,AQ338-(E338+I338+M338+Q338+U338+Y338+AC338)))</f>
        <v/>
      </c>
      <c r="AH338" s="152">
        <f>AE338-AF338-AG338</f>
        <v/>
      </c>
      <c r="AI338" s="152">
        <f>IF(AL337&lt;=0.005,0,AL337*(1+AI$6))</f>
        <v/>
      </c>
      <c r="AJ338" s="152">
        <f>MIN(AI338,AI$7)</f>
        <v/>
      </c>
      <c r="AK338" s="152">
        <f>MAX(0,MIN(AI338-AJ338,AQ338-(E338+I338+M338+Q338+U338+Y338+AC338+AG338)))</f>
        <v/>
      </c>
      <c r="AL338" s="152">
        <f>AI338-AJ338-AK338</f>
        <v/>
      </c>
      <c r="AM338" s="152">
        <f>IF(AP337&lt;=0.005,0,AP337*(1+AM$6))</f>
        <v/>
      </c>
      <c r="AN338" s="152">
        <f>MIN(AM338,AM$7)</f>
        <v/>
      </c>
      <c r="AO338" s="152">
        <f>MAX(0,MIN(AM338-AN338,AQ338-(E338+I338+M338+Q338+U338+Y338+AC338+AG338+AK338)))</f>
        <v/>
      </c>
      <c r="AP338" s="152">
        <f>AM338-AN338-AO338</f>
        <v/>
      </c>
      <c r="AQ338" s="152">
        <f>'Debt Payoff'!$C$8-SUM(D338,H338,L338,P338,T338,X338,AB338,AF338,AJ338,AN338)</f>
        <v/>
      </c>
      <c r="AR338" s="152">
        <f>SUM(D338,H338,L338,P338,T338,X338,AB338,AF338,AJ338,AN338)+SUM(E338,I338,M338,Q338,U338,Y338,AC338,AG338,AK338,AO338)</f>
        <v/>
      </c>
      <c r="AS338" s="152">
        <f>SUM(F338,J338,N338,R338,V338,Z338,AD338,AH338,AL338,AP338)</f>
        <v/>
      </c>
      <c r="AT338" s="152">
        <f>IF(B338&gt;AS$6,NA(),B338)</f>
        <v/>
      </c>
      <c r="AU338" s="152">
        <f>IF(B338&gt;AS$6,NA(),AS338)</f>
        <v/>
      </c>
      <c r="AV338" s="152" t="n"/>
      <c r="AW338" s="152" t="n">
        <v>327</v>
      </c>
      <c r="AX338" s="152">
        <f>IF(BA337&lt;=0.005,0,BA337*(1+AX$6))</f>
        <v/>
      </c>
      <c r="AY338" s="152">
        <f>MIN(AX338,AX$7)</f>
        <v/>
      </c>
      <c r="AZ338" s="152">
        <f>MAX(0,MIN(AX338-AY338,CL338))</f>
        <v/>
      </c>
      <c r="BA338" s="152">
        <f>AX338-AY338-AZ338</f>
        <v/>
      </c>
      <c r="BB338" s="152">
        <f>IF(BE337&lt;=0.005,0,BE337*(1+BB$6))</f>
        <v/>
      </c>
      <c r="BC338" s="152">
        <f>MIN(BB338,BB$7)</f>
        <v/>
      </c>
      <c r="BD338" s="152">
        <f>MAX(0,MIN(BB338-BC338,CL338-(AZ338)))</f>
        <v/>
      </c>
      <c r="BE338" s="152">
        <f>BB338-BC338-BD338</f>
        <v/>
      </c>
      <c r="BF338" s="152">
        <f>IF(BI337&lt;=0.005,0,BI337*(1+BF$6))</f>
        <v/>
      </c>
      <c r="BG338" s="152">
        <f>MIN(BF338,BF$7)</f>
        <v/>
      </c>
      <c r="BH338" s="152">
        <f>MAX(0,MIN(BF338-BG338,CL338-(AZ338+BD338)))</f>
        <v/>
      </c>
      <c r="BI338" s="152">
        <f>BF338-BG338-BH338</f>
        <v/>
      </c>
      <c r="BJ338" s="152">
        <f>IF(BM337&lt;=0.005,0,BM337*(1+BJ$6))</f>
        <v/>
      </c>
      <c r="BK338" s="152">
        <f>MIN(BJ338,BJ$7)</f>
        <v/>
      </c>
      <c r="BL338" s="152">
        <f>MAX(0,MIN(BJ338-BK338,CL338-(AZ338+BD338+BH338)))</f>
        <v/>
      </c>
      <c r="BM338" s="152">
        <f>BJ338-BK338-BL338</f>
        <v/>
      </c>
      <c r="BN338" s="152">
        <f>IF(BQ337&lt;=0.005,0,BQ337*(1+BN$6))</f>
        <v/>
      </c>
      <c r="BO338" s="152">
        <f>MIN(BN338,BN$7)</f>
        <v/>
      </c>
      <c r="BP338" s="152">
        <f>MAX(0,MIN(BN338-BO338,CL338-(AZ338+BD338+BH338+BL338)))</f>
        <v/>
      </c>
      <c r="BQ338" s="152">
        <f>BN338-BO338-BP338</f>
        <v/>
      </c>
      <c r="BR338" s="152">
        <f>IF(BU337&lt;=0.005,0,BU337*(1+BR$6))</f>
        <v/>
      </c>
      <c r="BS338" s="152">
        <f>MIN(BR338,BR$7)</f>
        <v/>
      </c>
      <c r="BT338" s="152">
        <f>MAX(0,MIN(BR338-BS338,CL338-(AZ338+BD338+BH338+BL338+BP338)))</f>
        <v/>
      </c>
      <c r="BU338" s="152">
        <f>BR338-BS338-BT338</f>
        <v/>
      </c>
      <c r="BV338" s="152">
        <f>IF(BY337&lt;=0.005,0,BY337*(1+BV$6))</f>
        <v/>
      </c>
      <c r="BW338" s="152">
        <f>MIN(BV338,BV$7)</f>
        <v/>
      </c>
      <c r="BX338" s="152">
        <f>MAX(0,MIN(BV338-BW338,CL338-(AZ338+BD338+BH338+BL338+BP338+BT338)))</f>
        <v/>
      </c>
      <c r="BY338" s="152">
        <f>BV338-BW338-BX338</f>
        <v/>
      </c>
      <c r="BZ338" s="152">
        <f>IF(CC337&lt;=0.005,0,CC337*(1+BZ$6))</f>
        <v/>
      </c>
      <c r="CA338" s="152">
        <f>MIN(BZ338,BZ$7)</f>
        <v/>
      </c>
      <c r="CB338" s="152">
        <f>MAX(0,MIN(BZ338-CA338,CL338-(AZ338+BD338+BH338+BL338+BP338+BT338+BX338)))</f>
        <v/>
      </c>
      <c r="CC338" s="152">
        <f>BZ338-CA338-CB338</f>
        <v/>
      </c>
      <c r="CD338" s="152">
        <f>IF(CG337&lt;=0.005,0,CG337*(1+CD$6))</f>
        <v/>
      </c>
      <c r="CE338" s="152">
        <f>MIN(CD338,CD$7)</f>
        <v/>
      </c>
      <c r="CF338" s="152">
        <f>MAX(0,MIN(CD338-CE338,CL338-(AZ338+BD338+BH338+BL338+BP338+BT338+BX338+CB338)))</f>
        <v/>
      </c>
      <c r="CG338" s="152">
        <f>CD338-CE338-CF338</f>
        <v/>
      </c>
      <c r="CH338" s="152">
        <f>IF(CK337&lt;=0.005,0,CK337*(1+CH$6))</f>
        <v/>
      </c>
      <c r="CI338" s="152">
        <f>MIN(CH338,CH$7)</f>
        <v/>
      </c>
      <c r="CJ338" s="152">
        <f>MAX(0,MIN(CH338-CI338,CL338-(AZ338+BD338+BH338+BL338+BP338+BT338+BX338+CB338+CF338)))</f>
        <v/>
      </c>
      <c r="CK338" s="152">
        <f>CH338-CI338-CJ338</f>
        <v/>
      </c>
      <c r="CL338" s="152">
        <f>'Debt Payoff'!$C$8-SUM(AY338,BC338,BG338,BK338,BO338,BS338,BW338,CA338,CE338,CI338)</f>
        <v/>
      </c>
      <c r="CM338" s="152">
        <f>SUM(AY338,BC338,BG338,BK338,BO338,BS338,BW338,CA338,CE338,CI338)+SUM(AZ338,BD338,BH338,BL338,BP338,BT338,BX338,CB338,CF338,CJ338)</f>
        <v/>
      </c>
      <c r="CN338" s="152">
        <f>SUM(BA338,BE338,BI338,BM338,BQ338,BU338,BY338,CC338,CG338,CK338)</f>
        <v/>
      </c>
      <c r="CO338" s="152">
        <f>IF(AW338&gt;CN$6,NA(),AW338)</f>
        <v/>
      </c>
      <c r="CP338" s="152">
        <f>IF(AW338&gt;CN$6,NA(),CN338)</f>
        <v/>
      </c>
    </row>
    <row r="339">
      <c r="B339" s="152" t="n">
        <v>328</v>
      </c>
      <c r="C339" s="152">
        <f>IF(F338&lt;=0.005,0,F338*(1+C$6))</f>
        <v/>
      </c>
      <c r="D339" s="152">
        <f>MIN(C339,C$7)</f>
        <v/>
      </c>
      <c r="E339" s="152">
        <f>MAX(0,MIN(C339-D339,AQ339))</f>
        <v/>
      </c>
      <c r="F339" s="152">
        <f>C339-D339-E339</f>
        <v/>
      </c>
      <c r="G339" s="152">
        <f>IF(J338&lt;=0.005,0,J338*(1+G$6))</f>
        <v/>
      </c>
      <c r="H339" s="152">
        <f>MIN(G339,G$7)</f>
        <v/>
      </c>
      <c r="I339" s="152">
        <f>MAX(0,MIN(G339-H339,AQ339-(E339)))</f>
        <v/>
      </c>
      <c r="J339" s="152">
        <f>G339-H339-I339</f>
        <v/>
      </c>
      <c r="K339" s="152">
        <f>IF(N338&lt;=0.005,0,N338*(1+K$6))</f>
        <v/>
      </c>
      <c r="L339" s="152">
        <f>MIN(K339,K$7)</f>
        <v/>
      </c>
      <c r="M339" s="152">
        <f>MAX(0,MIN(K339-L339,AQ339-(E339+I339)))</f>
        <v/>
      </c>
      <c r="N339" s="152">
        <f>K339-L339-M339</f>
        <v/>
      </c>
      <c r="O339" s="152">
        <f>IF(R338&lt;=0.005,0,R338*(1+O$6))</f>
        <v/>
      </c>
      <c r="P339" s="152">
        <f>MIN(O339,O$7)</f>
        <v/>
      </c>
      <c r="Q339" s="152">
        <f>MAX(0,MIN(O339-P339,AQ339-(E339+I339+M339)))</f>
        <v/>
      </c>
      <c r="R339" s="152">
        <f>O339-P339-Q339</f>
        <v/>
      </c>
      <c r="S339" s="152">
        <f>IF(V338&lt;=0.005,0,V338*(1+S$6))</f>
        <v/>
      </c>
      <c r="T339" s="152">
        <f>MIN(S339,S$7)</f>
        <v/>
      </c>
      <c r="U339" s="152">
        <f>MAX(0,MIN(S339-T339,AQ339-(E339+I339+M339+Q339)))</f>
        <v/>
      </c>
      <c r="V339" s="152">
        <f>S339-T339-U339</f>
        <v/>
      </c>
      <c r="W339" s="152">
        <f>IF(Z338&lt;=0.005,0,Z338*(1+W$6))</f>
        <v/>
      </c>
      <c r="X339" s="152">
        <f>MIN(W339,W$7)</f>
        <v/>
      </c>
      <c r="Y339" s="152">
        <f>MAX(0,MIN(W339-X339,AQ339-(E339+I339+M339+Q339+U339)))</f>
        <v/>
      </c>
      <c r="Z339" s="152">
        <f>W339-X339-Y339</f>
        <v/>
      </c>
      <c r="AA339" s="152">
        <f>IF(AD338&lt;=0.005,0,AD338*(1+AA$6))</f>
        <v/>
      </c>
      <c r="AB339" s="152">
        <f>MIN(AA339,AA$7)</f>
        <v/>
      </c>
      <c r="AC339" s="152">
        <f>MAX(0,MIN(AA339-AB339,AQ339-(E339+I339+M339+Q339+U339+Y339)))</f>
        <v/>
      </c>
      <c r="AD339" s="152">
        <f>AA339-AB339-AC339</f>
        <v/>
      </c>
      <c r="AE339" s="152">
        <f>IF(AH338&lt;=0.005,0,AH338*(1+AE$6))</f>
        <v/>
      </c>
      <c r="AF339" s="152">
        <f>MIN(AE339,AE$7)</f>
        <v/>
      </c>
      <c r="AG339" s="152">
        <f>MAX(0,MIN(AE339-AF339,AQ339-(E339+I339+M339+Q339+U339+Y339+AC339)))</f>
        <v/>
      </c>
      <c r="AH339" s="152">
        <f>AE339-AF339-AG339</f>
        <v/>
      </c>
      <c r="AI339" s="152">
        <f>IF(AL338&lt;=0.005,0,AL338*(1+AI$6))</f>
        <v/>
      </c>
      <c r="AJ339" s="152">
        <f>MIN(AI339,AI$7)</f>
        <v/>
      </c>
      <c r="AK339" s="152">
        <f>MAX(0,MIN(AI339-AJ339,AQ339-(E339+I339+M339+Q339+U339+Y339+AC339+AG339)))</f>
        <v/>
      </c>
      <c r="AL339" s="152">
        <f>AI339-AJ339-AK339</f>
        <v/>
      </c>
      <c r="AM339" s="152">
        <f>IF(AP338&lt;=0.005,0,AP338*(1+AM$6))</f>
        <v/>
      </c>
      <c r="AN339" s="152">
        <f>MIN(AM339,AM$7)</f>
        <v/>
      </c>
      <c r="AO339" s="152">
        <f>MAX(0,MIN(AM339-AN339,AQ339-(E339+I339+M339+Q339+U339+Y339+AC339+AG339+AK339)))</f>
        <v/>
      </c>
      <c r="AP339" s="152">
        <f>AM339-AN339-AO339</f>
        <v/>
      </c>
      <c r="AQ339" s="152">
        <f>'Debt Payoff'!$C$8-SUM(D339,H339,L339,P339,T339,X339,AB339,AF339,AJ339,AN339)</f>
        <v/>
      </c>
      <c r="AR339" s="152">
        <f>SUM(D339,H339,L339,P339,T339,X339,AB339,AF339,AJ339,AN339)+SUM(E339,I339,M339,Q339,U339,Y339,AC339,AG339,AK339,AO339)</f>
        <v/>
      </c>
      <c r="AS339" s="152">
        <f>SUM(F339,J339,N339,R339,V339,Z339,AD339,AH339,AL339,AP339)</f>
        <v/>
      </c>
      <c r="AT339" s="152">
        <f>IF(B339&gt;AS$6,NA(),B339)</f>
        <v/>
      </c>
      <c r="AU339" s="152">
        <f>IF(B339&gt;AS$6,NA(),AS339)</f>
        <v/>
      </c>
      <c r="AV339" s="152" t="n"/>
      <c r="AW339" s="152" t="n">
        <v>328</v>
      </c>
      <c r="AX339" s="152">
        <f>IF(BA338&lt;=0.005,0,BA338*(1+AX$6))</f>
        <v/>
      </c>
      <c r="AY339" s="152">
        <f>MIN(AX339,AX$7)</f>
        <v/>
      </c>
      <c r="AZ339" s="152">
        <f>MAX(0,MIN(AX339-AY339,CL339))</f>
        <v/>
      </c>
      <c r="BA339" s="152">
        <f>AX339-AY339-AZ339</f>
        <v/>
      </c>
      <c r="BB339" s="152">
        <f>IF(BE338&lt;=0.005,0,BE338*(1+BB$6))</f>
        <v/>
      </c>
      <c r="BC339" s="152">
        <f>MIN(BB339,BB$7)</f>
        <v/>
      </c>
      <c r="BD339" s="152">
        <f>MAX(0,MIN(BB339-BC339,CL339-(AZ339)))</f>
        <v/>
      </c>
      <c r="BE339" s="152">
        <f>BB339-BC339-BD339</f>
        <v/>
      </c>
      <c r="BF339" s="152">
        <f>IF(BI338&lt;=0.005,0,BI338*(1+BF$6))</f>
        <v/>
      </c>
      <c r="BG339" s="152">
        <f>MIN(BF339,BF$7)</f>
        <v/>
      </c>
      <c r="BH339" s="152">
        <f>MAX(0,MIN(BF339-BG339,CL339-(AZ339+BD339)))</f>
        <v/>
      </c>
      <c r="BI339" s="152">
        <f>BF339-BG339-BH339</f>
        <v/>
      </c>
      <c r="BJ339" s="152">
        <f>IF(BM338&lt;=0.005,0,BM338*(1+BJ$6))</f>
        <v/>
      </c>
      <c r="BK339" s="152">
        <f>MIN(BJ339,BJ$7)</f>
        <v/>
      </c>
      <c r="BL339" s="152">
        <f>MAX(0,MIN(BJ339-BK339,CL339-(AZ339+BD339+BH339)))</f>
        <v/>
      </c>
      <c r="BM339" s="152">
        <f>BJ339-BK339-BL339</f>
        <v/>
      </c>
      <c r="BN339" s="152">
        <f>IF(BQ338&lt;=0.005,0,BQ338*(1+BN$6))</f>
        <v/>
      </c>
      <c r="BO339" s="152">
        <f>MIN(BN339,BN$7)</f>
        <v/>
      </c>
      <c r="BP339" s="152">
        <f>MAX(0,MIN(BN339-BO339,CL339-(AZ339+BD339+BH339+BL339)))</f>
        <v/>
      </c>
      <c r="BQ339" s="152">
        <f>BN339-BO339-BP339</f>
        <v/>
      </c>
      <c r="BR339" s="152">
        <f>IF(BU338&lt;=0.005,0,BU338*(1+BR$6))</f>
        <v/>
      </c>
      <c r="BS339" s="152">
        <f>MIN(BR339,BR$7)</f>
        <v/>
      </c>
      <c r="BT339" s="152">
        <f>MAX(0,MIN(BR339-BS339,CL339-(AZ339+BD339+BH339+BL339+BP339)))</f>
        <v/>
      </c>
      <c r="BU339" s="152">
        <f>BR339-BS339-BT339</f>
        <v/>
      </c>
      <c r="BV339" s="152">
        <f>IF(BY338&lt;=0.005,0,BY338*(1+BV$6))</f>
        <v/>
      </c>
      <c r="BW339" s="152">
        <f>MIN(BV339,BV$7)</f>
        <v/>
      </c>
      <c r="BX339" s="152">
        <f>MAX(0,MIN(BV339-BW339,CL339-(AZ339+BD339+BH339+BL339+BP339+BT339)))</f>
        <v/>
      </c>
      <c r="BY339" s="152">
        <f>BV339-BW339-BX339</f>
        <v/>
      </c>
      <c r="BZ339" s="152">
        <f>IF(CC338&lt;=0.005,0,CC338*(1+BZ$6))</f>
        <v/>
      </c>
      <c r="CA339" s="152">
        <f>MIN(BZ339,BZ$7)</f>
        <v/>
      </c>
      <c r="CB339" s="152">
        <f>MAX(0,MIN(BZ339-CA339,CL339-(AZ339+BD339+BH339+BL339+BP339+BT339+BX339)))</f>
        <v/>
      </c>
      <c r="CC339" s="152">
        <f>BZ339-CA339-CB339</f>
        <v/>
      </c>
      <c r="CD339" s="152">
        <f>IF(CG338&lt;=0.005,0,CG338*(1+CD$6))</f>
        <v/>
      </c>
      <c r="CE339" s="152">
        <f>MIN(CD339,CD$7)</f>
        <v/>
      </c>
      <c r="CF339" s="152">
        <f>MAX(0,MIN(CD339-CE339,CL339-(AZ339+BD339+BH339+BL339+BP339+BT339+BX339+CB339)))</f>
        <v/>
      </c>
      <c r="CG339" s="152">
        <f>CD339-CE339-CF339</f>
        <v/>
      </c>
      <c r="CH339" s="152">
        <f>IF(CK338&lt;=0.005,0,CK338*(1+CH$6))</f>
        <v/>
      </c>
      <c r="CI339" s="152">
        <f>MIN(CH339,CH$7)</f>
        <v/>
      </c>
      <c r="CJ339" s="152">
        <f>MAX(0,MIN(CH339-CI339,CL339-(AZ339+BD339+BH339+BL339+BP339+BT339+BX339+CB339+CF339)))</f>
        <v/>
      </c>
      <c r="CK339" s="152">
        <f>CH339-CI339-CJ339</f>
        <v/>
      </c>
      <c r="CL339" s="152">
        <f>'Debt Payoff'!$C$8-SUM(AY339,BC339,BG339,BK339,BO339,BS339,BW339,CA339,CE339,CI339)</f>
        <v/>
      </c>
      <c r="CM339" s="152">
        <f>SUM(AY339,BC339,BG339,BK339,BO339,BS339,BW339,CA339,CE339,CI339)+SUM(AZ339,BD339,BH339,BL339,BP339,BT339,BX339,CB339,CF339,CJ339)</f>
        <v/>
      </c>
      <c r="CN339" s="152">
        <f>SUM(BA339,BE339,BI339,BM339,BQ339,BU339,BY339,CC339,CG339,CK339)</f>
        <v/>
      </c>
      <c r="CO339" s="152">
        <f>IF(AW339&gt;CN$6,NA(),AW339)</f>
        <v/>
      </c>
      <c r="CP339" s="152">
        <f>IF(AW339&gt;CN$6,NA(),CN339)</f>
        <v/>
      </c>
    </row>
    <row r="340">
      <c r="B340" s="152" t="n">
        <v>329</v>
      </c>
      <c r="C340" s="152">
        <f>IF(F339&lt;=0.005,0,F339*(1+C$6))</f>
        <v/>
      </c>
      <c r="D340" s="152">
        <f>MIN(C340,C$7)</f>
        <v/>
      </c>
      <c r="E340" s="152">
        <f>MAX(0,MIN(C340-D340,AQ340))</f>
        <v/>
      </c>
      <c r="F340" s="152">
        <f>C340-D340-E340</f>
        <v/>
      </c>
      <c r="G340" s="152">
        <f>IF(J339&lt;=0.005,0,J339*(1+G$6))</f>
        <v/>
      </c>
      <c r="H340" s="152">
        <f>MIN(G340,G$7)</f>
        <v/>
      </c>
      <c r="I340" s="152">
        <f>MAX(0,MIN(G340-H340,AQ340-(E340)))</f>
        <v/>
      </c>
      <c r="J340" s="152">
        <f>G340-H340-I340</f>
        <v/>
      </c>
      <c r="K340" s="152">
        <f>IF(N339&lt;=0.005,0,N339*(1+K$6))</f>
        <v/>
      </c>
      <c r="L340" s="152">
        <f>MIN(K340,K$7)</f>
        <v/>
      </c>
      <c r="M340" s="152">
        <f>MAX(0,MIN(K340-L340,AQ340-(E340+I340)))</f>
        <v/>
      </c>
      <c r="N340" s="152">
        <f>K340-L340-M340</f>
        <v/>
      </c>
      <c r="O340" s="152">
        <f>IF(R339&lt;=0.005,0,R339*(1+O$6))</f>
        <v/>
      </c>
      <c r="P340" s="152">
        <f>MIN(O340,O$7)</f>
        <v/>
      </c>
      <c r="Q340" s="152">
        <f>MAX(0,MIN(O340-P340,AQ340-(E340+I340+M340)))</f>
        <v/>
      </c>
      <c r="R340" s="152">
        <f>O340-P340-Q340</f>
        <v/>
      </c>
      <c r="S340" s="152">
        <f>IF(V339&lt;=0.005,0,V339*(1+S$6))</f>
        <v/>
      </c>
      <c r="T340" s="152">
        <f>MIN(S340,S$7)</f>
        <v/>
      </c>
      <c r="U340" s="152">
        <f>MAX(0,MIN(S340-T340,AQ340-(E340+I340+M340+Q340)))</f>
        <v/>
      </c>
      <c r="V340" s="152">
        <f>S340-T340-U340</f>
        <v/>
      </c>
      <c r="W340" s="152">
        <f>IF(Z339&lt;=0.005,0,Z339*(1+W$6))</f>
        <v/>
      </c>
      <c r="X340" s="152">
        <f>MIN(W340,W$7)</f>
        <v/>
      </c>
      <c r="Y340" s="152">
        <f>MAX(0,MIN(W340-X340,AQ340-(E340+I340+M340+Q340+U340)))</f>
        <v/>
      </c>
      <c r="Z340" s="152">
        <f>W340-X340-Y340</f>
        <v/>
      </c>
      <c r="AA340" s="152">
        <f>IF(AD339&lt;=0.005,0,AD339*(1+AA$6))</f>
        <v/>
      </c>
      <c r="AB340" s="152">
        <f>MIN(AA340,AA$7)</f>
        <v/>
      </c>
      <c r="AC340" s="152">
        <f>MAX(0,MIN(AA340-AB340,AQ340-(E340+I340+M340+Q340+U340+Y340)))</f>
        <v/>
      </c>
      <c r="AD340" s="152">
        <f>AA340-AB340-AC340</f>
        <v/>
      </c>
      <c r="AE340" s="152">
        <f>IF(AH339&lt;=0.005,0,AH339*(1+AE$6))</f>
        <v/>
      </c>
      <c r="AF340" s="152">
        <f>MIN(AE340,AE$7)</f>
        <v/>
      </c>
      <c r="AG340" s="152">
        <f>MAX(0,MIN(AE340-AF340,AQ340-(E340+I340+M340+Q340+U340+Y340+AC340)))</f>
        <v/>
      </c>
      <c r="AH340" s="152">
        <f>AE340-AF340-AG340</f>
        <v/>
      </c>
      <c r="AI340" s="152">
        <f>IF(AL339&lt;=0.005,0,AL339*(1+AI$6))</f>
        <v/>
      </c>
      <c r="AJ340" s="152">
        <f>MIN(AI340,AI$7)</f>
        <v/>
      </c>
      <c r="AK340" s="152">
        <f>MAX(0,MIN(AI340-AJ340,AQ340-(E340+I340+M340+Q340+U340+Y340+AC340+AG340)))</f>
        <v/>
      </c>
      <c r="AL340" s="152">
        <f>AI340-AJ340-AK340</f>
        <v/>
      </c>
      <c r="AM340" s="152">
        <f>IF(AP339&lt;=0.005,0,AP339*(1+AM$6))</f>
        <v/>
      </c>
      <c r="AN340" s="152">
        <f>MIN(AM340,AM$7)</f>
        <v/>
      </c>
      <c r="AO340" s="152">
        <f>MAX(0,MIN(AM340-AN340,AQ340-(E340+I340+M340+Q340+U340+Y340+AC340+AG340+AK340)))</f>
        <v/>
      </c>
      <c r="AP340" s="152">
        <f>AM340-AN340-AO340</f>
        <v/>
      </c>
      <c r="AQ340" s="152">
        <f>'Debt Payoff'!$C$8-SUM(D340,H340,L340,P340,T340,X340,AB340,AF340,AJ340,AN340)</f>
        <v/>
      </c>
      <c r="AR340" s="152">
        <f>SUM(D340,H340,L340,P340,T340,X340,AB340,AF340,AJ340,AN340)+SUM(E340,I340,M340,Q340,U340,Y340,AC340,AG340,AK340,AO340)</f>
        <v/>
      </c>
      <c r="AS340" s="152">
        <f>SUM(F340,J340,N340,R340,V340,Z340,AD340,AH340,AL340,AP340)</f>
        <v/>
      </c>
      <c r="AT340" s="152">
        <f>IF(B340&gt;AS$6,NA(),B340)</f>
        <v/>
      </c>
      <c r="AU340" s="152">
        <f>IF(B340&gt;AS$6,NA(),AS340)</f>
        <v/>
      </c>
      <c r="AV340" s="152" t="n"/>
      <c r="AW340" s="152" t="n">
        <v>329</v>
      </c>
      <c r="AX340" s="152">
        <f>IF(BA339&lt;=0.005,0,BA339*(1+AX$6))</f>
        <v/>
      </c>
      <c r="AY340" s="152">
        <f>MIN(AX340,AX$7)</f>
        <v/>
      </c>
      <c r="AZ340" s="152">
        <f>MAX(0,MIN(AX340-AY340,CL340))</f>
        <v/>
      </c>
      <c r="BA340" s="152">
        <f>AX340-AY340-AZ340</f>
        <v/>
      </c>
      <c r="BB340" s="152">
        <f>IF(BE339&lt;=0.005,0,BE339*(1+BB$6))</f>
        <v/>
      </c>
      <c r="BC340" s="152">
        <f>MIN(BB340,BB$7)</f>
        <v/>
      </c>
      <c r="BD340" s="152">
        <f>MAX(0,MIN(BB340-BC340,CL340-(AZ340)))</f>
        <v/>
      </c>
      <c r="BE340" s="152">
        <f>BB340-BC340-BD340</f>
        <v/>
      </c>
      <c r="BF340" s="152">
        <f>IF(BI339&lt;=0.005,0,BI339*(1+BF$6))</f>
        <v/>
      </c>
      <c r="BG340" s="152">
        <f>MIN(BF340,BF$7)</f>
        <v/>
      </c>
      <c r="BH340" s="152">
        <f>MAX(0,MIN(BF340-BG340,CL340-(AZ340+BD340)))</f>
        <v/>
      </c>
      <c r="BI340" s="152">
        <f>BF340-BG340-BH340</f>
        <v/>
      </c>
      <c r="BJ340" s="152">
        <f>IF(BM339&lt;=0.005,0,BM339*(1+BJ$6))</f>
        <v/>
      </c>
      <c r="BK340" s="152">
        <f>MIN(BJ340,BJ$7)</f>
        <v/>
      </c>
      <c r="BL340" s="152">
        <f>MAX(0,MIN(BJ340-BK340,CL340-(AZ340+BD340+BH340)))</f>
        <v/>
      </c>
      <c r="BM340" s="152">
        <f>BJ340-BK340-BL340</f>
        <v/>
      </c>
      <c r="BN340" s="152">
        <f>IF(BQ339&lt;=0.005,0,BQ339*(1+BN$6))</f>
        <v/>
      </c>
      <c r="BO340" s="152">
        <f>MIN(BN340,BN$7)</f>
        <v/>
      </c>
      <c r="BP340" s="152">
        <f>MAX(0,MIN(BN340-BO340,CL340-(AZ340+BD340+BH340+BL340)))</f>
        <v/>
      </c>
      <c r="BQ340" s="152">
        <f>BN340-BO340-BP340</f>
        <v/>
      </c>
      <c r="BR340" s="152">
        <f>IF(BU339&lt;=0.005,0,BU339*(1+BR$6))</f>
        <v/>
      </c>
      <c r="BS340" s="152">
        <f>MIN(BR340,BR$7)</f>
        <v/>
      </c>
      <c r="BT340" s="152">
        <f>MAX(0,MIN(BR340-BS340,CL340-(AZ340+BD340+BH340+BL340+BP340)))</f>
        <v/>
      </c>
      <c r="BU340" s="152">
        <f>BR340-BS340-BT340</f>
        <v/>
      </c>
      <c r="BV340" s="152">
        <f>IF(BY339&lt;=0.005,0,BY339*(1+BV$6))</f>
        <v/>
      </c>
      <c r="BW340" s="152">
        <f>MIN(BV340,BV$7)</f>
        <v/>
      </c>
      <c r="BX340" s="152">
        <f>MAX(0,MIN(BV340-BW340,CL340-(AZ340+BD340+BH340+BL340+BP340+BT340)))</f>
        <v/>
      </c>
      <c r="BY340" s="152">
        <f>BV340-BW340-BX340</f>
        <v/>
      </c>
      <c r="BZ340" s="152">
        <f>IF(CC339&lt;=0.005,0,CC339*(1+BZ$6))</f>
        <v/>
      </c>
      <c r="CA340" s="152">
        <f>MIN(BZ340,BZ$7)</f>
        <v/>
      </c>
      <c r="CB340" s="152">
        <f>MAX(0,MIN(BZ340-CA340,CL340-(AZ340+BD340+BH340+BL340+BP340+BT340+BX340)))</f>
        <v/>
      </c>
      <c r="CC340" s="152">
        <f>BZ340-CA340-CB340</f>
        <v/>
      </c>
      <c r="CD340" s="152">
        <f>IF(CG339&lt;=0.005,0,CG339*(1+CD$6))</f>
        <v/>
      </c>
      <c r="CE340" s="152">
        <f>MIN(CD340,CD$7)</f>
        <v/>
      </c>
      <c r="CF340" s="152">
        <f>MAX(0,MIN(CD340-CE340,CL340-(AZ340+BD340+BH340+BL340+BP340+BT340+BX340+CB340)))</f>
        <v/>
      </c>
      <c r="CG340" s="152">
        <f>CD340-CE340-CF340</f>
        <v/>
      </c>
      <c r="CH340" s="152">
        <f>IF(CK339&lt;=0.005,0,CK339*(1+CH$6))</f>
        <v/>
      </c>
      <c r="CI340" s="152">
        <f>MIN(CH340,CH$7)</f>
        <v/>
      </c>
      <c r="CJ340" s="152">
        <f>MAX(0,MIN(CH340-CI340,CL340-(AZ340+BD340+BH340+BL340+BP340+BT340+BX340+CB340+CF340)))</f>
        <v/>
      </c>
      <c r="CK340" s="152">
        <f>CH340-CI340-CJ340</f>
        <v/>
      </c>
      <c r="CL340" s="152">
        <f>'Debt Payoff'!$C$8-SUM(AY340,BC340,BG340,BK340,BO340,BS340,BW340,CA340,CE340,CI340)</f>
        <v/>
      </c>
      <c r="CM340" s="152">
        <f>SUM(AY340,BC340,BG340,BK340,BO340,BS340,BW340,CA340,CE340,CI340)+SUM(AZ340,BD340,BH340,BL340,BP340,BT340,BX340,CB340,CF340,CJ340)</f>
        <v/>
      </c>
      <c r="CN340" s="152">
        <f>SUM(BA340,BE340,BI340,BM340,BQ340,BU340,BY340,CC340,CG340,CK340)</f>
        <v/>
      </c>
      <c r="CO340" s="152">
        <f>IF(AW340&gt;CN$6,NA(),AW340)</f>
        <v/>
      </c>
      <c r="CP340" s="152">
        <f>IF(AW340&gt;CN$6,NA(),CN340)</f>
        <v/>
      </c>
    </row>
    <row r="341">
      <c r="B341" s="152" t="n">
        <v>330</v>
      </c>
      <c r="C341" s="152">
        <f>IF(F340&lt;=0.005,0,F340*(1+C$6))</f>
        <v/>
      </c>
      <c r="D341" s="152">
        <f>MIN(C341,C$7)</f>
        <v/>
      </c>
      <c r="E341" s="152">
        <f>MAX(0,MIN(C341-D341,AQ341))</f>
        <v/>
      </c>
      <c r="F341" s="152">
        <f>C341-D341-E341</f>
        <v/>
      </c>
      <c r="G341" s="152">
        <f>IF(J340&lt;=0.005,0,J340*(1+G$6))</f>
        <v/>
      </c>
      <c r="H341" s="152">
        <f>MIN(G341,G$7)</f>
        <v/>
      </c>
      <c r="I341" s="152">
        <f>MAX(0,MIN(G341-H341,AQ341-(E341)))</f>
        <v/>
      </c>
      <c r="J341" s="152">
        <f>G341-H341-I341</f>
        <v/>
      </c>
      <c r="K341" s="152">
        <f>IF(N340&lt;=0.005,0,N340*(1+K$6))</f>
        <v/>
      </c>
      <c r="L341" s="152">
        <f>MIN(K341,K$7)</f>
        <v/>
      </c>
      <c r="M341" s="152">
        <f>MAX(0,MIN(K341-L341,AQ341-(E341+I341)))</f>
        <v/>
      </c>
      <c r="N341" s="152">
        <f>K341-L341-M341</f>
        <v/>
      </c>
      <c r="O341" s="152">
        <f>IF(R340&lt;=0.005,0,R340*(1+O$6))</f>
        <v/>
      </c>
      <c r="P341" s="152">
        <f>MIN(O341,O$7)</f>
        <v/>
      </c>
      <c r="Q341" s="152">
        <f>MAX(0,MIN(O341-P341,AQ341-(E341+I341+M341)))</f>
        <v/>
      </c>
      <c r="R341" s="152">
        <f>O341-P341-Q341</f>
        <v/>
      </c>
      <c r="S341" s="152">
        <f>IF(V340&lt;=0.005,0,V340*(1+S$6))</f>
        <v/>
      </c>
      <c r="T341" s="152">
        <f>MIN(S341,S$7)</f>
        <v/>
      </c>
      <c r="U341" s="152">
        <f>MAX(0,MIN(S341-T341,AQ341-(E341+I341+M341+Q341)))</f>
        <v/>
      </c>
      <c r="V341" s="152">
        <f>S341-T341-U341</f>
        <v/>
      </c>
      <c r="W341" s="152">
        <f>IF(Z340&lt;=0.005,0,Z340*(1+W$6))</f>
        <v/>
      </c>
      <c r="X341" s="152">
        <f>MIN(W341,W$7)</f>
        <v/>
      </c>
      <c r="Y341" s="152">
        <f>MAX(0,MIN(W341-X341,AQ341-(E341+I341+M341+Q341+U341)))</f>
        <v/>
      </c>
      <c r="Z341" s="152">
        <f>W341-X341-Y341</f>
        <v/>
      </c>
      <c r="AA341" s="152">
        <f>IF(AD340&lt;=0.005,0,AD340*(1+AA$6))</f>
        <v/>
      </c>
      <c r="AB341" s="152">
        <f>MIN(AA341,AA$7)</f>
        <v/>
      </c>
      <c r="AC341" s="152">
        <f>MAX(0,MIN(AA341-AB341,AQ341-(E341+I341+M341+Q341+U341+Y341)))</f>
        <v/>
      </c>
      <c r="AD341" s="152">
        <f>AA341-AB341-AC341</f>
        <v/>
      </c>
      <c r="AE341" s="152">
        <f>IF(AH340&lt;=0.005,0,AH340*(1+AE$6))</f>
        <v/>
      </c>
      <c r="AF341" s="152">
        <f>MIN(AE341,AE$7)</f>
        <v/>
      </c>
      <c r="AG341" s="152">
        <f>MAX(0,MIN(AE341-AF341,AQ341-(E341+I341+M341+Q341+U341+Y341+AC341)))</f>
        <v/>
      </c>
      <c r="AH341" s="152">
        <f>AE341-AF341-AG341</f>
        <v/>
      </c>
      <c r="AI341" s="152">
        <f>IF(AL340&lt;=0.005,0,AL340*(1+AI$6))</f>
        <v/>
      </c>
      <c r="AJ341" s="152">
        <f>MIN(AI341,AI$7)</f>
        <v/>
      </c>
      <c r="AK341" s="152">
        <f>MAX(0,MIN(AI341-AJ341,AQ341-(E341+I341+M341+Q341+U341+Y341+AC341+AG341)))</f>
        <v/>
      </c>
      <c r="AL341" s="152">
        <f>AI341-AJ341-AK341</f>
        <v/>
      </c>
      <c r="AM341" s="152">
        <f>IF(AP340&lt;=0.005,0,AP340*(1+AM$6))</f>
        <v/>
      </c>
      <c r="AN341" s="152">
        <f>MIN(AM341,AM$7)</f>
        <v/>
      </c>
      <c r="AO341" s="152">
        <f>MAX(0,MIN(AM341-AN341,AQ341-(E341+I341+M341+Q341+U341+Y341+AC341+AG341+AK341)))</f>
        <v/>
      </c>
      <c r="AP341" s="152">
        <f>AM341-AN341-AO341</f>
        <v/>
      </c>
      <c r="AQ341" s="152">
        <f>'Debt Payoff'!$C$8-SUM(D341,H341,L341,P341,T341,X341,AB341,AF341,AJ341,AN341)</f>
        <v/>
      </c>
      <c r="AR341" s="152">
        <f>SUM(D341,H341,L341,P341,T341,X341,AB341,AF341,AJ341,AN341)+SUM(E341,I341,M341,Q341,U341,Y341,AC341,AG341,AK341,AO341)</f>
        <v/>
      </c>
      <c r="AS341" s="152">
        <f>SUM(F341,J341,N341,R341,V341,Z341,AD341,AH341,AL341,AP341)</f>
        <v/>
      </c>
      <c r="AT341" s="152">
        <f>IF(B341&gt;AS$6,NA(),B341)</f>
        <v/>
      </c>
      <c r="AU341" s="152">
        <f>IF(B341&gt;AS$6,NA(),AS341)</f>
        <v/>
      </c>
      <c r="AV341" s="152" t="n"/>
      <c r="AW341" s="152" t="n">
        <v>330</v>
      </c>
      <c r="AX341" s="152">
        <f>IF(BA340&lt;=0.005,0,BA340*(1+AX$6))</f>
        <v/>
      </c>
      <c r="AY341" s="152">
        <f>MIN(AX341,AX$7)</f>
        <v/>
      </c>
      <c r="AZ341" s="152">
        <f>MAX(0,MIN(AX341-AY341,CL341))</f>
        <v/>
      </c>
      <c r="BA341" s="152">
        <f>AX341-AY341-AZ341</f>
        <v/>
      </c>
      <c r="BB341" s="152">
        <f>IF(BE340&lt;=0.005,0,BE340*(1+BB$6))</f>
        <v/>
      </c>
      <c r="BC341" s="152">
        <f>MIN(BB341,BB$7)</f>
        <v/>
      </c>
      <c r="BD341" s="152">
        <f>MAX(0,MIN(BB341-BC341,CL341-(AZ341)))</f>
        <v/>
      </c>
      <c r="BE341" s="152">
        <f>BB341-BC341-BD341</f>
        <v/>
      </c>
      <c r="BF341" s="152">
        <f>IF(BI340&lt;=0.005,0,BI340*(1+BF$6))</f>
        <v/>
      </c>
      <c r="BG341" s="152">
        <f>MIN(BF341,BF$7)</f>
        <v/>
      </c>
      <c r="BH341" s="152">
        <f>MAX(0,MIN(BF341-BG341,CL341-(AZ341+BD341)))</f>
        <v/>
      </c>
      <c r="BI341" s="152">
        <f>BF341-BG341-BH341</f>
        <v/>
      </c>
      <c r="BJ341" s="152">
        <f>IF(BM340&lt;=0.005,0,BM340*(1+BJ$6))</f>
        <v/>
      </c>
      <c r="BK341" s="152">
        <f>MIN(BJ341,BJ$7)</f>
        <v/>
      </c>
      <c r="BL341" s="152">
        <f>MAX(0,MIN(BJ341-BK341,CL341-(AZ341+BD341+BH341)))</f>
        <v/>
      </c>
      <c r="BM341" s="152">
        <f>BJ341-BK341-BL341</f>
        <v/>
      </c>
      <c r="BN341" s="152">
        <f>IF(BQ340&lt;=0.005,0,BQ340*(1+BN$6))</f>
        <v/>
      </c>
      <c r="BO341" s="152">
        <f>MIN(BN341,BN$7)</f>
        <v/>
      </c>
      <c r="BP341" s="152">
        <f>MAX(0,MIN(BN341-BO341,CL341-(AZ341+BD341+BH341+BL341)))</f>
        <v/>
      </c>
      <c r="BQ341" s="152">
        <f>BN341-BO341-BP341</f>
        <v/>
      </c>
      <c r="BR341" s="152">
        <f>IF(BU340&lt;=0.005,0,BU340*(1+BR$6))</f>
        <v/>
      </c>
      <c r="BS341" s="152">
        <f>MIN(BR341,BR$7)</f>
        <v/>
      </c>
      <c r="BT341" s="152">
        <f>MAX(0,MIN(BR341-BS341,CL341-(AZ341+BD341+BH341+BL341+BP341)))</f>
        <v/>
      </c>
      <c r="BU341" s="152">
        <f>BR341-BS341-BT341</f>
        <v/>
      </c>
      <c r="BV341" s="152">
        <f>IF(BY340&lt;=0.005,0,BY340*(1+BV$6))</f>
        <v/>
      </c>
      <c r="BW341" s="152">
        <f>MIN(BV341,BV$7)</f>
        <v/>
      </c>
      <c r="BX341" s="152">
        <f>MAX(0,MIN(BV341-BW341,CL341-(AZ341+BD341+BH341+BL341+BP341+BT341)))</f>
        <v/>
      </c>
      <c r="BY341" s="152">
        <f>BV341-BW341-BX341</f>
        <v/>
      </c>
      <c r="BZ341" s="152">
        <f>IF(CC340&lt;=0.005,0,CC340*(1+BZ$6))</f>
        <v/>
      </c>
      <c r="CA341" s="152">
        <f>MIN(BZ341,BZ$7)</f>
        <v/>
      </c>
      <c r="CB341" s="152">
        <f>MAX(0,MIN(BZ341-CA341,CL341-(AZ341+BD341+BH341+BL341+BP341+BT341+BX341)))</f>
        <v/>
      </c>
      <c r="CC341" s="152">
        <f>BZ341-CA341-CB341</f>
        <v/>
      </c>
      <c r="CD341" s="152">
        <f>IF(CG340&lt;=0.005,0,CG340*(1+CD$6))</f>
        <v/>
      </c>
      <c r="CE341" s="152">
        <f>MIN(CD341,CD$7)</f>
        <v/>
      </c>
      <c r="CF341" s="152">
        <f>MAX(0,MIN(CD341-CE341,CL341-(AZ341+BD341+BH341+BL341+BP341+BT341+BX341+CB341)))</f>
        <v/>
      </c>
      <c r="CG341" s="152">
        <f>CD341-CE341-CF341</f>
        <v/>
      </c>
      <c r="CH341" s="152">
        <f>IF(CK340&lt;=0.005,0,CK340*(1+CH$6))</f>
        <v/>
      </c>
      <c r="CI341" s="152">
        <f>MIN(CH341,CH$7)</f>
        <v/>
      </c>
      <c r="CJ341" s="152">
        <f>MAX(0,MIN(CH341-CI341,CL341-(AZ341+BD341+BH341+BL341+BP341+BT341+BX341+CB341+CF341)))</f>
        <v/>
      </c>
      <c r="CK341" s="152">
        <f>CH341-CI341-CJ341</f>
        <v/>
      </c>
      <c r="CL341" s="152">
        <f>'Debt Payoff'!$C$8-SUM(AY341,BC341,BG341,BK341,BO341,BS341,BW341,CA341,CE341,CI341)</f>
        <v/>
      </c>
      <c r="CM341" s="152">
        <f>SUM(AY341,BC341,BG341,BK341,BO341,BS341,BW341,CA341,CE341,CI341)+SUM(AZ341,BD341,BH341,BL341,BP341,BT341,BX341,CB341,CF341,CJ341)</f>
        <v/>
      </c>
      <c r="CN341" s="152">
        <f>SUM(BA341,BE341,BI341,BM341,BQ341,BU341,BY341,CC341,CG341,CK341)</f>
        <v/>
      </c>
      <c r="CO341" s="152">
        <f>IF(AW341&gt;CN$6,NA(),AW341)</f>
        <v/>
      </c>
      <c r="CP341" s="152">
        <f>IF(AW341&gt;CN$6,NA(),CN341)</f>
        <v/>
      </c>
    </row>
    <row r="342">
      <c r="B342" s="152" t="n">
        <v>331</v>
      </c>
      <c r="C342" s="152">
        <f>IF(F341&lt;=0.005,0,F341*(1+C$6))</f>
        <v/>
      </c>
      <c r="D342" s="152">
        <f>MIN(C342,C$7)</f>
        <v/>
      </c>
      <c r="E342" s="152">
        <f>MAX(0,MIN(C342-D342,AQ342))</f>
        <v/>
      </c>
      <c r="F342" s="152">
        <f>C342-D342-E342</f>
        <v/>
      </c>
      <c r="G342" s="152">
        <f>IF(J341&lt;=0.005,0,J341*(1+G$6))</f>
        <v/>
      </c>
      <c r="H342" s="152">
        <f>MIN(G342,G$7)</f>
        <v/>
      </c>
      <c r="I342" s="152">
        <f>MAX(0,MIN(G342-H342,AQ342-(E342)))</f>
        <v/>
      </c>
      <c r="J342" s="152">
        <f>G342-H342-I342</f>
        <v/>
      </c>
      <c r="K342" s="152">
        <f>IF(N341&lt;=0.005,0,N341*(1+K$6))</f>
        <v/>
      </c>
      <c r="L342" s="152">
        <f>MIN(K342,K$7)</f>
        <v/>
      </c>
      <c r="M342" s="152">
        <f>MAX(0,MIN(K342-L342,AQ342-(E342+I342)))</f>
        <v/>
      </c>
      <c r="N342" s="152">
        <f>K342-L342-M342</f>
        <v/>
      </c>
      <c r="O342" s="152">
        <f>IF(R341&lt;=0.005,0,R341*(1+O$6))</f>
        <v/>
      </c>
      <c r="P342" s="152">
        <f>MIN(O342,O$7)</f>
        <v/>
      </c>
      <c r="Q342" s="152">
        <f>MAX(0,MIN(O342-P342,AQ342-(E342+I342+M342)))</f>
        <v/>
      </c>
      <c r="R342" s="152">
        <f>O342-P342-Q342</f>
        <v/>
      </c>
      <c r="S342" s="152">
        <f>IF(V341&lt;=0.005,0,V341*(1+S$6))</f>
        <v/>
      </c>
      <c r="T342" s="152">
        <f>MIN(S342,S$7)</f>
        <v/>
      </c>
      <c r="U342" s="152">
        <f>MAX(0,MIN(S342-T342,AQ342-(E342+I342+M342+Q342)))</f>
        <v/>
      </c>
      <c r="V342" s="152">
        <f>S342-T342-U342</f>
        <v/>
      </c>
      <c r="W342" s="152">
        <f>IF(Z341&lt;=0.005,0,Z341*(1+W$6))</f>
        <v/>
      </c>
      <c r="X342" s="152">
        <f>MIN(W342,W$7)</f>
        <v/>
      </c>
      <c r="Y342" s="152">
        <f>MAX(0,MIN(W342-X342,AQ342-(E342+I342+M342+Q342+U342)))</f>
        <v/>
      </c>
      <c r="Z342" s="152">
        <f>W342-X342-Y342</f>
        <v/>
      </c>
      <c r="AA342" s="152">
        <f>IF(AD341&lt;=0.005,0,AD341*(1+AA$6))</f>
        <v/>
      </c>
      <c r="AB342" s="152">
        <f>MIN(AA342,AA$7)</f>
        <v/>
      </c>
      <c r="AC342" s="152">
        <f>MAX(0,MIN(AA342-AB342,AQ342-(E342+I342+M342+Q342+U342+Y342)))</f>
        <v/>
      </c>
      <c r="AD342" s="152">
        <f>AA342-AB342-AC342</f>
        <v/>
      </c>
      <c r="AE342" s="152">
        <f>IF(AH341&lt;=0.005,0,AH341*(1+AE$6))</f>
        <v/>
      </c>
      <c r="AF342" s="152">
        <f>MIN(AE342,AE$7)</f>
        <v/>
      </c>
      <c r="AG342" s="152">
        <f>MAX(0,MIN(AE342-AF342,AQ342-(E342+I342+M342+Q342+U342+Y342+AC342)))</f>
        <v/>
      </c>
      <c r="AH342" s="152">
        <f>AE342-AF342-AG342</f>
        <v/>
      </c>
      <c r="AI342" s="152">
        <f>IF(AL341&lt;=0.005,0,AL341*(1+AI$6))</f>
        <v/>
      </c>
      <c r="AJ342" s="152">
        <f>MIN(AI342,AI$7)</f>
        <v/>
      </c>
      <c r="AK342" s="152">
        <f>MAX(0,MIN(AI342-AJ342,AQ342-(E342+I342+M342+Q342+U342+Y342+AC342+AG342)))</f>
        <v/>
      </c>
      <c r="AL342" s="152">
        <f>AI342-AJ342-AK342</f>
        <v/>
      </c>
      <c r="AM342" s="152">
        <f>IF(AP341&lt;=0.005,0,AP341*(1+AM$6))</f>
        <v/>
      </c>
      <c r="AN342" s="152">
        <f>MIN(AM342,AM$7)</f>
        <v/>
      </c>
      <c r="AO342" s="152">
        <f>MAX(0,MIN(AM342-AN342,AQ342-(E342+I342+M342+Q342+U342+Y342+AC342+AG342+AK342)))</f>
        <v/>
      </c>
      <c r="AP342" s="152">
        <f>AM342-AN342-AO342</f>
        <v/>
      </c>
      <c r="AQ342" s="152">
        <f>'Debt Payoff'!$C$8-SUM(D342,H342,L342,P342,T342,X342,AB342,AF342,AJ342,AN342)</f>
        <v/>
      </c>
      <c r="AR342" s="152">
        <f>SUM(D342,H342,L342,P342,T342,X342,AB342,AF342,AJ342,AN342)+SUM(E342,I342,M342,Q342,U342,Y342,AC342,AG342,AK342,AO342)</f>
        <v/>
      </c>
      <c r="AS342" s="152">
        <f>SUM(F342,J342,N342,R342,V342,Z342,AD342,AH342,AL342,AP342)</f>
        <v/>
      </c>
      <c r="AT342" s="152">
        <f>IF(B342&gt;AS$6,NA(),B342)</f>
        <v/>
      </c>
      <c r="AU342" s="152">
        <f>IF(B342&gt;AS$6,NA(),AS342)</f>
        <v/>
      </c>
      <c r="AV342" s="152" t="n"/>
      <c r="AW342" s="152" t="n">
        <v>331</v>
      </c>
      <c r="AX342" s="152">
        <f>IF(BA341&lt;=0.005,0,BA341*(1+AX$6))</f>
        <v/>
      </c>
      <c r="AY342" s="152">
        <f>MIN(AX342,AX$7)</f>
        <v/>
      </c>
      <c r="AZ342" s="152">
        <f>MAX(0,MIN(AX342-AY342,CL342))</f>
        <v/>
      </c>
      <c r="BA342" s="152">
        <f>AX342-AY342-AZ342</f>
        <v/>
      </c>
      <c r="BB342" s="152">
        <f>IF(BE341&lt;=0.005,0,BE341*(1+BB$6))</f>
        <v/>
      </c>
      <c r="BC342" s="152">
        <f>MIN(BB342,BB$7)</f>
        <v/>
      </c>
      <c r="BD342" s="152">
        <f>MAX(0,MIN(BB342-BC342,CL342-(AZ342)))</f>
        <v/>
      </c>
      <c r="BE342" s="152">
        <f>BB342-BC342-BD342</f>
        <v/>
      </c>
      <c r="BF342" s="152">
        <f>IF(BI341&lt;=0.005,0,BI341*(1+BF$6))</f>
        <v/>
      </c>
      <c r="BG342" s="152">
        <f>MIN(BF342,BF$7)</f>
        <v/>
      </c>
      <c r="BH342" s="152">
        <f>MAX(0,MIN(BF342-BG342,CL342-(AZ342+BD342)))</f>
        <v/>
      </c>
      <c r="BI342" s="152">
        <f>BF342-BG342-BH342</f>
        <v/>
      </c>
      <c r="BJ342" s="152">
        <f>IF(BM341&lt;=0.005,0,BM341*(1+BJ$6))</f>
        <v/>
      </c>
      <c r="BK342" s="152">
        <f>MIN(BJ342,BJ$7)</f>
        <v/>
      </c>
      <c r="BL342" s="152">
        <f>MAX(0,MIN(BJ342-BK342,CL342-(AZ342+BD342+BH342)))</f>
        <v/>
      </c>
      <c r="BM342" s="152">
        <f>BJ342-BK342-BL342</f>
        <v/>
      </c>
      <c r="BN342" s="152">
        <f>IF(BQ341&lt;=0.005,0,BQ341*(1+BN$6))</f>
        <v/>
      </c>
      <c r="BO342" s="152">
        <f>MIN(BN342,BN$7)</f>
        <v/>
      </c>
      <c r="BP342" s="152">
        <f>MAX(0,MIN(BN342-BO342,CL342-(AZ342+BD342+BH342+BL342)))</f>
        <v/>
      </c>
      <c r="BQ342" s="152">
        <f>BN342-BO342-BP342</f>
        <v/>
      </c>
      <c r="BR342" s="152">
        <f>IF(BU341&lt;=0.005,0,BU341*(1+BR$6))</f>
        <v/>
      </c>
      <c r="BS342" s="152">
        <f>MIN(BR342,BR$7)</f>
        <v/>
      </c>
      <c r="BT342" s="152">
        <f>MAX(0,MIN(BR342-BS342,CL342-(AZ342+BD342+BH342+BL342+BP342)))</f>
        <v/>
      </c>
      <c r="BU342" s="152">
        <f>BR342-BS342-BT342</f>
        <v/>
      </c>
      <c r="BV342" s="152">
        <f>IF(BY341&lt;=0.005,0,BY341*(1+BV$6))</f>
        <v/>
      </c>
      <c r="BW342" s="152">
        <f>MIN(BV342,BV$7)</f>
        <v/>
      </c>
      <c r="BX342" s="152">
        <f>MAX(0,MIN(BV342-BW342,CL342-(AZ342+BD342+BH342+BL342+BP342+BT342)))</f>
        <v/>
      </c>
      <c r="BY342" s="152">
        <f>BV342-BW342-BX342</f>
        <v/>
      </c>
      <c r="BZ342" s="152">
        <f>IF(CC341&lt;=0.005,0,CC341*(1+BZ$6))</f>
        <v/>
      </c>
      <c r="CA342" s="152">
        <f>MIN(BZ342,BZ$7)</f>
        <v/>
      </c>
      <c r="CB342" s="152">
        <f>MAX(0,MIN(BZ342-CA342,CL342-(AZ342+BD342+BH342+BL342+BP342+BT342+BX342)))</f>
        <v/>
      </c>
      <c r="CC342" s="152">
        <f>BZ342-CA342-CB342</f>
        <v/>
      </c>
      <c r="CD342" s="152">
        <f>IF(CG341&lt;=0.005,0,CG341*(1+CD$6))</f>
        <v/>
      </c>
      <c r="CE342" s="152">
        <f>MIN(CD342,CD$7)</f>
        <v/>
      </c>
      <c r="CF342" s="152">
        <f>MAX(0,MIN(CD342-CE342,CL342-(AZ342+BD342+BH342+BL342+BP342+BT342+BX342+CB342)))</f>
        <v/>
      </c>
      <c r="CG342" s="152">
        <f>CD342-CE342-CF342</f>
        <v/>
      </c>
      <c r="CH342" s="152">
        <f>IF(CK341&lt;=0.005,0,CK341*(1+CH$6))</f>
        <v/>
      </c>
      <c r="CI342" s="152">
        <f>MIN(CH342,CH$7)</f>
        <v/>
      </c>
      <c r="CJ342" s="152">
        <f>MAX(0,MIN(CH342-CI342,CL342-(AZ342+BD342+BH342+BL342+BP342+BT342+BX342+CB342+CF342)))</f>
        <v/>
      </c>
      <c r="CK342" s="152">
        <f>CH342-CI342-CJ342</f>
        <v/>
      </c>
      <c r="CL342" s="152">
        <f>'Debt Payoff'!$C$8-SUM(AY342,BC342,BG342,BK342,BO342,BS342,BW342,CA342,CE342,CI342)</f>
        <v/>
      </c>
      <c r="CM342" s="152">
        <f>SUM(AY342,BC342,BG342,BK342,BO342,BS342,BW342,CA342,CE342,CI342)+SUM(AZ342,BD342,BH342,BL342,BP342,BT342,BX342,CB342,CF342,CJ342)</f>
        <v/>
      </c>
      <c r="CN342" s="152">
        <f>SUM(BA342,BE342,BI342,BM342,BQ342,BU342,BY342,CC342,CG342,CK342)</f>
        <v/>
      </c>
      <c r="CO342" s="152">
        <f>IF(AW342&gt;CN$6,NA(),AW342)</f>
        <v/>
      </c>
      <c r="CP342" s="152">
        <f>IF(AW342&gt;CN$6,NA(),CN342)</f>
        <v/>
      </c>
    </row>
    <row r="343">
      <c r="B343" s="152" t="n">
        <v>332</v>
      </c>
      <c r="C343" s="152">
        <f>IF(F342&lt;=0.005,0,F342*(1+C$6))</f>
        <v/>
      </c>
      <c r="D343" s="152">
        <f>MIN(C343,C$7)</f>
        <v/>
      </c>
      <c r="E343" s="152">
        <f>MAX(0,MIN(C343-D343,AQ343))</f>
        <v/>
      </c>
      <c r="F343" s="152">
        <f>C343-D343-E343</f>
        <v/>
      </c>
      <c r="G343" s="152">
        <f>IF(J342&lt;=0.005,0,J342*(1+G$6))</f>
        <v/>
      </c>
      <c r="H343" s="152">
        <f>MIN(G343,G$7)</f>
        <v/>
      </c>
      <c r="I343" s="152">
        <f>MAX(0,MIN(G343-H343,AQ343-(E343)))</f>
        <v/>
      </c>
      <c r="J343" s="152">
        <f>G343-H343-I343</f>
        <v/>
      </c>
      <c r="K343" s="152">
        <f>IF(N342&lt;=0.005,0,N342*(1+K$6))</f>
        <v/>
      </c>
      <c r="L343" s="152">
        <f>MIN(K343,K$7)</f>
        <v/>
      </c>
      <c r="M343" s="152">
        <f>MAX(0,MIN(K343-L343,AQ343-(E343+I343)))</f>
        <v/>
      </c>
      <c r="N343" s="152">
        <f>K343-L343-M343</f>
        <v/>
      </c>
      <c r="O343" s="152">
        <f>IF(R342&lt;=0.005,0,R342*(1+O$6))</f>
        <v/>
      </c>
      <c r="P343" s="152">
        <f>MIN(O343,O$7)</f>
        <v/>
      </c>
      <c r="Q343" s="152">
        <f>MAX(0,MIN(O343-P343,AQ343-(E343+I343+M343)))</f>
        <v/>
      </c>
      <c r="R343" s="152">
        <f>O343-P343-Q343</f>
        <v/>
      </c>
      <c r="S343" s="152">
        <f>IF(V342&lt;=0.005,0,V342*(1+S$6))</f>
        <v/>
      </c>
      <c r="T343" s="152">
        <f>MIN(S343,S$7)</f>
        <v/>
      </c>
      <c r="U343" s="152">
        <f>MAX(0,MIN(S343-T343,AQ343-(E343+I343+M343+Q343)))</f>
        <v/>
      </c>
      <c r="V343" s="152">
        <f>S343-T343-U343</f>
        <v/>
      </c>
      <c r="W343" s="152">
        <f>IF(Z342&lt;=0.005,0,Z342*(1+W$6))</f>
        <v/>
      </c>
      <c r="X343" s="152">
        <f>MIN(W343,W$7)</f>
        <v/>
      </c>
      <c r="Y343" s="152">
        <f>MAX(0,MIN(W343-X343,AQ343-(E343+I343+M343+Q343+U343)))</f>
        <v/>
      </c>
      <c r="Z343" s="152">
        <f>W343-X343-Y343</f>
        <v/>
      </c>
      <c r="AA343" s="152">
        <f>IF(AD342&lt;=0.005,0,AD342*(1+AA$6))</f>
        <v/>
      </c>
      <c r="AB343" s="152">
        <f>MIN(AA343,AA$7)</f>
        <v/>
      </c>
      <c r="AC343" s="152">
        <f>MAX(0,MIN(AA343-AB343,AQ343-(E343+I343+M343+Q343+U343+Y343)))</f>
        <v/>
      </c>
      <c r="AD343" s="152">
        <f>AA343-AB343-AC343</f>
        <v/>
      </c>
      <c r="AE343" s="152">
        <f>IF(AH342&lt;=0.005,0,AH342*(1+AE$6))</f>
        <v/>
      </c>
      <c r="AF343" s="152">
        <f>MIN(AE343,AE$7)</f>
        <v/>
      </c>
      <c r="AG343" s="152">
        <f>MAX(0,MIN(AE343-AF343,AQ343-(E343+I343+M343+Q343+U343+Y343+AC343)))</f>
        <v/>
      </c>
      <c r="AH343" s="152">
        <f>AE343-AF343-AG343</f>
        <v/>
      </c>
      <c r="AI343" s="152">
        <f>IF(AL342&lt;=0.005,0,AL342*(1+AI$6))</f>
        <v/>
      </c>
      <c r="AJ343" s="152">
        <f>MIN(AI343,AI$7)</f>
        <v/>
      </c>
      <c r="AK343" s="152">
        <f>MAX(0,MIN(AI343-AJ343,AQ343-(E343+I343+M343+Q343+U343+Y343+AC343+AG343)))</f>
        <v/>
      </c>
      <c r="AL343" s="152">
        <f>AI343-AJ343-AK343</f>
        <v/>
      </c>
      <c r="AM343" s="152">
        <f>IF(AP342&lt;=0.005,0,AP342*(1+AM$6))</f>
        <v/>
      </c>
      <c r="AN343" s="152">
        <f>MIN(AM343,AM$7)</f>
        <v/>
      </c>
      <c r="AO343" s="152">
        <f>MAX(0,MIN(AM343-AN343,AQ343-(E343+I343+M343+Q343+U343+Y343+AC343+AG343+AK343)))</f>
        <v/>
      </c>
      <c r="AP343" s="152">
        <f>AM343-AN343-AO343</f>
        <v/>
      </c>
      <c r="AQ343" s="152">
        <f>'Debt Payoff'!$C$8-SUM(D343,H343,L343,P343,T343,X343,AB343,AF343,AJ343,AN343)</f>
        <v/>
      </c>
      <c r="AR343" s="152">
        <f>SUM(D343,H343,L343,P343,T343,X343,AB343,AF343,AJ343,AN343)+SUM(E343,I343,M343,Q343,U343,Y343,AC343,AG343,AK343,AO343)</f>
        <v/>
      </c>
      <c r="AS343" s="152">
        <f>SUM(F343,J343,N343,R343,V343,Z343,AD343,AH343,AL343,AP343)</f>
        <v/>
      </c>
      <c r="AT343" s="152">
        <f>IF(B343&gt;AS$6,NA(),B343)</f>
        <v/>
      </c>
      <c r="AU343" s="152">
        <f>IF(B343&gt;AS$6,NA(),AS343)</f>
        <v/>
      </c>
      <c r="AV343" s="152" t="n"/>
      <c r="AW343" s="152" t="n">
        <v>332</v>
      </c>
      <c r="AX343" s="152">
        <f>IF(BA342&lt;=0.005,0,BA342*(1+AX$6))</f>
        <v/>
      </c>
      <c r="AY343" s="152">
        <f>MIN(AX343,AX$7)</f>
        <v/>
      </c>
      <c r="AZ343" s="152">
        <f>MAX(0,MIN(AX343-AY343,CL343))</f>
        <v/>
      </c>
      <c r="BA343" s="152">
        <f>AX343-AY343-AZ343</f>
        <v/>
      </c>
      <c r="BB343" s="152">
        <f>IF(BE342&lt;=0.005,0,BE342*(1+BB$6))</f>
        <v/>
      </c>
      <c r="BC343" s="152">
        <f>MIN(BB343,BB$7)</f>
        <v/>
      </c>
      <c r="BD343" s="152">
        <f>MAX(0,MIN(BB343-BC343,CL343-(AZ343)))</f>
        <v/>
      </c>
      <c r="BE343" s="152">
        <f>BB343-BC343-BD343</f>
        <v/>
      </c>
      <c r="BF343" s="152">
        <f>IF(BI342&lt;=0.005,0,BI342*(1+BF$6))</f>
        <v/>
      </c>
      <c r="BG343" s="152">
        <f>MIN(BF343,BF$7)</f>
        <v/>
      </c>
      <c r="BH343" s="152">
        <f>MAX(0,MIN(BF343-BG343,CL343-(AZ343+BD343)))</f>
        <v/>
      </c>
      <c r="BI343" s="152">
        <f>BF343-BG343-BH343</f>
        <v/>
      </c>
      <c r="BJ343" s="152">
        <f>IF(BM342&lt;=0.005,0,BM342*(1+BJ$6))</f>
        <v/>
      </c>
      <c r="BK343" s="152">
        <f>MIN(BJ343,BJ$7)</f>
        <v/>
      </c>
      <c r="BL343" s="152">
        <f>MAX(0,MIN(BJ343-BK343,CL343-(AZ343+BD343+BH343)))</f>
        <v/>
      </c>
      <c r="BM343" s="152">
        <f>BJ343-BK343-BL343</f>
        <v/>
      </c>
      <c r="BN343" s="152">
        <f>IF(BQ342&lt;=0.005,0,BQ342*(1+BN$6))</f>
        <v/>
      </c>
      <c r="BO343" s="152">
        <f>MIN(BN343,BN$7)</f>
        <v/>
      </c>
      <c r="BP343" s="152">
        <f>MAX(0,MIN(BN343-BO343,CL343-(AZ343+BD343+BH343+BL343)))</f>
        <v/>
      </c>
      <c r="BQ343" s="152">
        <f>BN343-BO343-BP343</f>
        <v/>
      </c>
      <c r="BR343" s="152">
        <f>IF(BU342&lt;=0.005,0,BU342*(1+BR$6))</f>
        <v/>
      </c>
      <c r="BS343" s="152">
        <f>MIN(BR343,BR$7)</f>
        <v/>
      </c>
      <c r="BT343" s="152">
        <f>MAX(0,MIN(BR343-BS343,CL343-(AZ343+BD343+BH343+BL343+BP343)))</f>
        <v/>
      </c>
      <c r="BU343" s="152">
        <f>BR343-BS343-BT343</f>
        <v/>
      </c>
      <c r="BV343" s="152">
        <f>IF(BY342&lt;=0.005,0,BY342*(1+BV$6))</f>
        <v/>
      </c>
      <c r="BW343" s="152">
        <f>MIN(BV343,BV$7)</f>
        <v/>
      </c>
      <c r="BX343" s="152">
        <f>MAX(0,MIN(BV343-BW343,CL343-(AZ343+BD343+BH343+BL343+BP343+BT343)))</f>
        <v/>
      </c>
      <c r="BY343" s="152">
        <f>BV343-BW343-BX343</f>
        <v/>
      </c>
      <c r="BZ343" s="152">
        <f>IF(CC342&lt;=0.005,0,CC342*(1+BZ$6))</f>
        <v/>
      </c>
      <c r="CA343" s="152">
        <f>MIN(BZ343,BZ$7)</f>
        <v/>
      </c>
      <c r="CB343" s="152">
        <f>MAX(0,MIN(BZ343-CA343,CL343-(AZ343+BD343+BH343+BL343+BP343+BT343+BX343)))</f>
        <v/>
      </c>
      <c r="CC343" s="152">
        <f>BZ343-CA343-CB343</f>
        <v/>
      </c>
      <c r="CD343" s="152">
        <f>IF(CG342&lt;=0.005,0,CG342*(1+CD$6))</f>
        <v/>
      </c>
      <c r="CE343" s="152">
        <f>MIN(CD343,CD$7)</f>
        <v/>
      </c>
      <c r="CF343" s="152">
        <f>MAX(0,MIN(CD343-CE343,CL343-(AZ343+BD343+BH343+BL343+BP343+BT343+BX343+CB343)))</f>
        <v/>
      </c>
      <c r="CG343" s="152">
        <f>CD343-CE343-CF343</f>
        <v/>
      </c>
      <c r="CH343" s="152">
        <f>IF(CK342&lt;=0.005,0,CK342*(1+CH$6))</f>
        <v/>
      </c>
      <c r="CI343" s="152">
        <f>MIN(CH343,CH$7)</f>
        <v/>
      </c>
      <c r="CJ343" s="152">
        <f>MAX(0,MIN(CH343-CI343,CL343-(AZ343+BD343+BH343+BL343+BP343+BT343+BX343+CB343+CF343)))</f>
        <v/>
      </c>
      <c r="CK343" s="152">
        <f>CH343-CI343-CJ343</f>
        <v/>
      </c>
      <c r="CL343" s="152">
        <f>'Debt Payoff'!$C$8-SUM(AY343,BC343,BG343,BK343,BO343,BS343,BW343,CA343,CE343,CI343)</f>
        <v/>
      </c>
      <c r="CM343" s="152">
        <f>SUM(AY343,BC343,BG343,BK343,BO343,BS343,BW343,CA343,CE343,CI343)+SUM(AZ343,BD343,BH343,BL343,BP343,BT343,BX343,CB343,CF343,CJ343)</f>
        <v/>
      </c>
      <c r="CN343" s="152">
        <f>SUM(BA343,BE343,BI343,BM343,BQ343,BU343,BY343,CC343,CG343,CK343)</f>
        <v/>
      </c>
      <c r="CO343" s="152">
        <f>IF(AW343&gt;CN$6,NA(),AW343)</f>
        <v/>
      </c>
      <c r="CP343" s="152">
        <f>IF(AW343&gt;CN$6,NA(),CN343)</f>
        <v/>
      </c>
    </row>
    <row r="344">
      <c r="B344" s="152" t="n">
        <v>333</v>
      </c>
      <c r="C344" s="152">
        <f>IF(F343&lt;=0.005,0,F343*(1+C$6))</f>
        <v/>
      </c>
      <c r="D344" s="152">
        <f>MIN(C344,C$7)</f>
        <v/>
      </c>
      <c r="E344" s="152">
        <f>MAX(0,MIN(C344-D344,AQ344))</f>
        <v/>
      </c>
      <c r="F344" s="152">
        <f>C344-D344-E344</f>
        <v/>
      </c>
      <c r="G344" s="152">
        <f>IF(J343&lt;=0.005,0,J343*(1+G$6))</f>
        <v/>
      </c>
      <c r="H344" s="152">
        <f>MIN(G344,G$7)</f>
        <v/>
      </c>
      <c r="I344" s="152">
        <f>MAX(0,MIN(G344-H344,AQ344-(E344)))</f>
        <v/>
      </c>
      <c r="J344" s="152">
        <f>G344-H344-I344</f>
        <v/>
      </c>
      <c r="K344" s="152">
        <f>IF(N343&lt;=0.005,0,N343*(1+K$6))</f>
        <v/>
      </c>
      <c r="L344" s="152">
        <f>MIN(K344,K$7)</f>
        <v/>
      </c>
      <c r="M344" s="152">
        <f>MAX(0,MIN(K344-L344,AQ344-(E344+I344)))</f>
        <v/>
      </c>
      <c r="N344" s="152">
        <f>K344-L344-M344</f>
        <v/>
      </c>
      <c r="O344" s="152">
        <f>IF(R343&lt;=0.005,0,R343*(1+O$6))</f>
        <v/>
      </c>
      <c r="P344" s="152">
        <f>MIN(O344,O$7)</f>
        <v/>
      </c>
      <c r="Q344" s="152">
        <f>MAX(0,MIN(O344-P344,AQ344-(E344+I344+M344)))</f>
        <v/>
      </c>
      <c r="R344" s="152">
        <f>O344-P344-Q344</f>
        <v/>
      </c>
      <c r="S344" s="152">
        <f>IF(V343&lt;=0.005,0,V343*(1+S$6))</f>
        <v/>
      </c>
      <c r="T344" s="152">
        <f>MIN(S344,S$7)</f>
        <v/>
      </c>
      <c r="U344" s="152">
        <f>MAX(0,MIN(S344-T344,AQ344-(E344+I344+M344+Q344)))</f>
        <v/>
      </c>
      <c r="V344" s="152">
        <f>S344-T344-U344</f>
        <v/>
      </c>
      <c r="W344" s="152">
        <f>IF(Z343&lt;=0.005,0,Z343*(1+W$6))</f>
        <v/>
      </c>
      <c r="X344" s="152">
        <f>MIN(W344,W$7)</f>
        <v/>
      </c>
      <c r="Y344" s="152">
        <f>MAX(0,MIN(W344-X344,AQ344-(E344+I344+M344+Q344+U344)))</f>
        <v/>
      </c>
      <c r="Z344" s="152">
        <f>W344-X344-Y344</f>
        <v/>
      </c>
      <c r="AA344" s="152">
        <f>IF(AD343&lt;=0.005,0,AD343*(1+AA$6))</f>
        <v/>
      </c>
      <c r="AB344" s="152">
        <f>MIN(AA344,AA$7)</f>
        <v/>
      </c>
      <c r="AC344" s="152">
        <f>MAX(0,MIN(AA344-AB344,AQ344-(E344+I344+M344+Q344+U344+Y344)))</f>
        <v/>
      </c>
      <c r="AD344" s="152">
        <f>AA344-AB344-AC344</f>
        <v/>
      </c>
      <c r="AE344" s="152">
        <f>IF(AH343&lt;=0.005,0,AH343*(1+AE$6))</f>
        <v/>
      </c>
      <c r="AF344" s="152">
        <f>MIN(AE344,AE$7)</f>
        <v/>
      </c>
      <c r="AG344" s="152">
        <f>MAX(0,MIN(AE344-AF344,AQ344-(E344+I344+M344+Q344+U344+Y344+AC344)))</f>
        <v/>
      </c>
      <c r="AH344" s="152">
        <f>AE344-AF344-AG344</f>
        <v/>
      </c>
      <c r="AI344" s="152">
        <f>IF(AL343&lt;=0.005,0,AL343*(1+AI$6))</f>
        <v/>
      </c>
      <c r="AJ344" s="152">
        <f>MIN(AI344,AI$7)</f>
        <v/>
      </c>
      <c r="AK344" s="152">
        <f>MAX(0,MIN(AI344-AJ344,AQ344-(E344+I344+M344+Q344+U344+Y344+AC344+AG344)))</f>
        <v/>
      </c>
      <c r="AL344" s="152">
        <f>AI344-AJ344-AK344</f>
        <v/>
      </c>
      <c r="AM344" s="152">
        <f>IF(AP343&lt;=0.005,0,AP343*(1+AM$6))</f>
        <v/>
      </c>
      <c r="AN344" s="152">
        <f>MIN(AM344,AM$7)</f>
        <v/>
      </c>
      <c r="AO344" s="152">
        <f>MAX(0,MIN(AM344-AN344,AQ344-(E344+I344+M344+Q344+U344+Y344+AC344+AG344+AK344)))</f>
        <v/>
      </c>
      <c r="AP344" s="152">
        <f>AM344-AN344-AO344</f>
        <v/>
      </c>
      <c r="AQ344" s="152">
        <f>'Debt Payoff'!$C$8-SUM(D344,H344,L344,P344,T344,X344,AB344,AF344,AJ344,AN344)</f>
        <v/>
      </c>
      <c r="AR344" s="152">
        <f>SUM(D344,H344,L344,P344,T344,X344,AB344,AF344,AJ344,AN344)+SUM(E344,I344,M344,Q344,U344,Y344,AC344,AG344,AK344,AO344)</f>
        <v/>
      </c>
      <c r="AS344" s="152">
        <f>SUM(F344,J344,N344,R344,V344,Z344,AD344,AH344,AL344,AP344)</f>
        <v/>
      </c>
      <c r="AT344" s="152">
        <f>IF(B344&gt;AS$6,NA(),B344)</f>
        <v/>
      </c>
      <c r="AU344" s="152">
        <f>IF(B344&gt;AS$6,NA(),AS344)</f>
        <v/>
      </c>
      <c r="AV344" s="152" t="n"/>
      <c r="AW344" s="152" t="n">
        <v>333</v>
      </c>
      <c r="AX344" s="152">
        <f>IF(BA343&lt;=0.005,0,BA343*(1+AX$6))</f>
        <v/>
      </c>
      <c r="AY344" s="152">
        <f>MIN(AX344,AX$7)</f>
        <v/>
      </c>
      <c r="AZ344" s="152">
        <f>MAX(0,MIN(AX344-AY344,CL344))</f>
        <v/>
      </c>
      <c r="BA344" s="152">
        <f>AX344-AY344-AZ344</f>
        <v/>
      </c>
      <c r="BB344" s="152">
        <f>IF(BE343&lt;=0.005,0,BE343*(1+BB$6))</f>
        <v/>
      </c>
      <c r="BC344" s="152">
        <f>MIN(BB344,BB$7)</f>
        <v/>
      </c>
      <c r="BD344" s="152">
        <f>MAX(0,MIN(BB344-BC344,CL344-(AZ344)))</f>
        <v/>
      </c>
      <c r="BE344" s="152">
        <f>BB344-BC344-BD344</f>
        <v/>
      </c>
      <c r="BF344" s="152">
        <f>IF(BI343&lt;=0.005,0,BI343*(1+BF$6))</f>
        <v/>
      </c>
      <c r="BG344" s="152">
        <f>MIN(BF344,BF$7)</f>
        <v/>
      </c>
      <c r="BH344" s="152">
        <f>MAX(0,MIN(BF344-BG344,CL344-(AZ344+BD344)))</f>
        <v/>
      </c>
      <c r="BI344" s="152">
        <f>BF344-BG344-BH344</f>
        <v/>
      </c>
      <c r="BJ344" s="152">
        <f>IF(BM343&lt;=0.005,0,BM343*(1+BJ$6))</f>
        <v/>
      </c>
      <c r="BK344" s="152">
        <f>MIN(BJ344,BJ$7)</f>
        <v/>
      </c>
      <c r="BL344" s="152">
        <f>MAX(0,MIN(BJ344-BK344,CL344-(AZ344+BD344+BH344)))</f>
        <v/>
      </c>
      <c r="BM344" s="152">
        <f>BJ344-BK344-BL344</f>
        <v/>
      </c>
      <c r="BN344" s="152">
        <f>IF(BQ343&lt;=0.005,0,BQ343*(1+BN$6))</f>
        <v/>
      </c>
      <c r="BO344" s="152">
        <f>MIN(BN344,BN$7)</f>
        <v/>
      </c>
      <c r="BP344" s="152">
        <f>MAX(0,MIN(BN344-BO344,CL344-(AZ344+BD344+BH344+BL344)))</f>
        <v/>
      </c>
      <c r="BQ344" s="152">
        <f>BN344-BO344-BP344</f>
        <v/>
      </c>
      <c r="BR344" s="152">
        <f>IF(BU343&lt;=0.005,0,BU343*(1+BR$6))</f>
        <v/>
      </c>
      <c r="BS344" s="152">
        <f>MIN(BR344,BR$7)</f>
        <v/>
      </c>
      <c r="BT344" s="152">
        <f>MAX(0,MIN(BR344-BS344,CL344-(AZ344+BD344+BH344+BL344+BP344)))</f>
        <v/>
      </c>
      <c r="BU344" s="152">
        <f>BR344-BS344-BT344</f>
        <v/>
      </c>
      <c r="BV344" s="152">
        <f>IF(BY343&lt;=0.005,0,BY343*(1+BV$6))</f>
        <v/>
      </c>
      <c r="BW344" s="152">
        <f>MIN(BV344,BV$7)</f>
        <v/>
      </c>
      <c r="BX344" s="152">
        <f>MAX(0,MIN(BV344-BW344,CL344-(AZ344+BD344+BH344+BL344+BP344+BT344)))</f>
        <v/>
      </c>
      <c r="BY344" s="152">
        <f>BV344-BW344-BX344</f>
        <v/>
      </c>
      <c r="BZ344" s="152">
        <f>IF(CC343&lt;=0.005,0,CC343*(1+BZ$6))</f>
        <v/>
      </c>
      <c r="CA344" s="152">
        <f>MIN(BZ344,BZ$7)</f>
        <v/>
      </c>
      <c r="CB344" s="152">
        <f>MAX(0,MIN(BZ344-CA344,CL344-(AZ344+BD344+BH344+BL344+BP344+BT344+BX344)))</f>
        <v/>
      </c>
      <c r="CC344" s="152">
        <f>BZ344-CA344-CB344</f>
        <v/>
      </c>
      <c r="CD344" s="152">
        <f>IF(CG343&lt;=0.005,0,CG343*(1+CD$6))</f>
        <v/>
      </c>
      <c r="CE344" s="152">
        <f>MIN(CD344,CD$7)</f>
        <v/>
      </c>
      <c r="CF344" s="152">
        <f>MAX(0,MIN(CD344-CE344,CL344-(AZ344+BD344+BH344+BL344+BP344+BT344+BX344+CB344)))</f>
        <v/>
      </c>
      <c r="CG344" s="152">
        <f>CD344-CE344-CF344</f>
        <v/>
      </c>
      <c r="CH344" s="152">
        <f>IF(CK343&lt;=0.005,0,CK343*(1+CH$6))</f>
        <v/>
      </c>
      <c r="CI344" s="152">
        <f>MIN(CH344,CH$7)</f>
        <v/>
      </c>
      <c r="CJ344" s="152">
        <f>MAX(0,MIN(CH344-CI344,CL344-(AZ344+BD344+BH344+BL344+BP344+BT344+BX344+CB344+CF344)))</f>
        <v/>
      </c>
      <c r="CK344" s="152">
        <f>CH344-CI344-CJ344</f>
        <v/>
      </c>
      <c r="CL344" s="152">
        <f>'Debt Payoff'!$C$8-SUM(AY344,BC344,BG344,BK344,BO344,BS344,BW344,CA344,CE344,CI344)</f>
        <v/>
      </c>
      <c r="CM344" s="152">
        <f>SUM(AY344,BC344,BG344,BK344,BO344,BS344,BW344,CA344,CE344,CI344)+SUM(AZ344,BD344,BH344,BL344,BP344,BT344,BX344,CB344,CF344,CJ344)</f>
        <v/>
      </c>
      <c r="CN344" s="152">
        <f>SUM(BA344,BE344,BI344,BM344,BQ344,BU344,BY344,CC344,CG344,CK344)</f>
        <v/>
      </c>
      <c r="CO344" s="152">
        <f>IF(AW344&gt;CN$6,NA(),AW344)</f>
        <v/>
      </c>
      <c r="CP344" s="152">
        <f>IF(AW344&gt;CN$6,NA(),CN344)</f>
        <v/>
      </c>
    </row>
    <row r="345">
      <c r="B345" s="152" t="n">
        <v>334</v>
      </c>
      <c r="C345" s="152">
        <f>IF(F344&lt;=0.005,0,F344*(1+C$6))</f>
        <v/>
      </c>
      <c r="D345" s="152">
        <f>MIN(C345,C$7)</f>
        <v/>
      </c>
      <c r="E345" s="152">
        <f>MAX(0,MIN(C345-D345,AQ345))</f>
        <v/>
      </c>
      <c r="F345" s="152">
        <f>C345-D345-E345</f>
        <v/>
      </c>
      <c r="G345" s="152">
        <f>IF(J344&lt;=0.005,0,J344*(1+G$6))</f>
        <v/>
      </c>
      <c r="H345" s="152">
        <f>MIN(G345,G$7)</f>
        <v/>
      </c>
      <c r="I345" s="152">
        <f>MAX(0,MIN(G345-H345,AQ345-(E345)))</f>
        <v/>
      </c>
      <c r="J345" s="152">
        <f>G345-H345-I345</f>
        <v/>
      </c>
      <c r="K345" s="152">
        <f>IF(N344&lt;=0.005,0,N344*(1+K$6))</f>
        <v/>
      </c>
      <c r="L345" s="152">
        <f>MIN(K345,K$7)</f>
        <v/>
      </c>
      <c r="M345" s="152">
        <f>MAX(0,MIN(K345-L345,AQ345-(E345+I345)))</f>
        <v/>
      </c>
      <c r="N345" s="152">
        <f>K345-L345-M345</f>
        <v/>
      </c>
      <c r="O345" s="152">
        <f>IF(R344&lt;=0.005,0,R344*(1+O$6))</f>
        <v/>
      </c>
      <c r="P345" s="152">
        <f>MIN(O345,O$7)</f>
        <v/>
      </c>
      <c r="Q345" s="152">
        <f>MAX(0,MIN(O345-P345,AQ345-(E345+I345+M345)))</f>
        <v/>
      </c>
      <c r="R345" s="152">
        <f>O345-P345-Q345</f>
        <v/>
      </c>
      <c r="S345" s="152">
        <f>IF(V344&lt;=0.005,0,V344*(1+S$6))</f>
        <v/>
      </c>
      <c r="T345" s="152">
        <f>MIN(S345,S$7)</f>
        <v/>
      </c>
      <c r="U345" s="152">
        <f>MAX(0,MIN(S345-T345,AQ345-(E345+I345+M345+Q345)))</f>
        <v/>
      </c>
      <c r="V345" s="152">
        <f>S345-T345-U345</f>
        <v/>
      </c>
      <c r="W345" s="152">
        <f>IF(Z344&lt;=0.005,0,Z344*(1+W$6))</f>
        <v/>
      </c>
      <c r="X345" s="152">
        <f>MIN(W345,W$7)</f>
        <v/>
      </c>
      <c r="Y345" s="152">
        <f>MAX(0,MIN(W345-X345,AQ345-(E345+I345+M345+Q345+U345)))</f>
        <v/>
      </c>
      <c r="Z345" s="152">
        <f>W345-X345-Y345</f>
        <v/>
      </c>
      <c r="AA345" s="152">
        <f>IF(AD344&lt;=0.005,0,AD344*(1+AA$6))</f>
        <v/>
      </c>
      <c r="AB345" s="152">
        <f>MIN(AA345,AA$7)</f>
        <v/>
      </c>
      <c r="AC345" s="152">
        <f>MAX(0,MIN(AA345-AB345,AQ345-(E345+I345+M345+Q345+U345+Y345)))</f>
        <v/>
      </c>
      <c r="AD345" s="152">
        <f>AA345-AB345-AC345</f>
        <v/>
      </c>
      <c r="AE345" s="152">
        <f>IF(AH344&lt;=0.005,0,AH344*(1+AE$6))</f>
        <v/>
      </c>
      <c r="AF345" s="152">
        <f>MIN(AE345,AE$7)</f>
        <v/>
      </c>
      <c r="AG345" s="152">
        <f>MAX(0,MIN(AE345-AF345,AQ345-(E345+I345+M345+Q345+U345+Y345+AC345)))</f>
        <v/>
      </c>
      <c r="AH345" s="152">
        <f>AE345-AF345-AG345</f>
        <v/>
      </c>
      <c r="AI345" s="152">
        <f>IF(AL344&lt;=0.005,0,AL344*(1+AI$6))</f>
        <v/>
      </c>
      <c r="AJ345" s="152">
        <f>MIN(AI345,AI$7)</f>
        <v/>
      </c>
      <c r="AK345" s="152">
        <f>MAX(0,MIN(AI345-AJ345,AQ345-(E345+I345+M345+Q345+U345+Y345+AC345+AG345)))</f>
        <v/>
      </c>
      <c r="AL345" s="152">
        <f>AI345-AJ345-AK345</f>
        <v/>
      </c>
      <c r="AM345" s="152">
        <f>IF(AP344&lt;=0.005,0,AP344*(1+AM$6))</f>
        <v/>
      </c>
      <c r="AN345" s="152">
        <f>MIN(AM345,AM$7)</f>
        <v/>
      </c>
      <c r="AO345" s="152">
        <f>MAX(0,MIN(AM345-AN345,AQ345-(E345+I345+M345+Q345+U345+Y345+AC345+AG345+AK345)))</f>
        <v/>
      </c>
      <c r="AP345" s="152">
        <f>AM345-AN345-AO345</f>
        <v/>
      </c>
      <c r="AQ345" s="152">
        <f>'Debt Payoff'!$C$8-SUM(D345,H345,L345,P345,T345,X345,AB345,AF345,AJ345,AN345)</f>
        <v/>
      </c>
      <c r="AR345" s="152">
        <f>SUM(D345,H345,L345,P345,T345,X345,AB345,AF345,AJ345,AN345)+SUM(E345,I345,M345,Q345,U345,Y345,AC345,AG345,AK345,AO345)</f>
        <v/>
      </c>
      <c r="AS345" s="152">
        <f>SUM(F345,J345,N345,R345,V345,Z345,AD345,AH345,AL345,AP345)</f>
        <v/>
      </c>
      <c r="AT345" s="152">
        <f>IF(B345&gt;AS$6,NA(),B345)</f>
        <v/>
      </c>
      <c r="AU345" s="152">
        <f>IF(B345&gt;AS$6,NA(),AS345)</f>
        <v/>
      </c>
      <c r="AV345" s="152" t="n"/>
      <c r="AW345" s="152" t="n">
        <v>334</v>
      </c>
      <c r="AX345" s="152">
        <f>IF(BA344&lt;=0.005,0,BA344*(1+AX$6))</f>
        <v/>
      </c>
      <c r="AY345" s="152">
        <f>MIN(AX345,AX$7)</f>
        <v/>
      </c>
      <c r="AZ345" s="152">
        <f>MAX(0,MIN(AX345-AY345,CL345))</f>
        <v/>
      </c>
      <c r="BA345" s="152">
        <f>AX345-AY345-AZ345</f>
        <v/>
      </c>
      <c r="BB345" s="152">
        <f>IF(BE344&lt;=0.005,0,BE344*(1+BB$6))</f>
        <v/>
      </c>
      <c r="BC345" s="152">
        <f>MIN(BB345,BB$7)</f>
        <v/>
      </c>
      <c r="BD345" s="152">
        <f>MAX(0,MIN(BB345-BC345,CL345-(AZ345)))</f>
        <v/>
      </c>
      <c r="BE345" s="152">
        <f>BB345-BC345-BD345</f>
        <v/>
      </c>
      <c r="BF345" s="152">
        <f>IF(BI344&lt;=0.005,0,BI344*(1+BF$6))</f>
        <v/>
      </c>
      <c r="BG345" s="152">
        <f>MIN(BF345,BF$7)</f>
        <v/>
      </c>
      <c r="BH345" s="152">
        <f>MAX(0,MIN(BF345-BG345,CL345-(AZ345+BD345)))</f>
        <v/>
      </c>
      <c r="BI345" s="152">
        <f>BF345-BG345-BH345</f>
        <v/>
      </c>
      <c r="BJ345" s="152">
        <f>IF(BM344&lt;=0.005,0,BM344*(1+BJ$6))</f>
        <v/>
      </c>
      <c r="BK345" s="152">
        <f>MIN(BJ345,BJ$7)</f>
        <v/>
      </c>
      <c r="BL345" s="152">
        <f>MAX(0,MIN(BJ345-BK345,CL345-(AZ345+BD345+BH345)))</f>
        <v/>
      </c>
      <c r="BM345" s="152">
        <f>BJ345-BK345-BL345</f>
        <v/>
      </c>
      <c r="BN345" s="152">
        <f>IF(BQ344&lt;=0.005,0,BQ344*(1+BN$6))</f>
        <v/>
      </c>
      <c r="BO345" s="152">
        <f>MIN(BN345,BN$7)</f>
        <v/>
      </c>
      <c r="BP345" s="152">
        <f>MAX(0,MIN(BN345-BO345,CL345-(AZ345+BD345+BH345+BL345)))</f>
        <v/>
      </c>
      <c r="BQ345" s="152">
        <f>BN345-BO345-BP345</f>
        <v/>
      </c>
      <c r="BR345" s="152">
        <f>IF(BU344&lt;=0.005,0,BU344*(1+BR$6))</f>
        <v/>
      </c>
      <c r="BS345" s="152">
        <f>MIN(BR345,BR$7)</f>
        <v/>
      </c>
      <c r="BT345" s="152">
        <f>MAX(0,MIN(BR345-BS345,CL345-(AZ345+BD345+BH345+BL345+BP345)))</f>
        <v/>
      </c>
      <c r="BU345" s="152">
        <f>BR345-BS345-BT345</f>
        <v/>
      </c>
      <c r="BV345" s="152">
        <f>IF(BY344&lt;=0.005,0,BY344*(1+BV$6))</f>
        <v/>
      </c>
      <c r="BW345" s="152">
        <f>MIN(BV345,BV$7)</f>
        <v/>
      </c>
      <c r="BX345" s="152">
        <f>MAX(0,MIN(BV345-BW345,CL345-(AZ345+BD345+BH345+BL345+BP345+BT345)))</f>
        <v/>
      </c>
      <c r="BY345" s="152">
        <f>BV345-BW345-BX345</f>
        <v/>
      </c>
      <c r="BZ345" s="152">
        <f>IF(CC344&lt;=0.005,0,CC344*(1+BZ$6))</f>
        <v/>
      </c>
      <c r="CA345" s="152">
        <f>MIN(BZ345,BZ$7)</f>
        <v/>
      </c>
      <c r="CB345" s="152">
        <f>MAX(0,MIN(BZ345-CA345,CL345-(AZ345+BD345+BH345+BL345+BP345+BT345+BX345)))</f>
        <v/>
      </c>
      <c r="CC345" s="152">
        <f>BZ345-CA345-CB345</f>
        <v/>
      </c>
      <c r="CD345" s="152">
        <f>IF(CG344&lt;=0.005,0,CG344*(1+CD$6))</f>
        <v/>
      </c>
      <c r="CE345" s="152">
        <f>MIN(CD345,CD$7)</f>
        <v/>
      </c>
      <c r="CF345" s="152">
        <f>MAX(0,MIN(CD345-CE345,CL345-(AZ345+BD345+BH345+BL345+BP345+BT345+BX345+CB345)))</f>
        <v/>
      </c>
      <c r="CG345" s="152">
        <f>CD345-CE345-CF345</f>
        <v/>
      </c>
      <c r="CH345" s="152">
        <f>IF(CK344&lt;=0.005,0,CK344*(1+CH$6))</f>
        <v/>
      </c>
      <c r="CI345" s="152">
        <f>MIN(CH345,CH$7)</f>
        <v/>
      </c>
      <c r="CJ345" s="152">
        <f>MAX(0,MIN(CH345-CI345,CL345-(AZ345+BD345+BH345+BL345+BP345+BT345+BX345+CB345+CF345)))</f>
        <v/>
      </c>
      <c r="CK345" s="152">
        <f>CH345-CI345-CJ345</f>
        <v/>
      </c>
      <c r="CL345" s="152">
        <f>'Debt Payoff'!$C$8-SUM(AY345,BC345,BG345,BK345,BO345,BS345,BW345,CA345,CE345,CI345)</f>
        <v/>
      </c>
      <c r="CM345" s="152">
        <f>SUM(AY345,BC345,BG345,BK345,BO345,BS345,BW345,CA345,CE345,CI345)+SUM(AZ345,BD345,BH345,BL345,BP345,BT345,BX345,CB345,CF345,CJ345)</f>
        <v/>
      </c>
      <c r="CN345" s="152">
        <f>SUM(BA345,BE345,BI345,BM345,BQ345,BU345,BY345,CC345,CG345,CK345)</f>
        <v/>
      </c>
      <c r="CO345" s="152">
        <f>IF(AW345&gt;CN$6,NA(),AW345)</f>
        <v/>
      </c>
      <c r="CP345" s="152">
        <f>IF(AW345&gt;CN$6,NA(),CN345)</f>
        <v/>
      </c>
    </row>
    <row r="346">
      <c r="B346" s="152" t="n">
        <v>335</v>
      </c>
      <c r="C346" s="152">
        <f>IF(F345&lt;=0.005,0,F345*(1+C$6))</f>
        <v/>
      </c>
      <c r="D346" s="152">
        <f>MIN(C346,C$7)</f>
        <v/>
      </c>
      <c r="E346" s="152">
        <f>MAX(0,MIN(C346-D346,AQ346))</f>
        <v/>
      </c>
      <c r="F346" s="152">
        <f>C346-D346-E346</f>
        <v/>
      </c>
      <c r="G346" s="152">
        <f>IF(J345&lt;=0.005,0,J345*(1+G$6))</f>
        <v/>
      </c>
      <c r="H346" s="152">
        <f>MIN(G346,G$7)</f>
        <v/>
      </c>
      <c r="I346" s="152">
        <f>MAX(0,MIN(G346-H346,AQ346-(E346)))</f>
        <v/>
      </c>
      <c r="J346" s="152">
        <f>G346-H346-I346</f>
        <v/>
      </c>
      <c r="K346" s="152">
        <f>IF(N345&lt;=0.005,0,N345*(1+K$6))</f>
        <v/>
      </c>
      <c r="L346" s="152">
        <f>MIN(K346,K$7)</f>
        <v/>
      </c>
      <c r="M346" s="152">
        <f>MAX(0,MIN(K346-L346,AQ346-(E346+I346)))</f>
        <v/>
      </c>
      <c r="N346" s="152">
        <f>K346-L346-M346</f>
        <v/>
      </c>
      <c r="O346" s="152">
        <f>IF(R345&lt;=0.005,0,R345*(1+O$6))</f>
        <v/>
      </c>
      <c r="P346" s="152">
        <f>MIN(O346,O$7)</f>
        <v/>
      </c>
      <c r="Q346" s="152">
        <f>MAX(0,MIN(O346-P346,AQ346-(E346+I346+M346)))</f>
        <v/>
      </c>
      <c r="R346" s="152">
        <f>O346-P346-Q346</f>
        <v/>
      </c>
      <c r="S346" s="152">
        <f>IF(V345&lt;=0.005,0,V345*(1+S$6))</f>
        <v/>
      </c>
      <c r="T346" s="152">
        <f>MIN(S346,S$7)</f>
        <v/>
      </c>
      <c r="U346" s="152">
        <f>MAX(0,MIN(S346-T346,AQ346-(E346+I346+M346+Q346)))</f>
        <v/>
      </c>
      <c r="V346" s="152">
        <f>S346-T346-U346</f>
        <v/>
      </c>
      <c r="W346" s="152">
        <f>IF(Z345&lt;=0.005,0,Z345*(1+W$6))</f>
        <v/>
      </c>
      <c r="X346" s="152">
        <f>MIN(W346,W$7)</f>
        <v/>
      </c>
      <c r="Y346" s="152">
        <f>MAX(0,MIN(W346-X346,AQ346-(E346+I346+M346+Q346+U346)))</f>
        <v/>
      </c>
      <c r="Z346" s="152">
        <f>W346-X346-Y346</f>
        <v/>
      </c>
      <c r="AA346" s="152">
        <f>IF(AD345&lt;=0.005,0,AD345*(1+AA$6))</f>
        <v/>
      </c>
      <c r="AB346" s="152">
        <f>MIN(AA346,AA$7)</f>
        <v/>
      </c>
      <c r="AC346" s="152">
        <f>MAX(0,MIN(AA346-AB346,AQ346-(E346+I346+M346+Q346+U346+Y346)))</f>
        <v/>
      </c>
      <c r="AD346" s="152">
        <f>AA346-AB346-AC346</f>
        <v/>
      </c>
      <c r="AE346" s="152">
        <f>IF(AH345&lt;=0.005,0,AH345*(1+AE$6))</f>
        <v/>
      </c>
      <c r="AF346" s="152">
        <f>MIN(AE346,AE$7)</f>
        <v/>
      </c>
      <c r="AG346" s="152">
        <f>MAX(0,MIN(AE346-AF346,AQ346-(E346+I346+M346+Q346+U346+Y346+AC346)))</f>
        <v/>
      </c>
      <c r="AH346" s="152">
        <f>AE346-AF346-AG346</f>
        <v/>
      </c>
      <c r="AI346" s="152">
        <f>IF(AL345&lt;=0.005,0,AL345*(1+AI$6))</f>
        <v/>
      </c>
      <c r="AJ346" s="152">
        <f>MIN(AI346,AI$7)</f>
        <v/>
      </c>
      <c r="AK346" s="152">
        <f>MAX(0,MIN(AI346-AJ346,AQ346-(E346+I346+M346+Q346+U346+Y346+AC346+AG346)))</f>
        <v/>
      </c>
      <c r="AL346" s="152">
        <f>AI346-AJ346-AK346</f>
        <v/>
      </c>
      <c r="AM346" s="152">
        <f>IF(AP345&lt;=0.005,0,AP345*(1+AM$6))</f>
        <v/>
      </c>
      <c r="AN346" s="152">
        <f>MIN(AM346,AM$7)</f>
        <v/>
      </c>
      <c r="AO346" s="152">
        <f>MAX(0,MIN(AM346-AN346,AQ346-(E346+I346+M346+Q346+U346+Y346+AC346+AG346+AK346)))</f>
        <v/>
      </c>
      <c r="AP346" s="152">
        <f>AM346-AN346-AO346</f>
        <v/>
      </c>
      <c r="AQ346" s="152">
        <f>'Debt Payoff'!$C$8-SUM(D346,H346,L346,P346,T346,X346,AB346,AF346,AJ346,AN346)</f>
        <v/>
      </c>
      <c r="AR346" s="152">
        <f>SUM(D346,H346,L346,P346,T346,X346,AB346,AF346,AJ346,AN346)+SUM(E346,I346,M346,Q346,U346,Y346,AC346,AG346,AK346,AO346)</f>
        <v/>
      </c>
      <c r="AS346" s="152">
        <f>SUM(F346,J346,N346,R346,V346,Z346,AD346,AH346,AL346,AP346)</f>
        <v/>
      </c>
      <c r="AT346" s="152">
        <f>IF(B346&gt;AS$6,NA(),B346)</f>
        <v/>
      </c>
      <c r="AU346" s="152">
        <f>IF(B346&gt;AS$6,NA(),AS346)</f>
        <v/>
      </c>
      <c r="AV346" s="152" t="n"/>
      <c r="AW346" s="152" t="n">
        <v>335</v>
      </c>
      <c r="AX346" s="152">
        <f>IF(BA345&lt;=0.005,0,BA345*(1+AX$6))</f>
        <v/>
      </c>
      <c r="AY346" s="152">
        <f>MIN(AX346,AX$7)</f>
        <v/>
      </c>
      <c r="AZ346" s="152">
        <f>MAX(0,MIN(AX346-AY346,CL346))</f>
        <v/>
      </c>
      <c r="BA346" s="152">
        <f>AX346-AY346-AZ346</f>
        <v/>
      </c>
      <c r="BB346" s="152">
        <f>IF(BE345&lt;=0.005,0,BE345*(1+BB$6))</f>
        <v/>
      </c>
      <c r="BC346" s="152">
        <f>MIN(BB346,BB$7)</f>
        <v/>
      </c>
      <c r="BD346" s="152">
        <f>MAX(0,MIN(BB346-BC346,CL346-(AZ346)))</f>
        <v/>
      </c>
      <c r="BE346" s="152">
        <f>BB346-BC346-BD346</f>
        <v/>
      </c>
      <c r="BF346" s="152">
        <f>IF(BI345&lt;=0.005,0,BI345*(1+BF$6))</f>
        <v/>
      </c>
      <c r="BG346" s="152">
        <f>MIN(BF346,BF$7)</f>
        <v/>
      </c>
      <c r="BH346" s="152">
        <f>MAX(0,MIN(BF346-BG346,CL346-(AZ346+BD346)))</f>
        <v/>
      </c>
      <c r="BI346" s="152">
        <f>BF346-BG346-BH346</f>
        <v/>
      </c>
      <c r="BJ346" s="152">
        <f>IF(BM345&lt;=0.005,0,BM345*(1+BJ$6))</f>
        <v/>
      </c>
      <c r="BK346" s="152">
        <f>MIN(BJ346,BJ$7)</f>
        <v/>
      </c>
      <c r="BL346" s="152">
        <f>MAX(0,MIN(BJ346-BK346,CL346-(AZ346+BD346+BH346)))</f>
        <v/>
      </c>
      <c r="BM346" s="152">
        <f>BJ346-BK346-BL346</f>
        <v/>
      </c>
      <c r="BN346" s="152">
        <f>IF(BQ345&lt;=0.005,0,BQ345*(1+BN$6))</f>
        <v/>
      </c>
      <c r="BO346" s="152">
        <f>MIN(BN346,BN$7)</f>
        <v/>
      </c>
      <c r="BP346" s="152">
        <f>MAX(0,MIN(BN346-BO346,CL346-(AZ346+BD346+BH346+BL346)))</f>
        <v/>
      </c>
      <c r="BQ346" s="152">
        <f>BN346-BO346-BP346</f>
        <v/>
      </c>
      <c r="BR346" s="152">
        <f>IF(BU345&lt;=0.005,0,BU345*(1+BR$6))</f>
        <v/>
      </c>
      <c r="BS346" s="152">
        <f>MIN(BR346,BR$7)</f>
        <v/>
      </c>
      <c r="BT346" s="152">
        <f>MAX(0,MIN(BR346-BS346,CL346-(AZ346+BD346+BH346+BL346+BP346)))</f>
        <v/>
      </c>
      <c r="BU346" s="152">
        <f>BR346-BS346-BT346</f>
        <v/>
      </c>
      <c r="BV346" s="152">
        <f>IF(BY345&lt;=0.005,0,BY345*(1+BV$6))</f>
        <v/>
      </c>
      <c r="BW346" s="152">
        <f>MIN(BV346,BV$7)</f>
        <v/>
      </c>
      <c r="BX346" s="152">
        <f>MAX(0,MIN(BV346-BW346,CL346-(AZ346+BD346+BH346+BL346+BP346+BT346)))</f>
        <v/>
      </c>
      <c r="BY346" s="152">
        <f>BV346-BW346-BX346</f>
        <v/>
      </c>
      <c r="BZ346" s="152">
        <f>IF(CC345&lt;=0.005,0,CC345*(1+BZ$6))</f>
        <v/>
      </c>
      <c r="CA346" s="152">
        <f>MIN(BZ346,BZ$7)</f>
        <v/>
      </c>
      <c r="CB346" s="152">
        <f>MAX(0,MIN(BZ346-CA346,CL346-(AZ346+BD346+BH346+BL346+BP346+BT346+BX346)))</f>
        <v/>
      </c>
      <c r="CC346" s="152">
        <f>BZ346-CA346-CB346</f>
        <v/>
      </c>
      <c r="CD346" s="152">
        <f>IF(CG345&lt;=0.005,0,CG345*(1+CD$6))</f>
        <v/>
      </c>
      <c r="CE346" s="152">
        <f>MIN(CD346,CD$7)</f>
        <v/>
      </c>
      <c r="CF346" s="152">
        <f>MAX(0,MIN(CD346-CE346,CL346-(AZ346+BD346+BH346+BL346+BP346+BT346+BX346+CB346)))</f>
        <v/>
      </c>
      <c r="CG346" s="152">
        <f>CD346-CE346-CF346</f>
        <v/>
      </c>
      <c r="CH346" s="152">
        <f>IF(CK345&lt;=0.005,0,CK345*(1+CH$6))</f>
        <v/>
      </c>
      <c r="CI346" s="152">
        <f>MIN(CH346,CH$7)</f>
        <v/>
      </c>
      <c r="CJ346" s="152">
        <f>MAX(0,MIN(CH346-CI346,CL346-(AZ346+BD346+BH346+BL346+BP346+BT346+BX346+CB346+CF346)))</f>
        <v/>
      </c>
      <c r="CK346" s="152">
        <f>CH346-CI346-CJ346</f>
        <v/>
      </c>
      <c r="CL346" s="152">
        <f>'Debt Payoff'!$C$8-SUM(AY346,BC346,BG346,BK346,BO346,BS346,BW346,CA346,CE346,CI346)</f>
        <v/>
      </c>
      <c r="CM346" s="152">
        <f>SUM(AY346,BC346,BG346,BK346,BO346,BS346,BW346,CA346,CE346,CI346)+SUM(AZ346,BD346,BH346,BL346,BP346,BT346,BX346,CB346,CF346,CJ346)</f>
        <v/>
      </c>
      <c r="CN346" s="152">
        <f>SUM(BA346,BE346,BI346,BM346,BQ346,BU346,BY346,CC346,CG346,CK346)</f>
        <v/>
      </c>
      <c r="CO346" s="152">
        <f>IF(AW346&gt;CN$6,NA(),AW346)</f>
        <v/>
      </c>
      <c r="CP346" s="152">
        <f>IF(AW346&gt;CN$6,NA(),CN346)</f>
        <v/>
      </c>
    </row>
    <row r="347">
      <c r="B347" s="152" t="n">
        <v>336</v>
      </c>
      <c r="C347" s="152">
        <f>IF(F346&lt;=0.005,0,F346*(1+C$6))</f>
        <v/>
      </c>
      <c r="D347" s="152">
        <f>MIN(C347,C$7)</f>
        <v/>
      </c>
      <c r="E347" s="152">
        <f>MAX(0,MIN(C347-D347,AQ347))</f>
        <v/>
      </c>
      <c r="F347" s="152">
        <f>C347-D347-E347</f>
        <v/>
      </c>
      <c r="G347" s="152">
        <f>IF(J346&lt;=0.005,0,J346*(1+G$6))</f>
        <v/>
      </c>
      <c r="H347" s="152">
        <f>MIN(G347,G$7)</f>
        <v/>
      </c>
      <c r="I347" s="152">
        <f>MAX(0,MIN(G347-H347,AQ347-(E347)))</f>
        <v/>
      </c>
      <c r="J347" s="152">
        <f>G347-H347-I347</f>
        <v/>
      </c>
      <c r="K347" s="152">
        <f>IF(N346&lt;=0.005,0,N346*(1+K$6))</f>
        <v/>
      </c>
      <c r="L347" s="152">
        <f>MIN(K347,K$7)</f>
        <v/>
      </c>
      <c r="M347" s="152">
        <f>MAX(0,MIN(K347-L347,AQ347-(E347+I347)))</f>
        <v/>
      </c>
      <c r="N347" s="152">
        <f>K347-L347-M347</f>
        <v/>
      </c>
      <c r="O347" s="152">
        <f>IF(R346&lt;=0.005,0,R346*(1+O$6))</f>
        <v/>
      </c>
      <c r="P347" s="152">
        <f>MIN(O347,O$7)</f>
        <v/>
      </c>
      <c r="Q347" s="152">
        <f>MAX(0,MIN(O347-P347,AQ347-(E347+I347+M347)))</f>
        <v/>
      </c>
      <c r="R347" s="152">
        <f>O347-P347-Q347</f>
        <v/>
      </c>
      <c r="S347" s="152">
        <f>IF(V346&lt;=0.005,0,V346*(1+S$6))</f>
        <v/>
      </c>
      <c r="T347" s="152">
        <f>MIN(S347,S$7)</f>
        <v/>
      </c>
      <c r="U347" s="152">
        <f>MAX(0,MIN(S347-T347,AQ347-(E347+I347+M347+Q347)))</f>
        <v/>
      </c>
      <c r="V347" s="152">
        <f>S347-T347-U347</f>
        <v/>
      </c>
      <c r="W347" s="152">
        <f>IF(Z346&lt;=0.005,0,Z346*(1+W$6))</f>
        <v/>
      </c>
      <c r="X347" s="152">
        <f>MIN(W347,W$7)</f>
        <v/>
      </c>
      <c r="Y347" s="152">
        <f>MAX(0,MIN(W347-X347,AQ347-(E347+I347+M347+Q347+U347)))</f>
        <v/>
      </c>
      <c r="Z347" s="152">
        <f>W347-X347-Y347</f>
        <v/>
      </c>
      <c r="AA347" s="152">
        <f>IF(AD346&lt;=0.005,0,AD346*(1+AA$6))</f>
        <v/>
      </c>
      <c r="AB347" s="152">
        <f>MIN(AA347,AA$7)</f>
        <v/>
      </c>
      <c r="AC347" s="152">
        <f>MAX(0,MIN(AA347-AB347,AQ347-(E347+I347+M347+Q347+U347+Y347)))</f>
        <v/>
      </c>
      <c r="AD347" s="152">
        <f>AA347-AB347-AC347</f>
        <v/>
      </c>
      <c r="AE347" s="152">
        <f>IF(AH346&lt;=0.005,0,AH346*(1+AE$6))</f>
        <v/>
      </c>
      <c r="AF347" s="152">
        <f>MIN(AE347,AE$7)</f>
        <v/>
      </c>
      <c r="AG347" s="152">
        <f>MAX(0,MIN(AE347-AF347,AQ347-(E347+I347+M347+Q347+U347+Y347+AC347)))</f>
        <v/>
      </c>
      <c r="AH347" s="152">
        <f>AE347-AF347-AG347</f>
        <v/>
      </c>
      <c r="AI347" s="152">
        <f>IF(AL346&lt;=0.005,0,AL346*(1+AI$6))</f>
        <v/>
      </c>
      <c r="AJ347" s="152">
        <f>MIN(AI347,AI$7)</f>
        <v/>
      </c>
      <c r="AK347" s="152">
        <f>MAX(0,MIN(AI347-AJ347,AQ347-(E347+I347+M347+Q347+U347+Y347+AC347+AG347)))</f>
        <v/>
      </c>
      <c r="AL347" s="152">
        <f>AI347-AJ347-AK347</f>
        <v/>
      </c>
      <c r="AM347" s="152">
        <f>IF(AP346&lt;=0.005,0,AP346*(1+AM$6))</f>
        <v/>
      </c>
      <c r="AN347" s="152">
        <f>MIN(AM347,AM$7)</f>
        <v/>
      </c>
      <c r="AO347" s="152">
        <f>MAX(0,MIN(AM347-AN347,AQ347-(E347+I347+M347+Q347+U347+Y347+AC347+AG347+AK347)))</f>
        <v/>
      </c>
      <c r="AP347" s="152">
        <f>AM347-AN347-AO347</f>
        <v/>
      </c>
      <c r="AQ347" s="152">
        <f>'Debt Payoff'!$C$8-SUM(D347,H347,L347,P347,T347,X347,AB347,AF347,AJ347,AN347)</f>
        <v/>
      </c>
      <c r="AR347" s="152">
        <f>SUM(D347,H347,L347,P347,T347,X347,AB347,AF347,AJ347,AN347)+SUM(E347,I347,M347,Q347,U347,Y347,AC347,AG347,AK347,AO347)</f>
        <v/>
      </c>
      <c r="AS347" s="152">
        <f>SUM(F347,J347,N347,R347,V347,Z347,AD347,AH347,AL347,AP347)</f>
        <v/>
      </c>
      <c r="AT347" s="152">
        <f>IF(B347&gt;AS$6,NA(),B347)</f>
        <v/>
      </c>
      <c r="AU347" s="152">
        <f>IF(B347&gt;AS$6,NA(),AS347)</f>
        <v/>
      </c>
      <c r="AV347" s="152" t="n"/>
      <c r="AW347" s="152" t="n">
        <v>336</v>
      </c>
      <c r="AX347" s="152">
        <f>IF(BA346&lt;=0.005,0,BA346*(1+AX$6))</f>
        <v/>
      </c>
      <c r="AY347" s="152">
        <f>MIN(AX347,AX$7)</f>
        <v/>
      </c>
      <c r="AZ347" s="152">
        <f>MAX(0,MIN(AX347-AY347,CL347))</f>
        <v/>
      </c>
      <c r="BA347" s="152">
        <f>AX347-AY347-AZ347</f>
        <v/>
      </c>
      <c r="BB347" s="152">
        <f>IF(BE346&lt;=0.005,0,BE346*(1+BB$6))</f>
        <v/>
      </c>
      <c r="BC347" s="152">
        <f>MIN(BB347,BB$7)</f>
        <v/>
      </c>
      <c r="BD347" s="152">
        <f>MAX(0,MIN(BB347-BC347,CL347-(AZ347)))</f>
        <v/>
      </c>
      <c r="BE347" s="152">
        <f>BB347-BC347-BD347</f>
        <v/>
      </c>
      <c r="BF347" s="152">
        <f>IF(BI346&lt;=0.005,0,BI346*(1+BF$6))</f>
        <v/>
      </c>
      <c r="BG347" s="152">
        <f>MIN(BF347,BF$7)</f>
        <v/>
      </c>
      <c r="BH347" s="152">
        <f>MAX(0,MIN(BF347-BG347,CL347-(AZ347+BD347)))</f>
        <v/>
      </c>
      <c r="BI347" s="152">
        <f>BF347-BG347-BH347</f>
        <v/>
      </c>
      <c r="BJ347" s="152">
        <f>IF(BM346&lt;=0.005,0,BM346*(1+BJ$6))</f>
        <v/>
      </c>
      <c r="BK347" s="152">
        <f>MIN(BJ347,BJ$7)</f>
        <v/>
      </c>
      <c r="BL347" s="152">
        <f>MAX(0,MIN(BJ347-BK347,CL347-(AZ347+BD347+BH347)))</f>
        <v/>
      </c>
      <c r="BM347" s="152">
        <f>BJ347-BK347-BL347</f>
        <v/>
      </c>
      <c r="BN347" s="152">
        <f>IF(BQ346&lt;=0.005,0,BQ346*(1+BN$6))</f>
        <v/>
      </c>
      <c r="BO347" s="152">
        <f>MIN(BN347,BN$7)</f>
        <v/>
      </c>
      <c r="BP347" s="152">
        <f>MAX(0,MIN(BN347-BO347,CL347-(AZ347+BD347+BH347+BL347)))</f>
        <v/>
      </c>
      <c r="BQ347" s="152">
        <f>BN347-BO347-BP347</f>
        <v/>
      </c>
      <c r="BR347" s="152">
        <f>IF(BU346&lt;=0.005,0,BU346*(1+BR$6))</f>
        <v/>
      </c>
      <c r="BS347" s="152">
        <f>MIN(BR347,BR$7)</f>
        <v/>
      </c>
      <c r="BT347" s="152">
        <f>MAX(0,MIN(BR347-BS347,CL347-(AZ347+BD347+BH347+BL347+BP347)))</f>
        <v/>
      </c>
      <c r="BU347" s="152">
        <f>BR347-BS347-BT347</f>
        <v/>
      </c>
      <c r="BV347" s="152">
        <f>IF(BY346&lt;=0.005,0,BY346*(1+BV$6))</f>
        <v/>
      </c>
      <c r="BW347" s="152">
        <f>MIN(BV347,BV$7)</f>
        <v/>
      </c>
      <c r="BX347" s="152">
        <f>MAX(0,MIN(BV347-BW347,CL347-(AZ347+BD347+BH347+BL347+BP347+BT347)))</f>
        <v/>
      </c>
      <c r="BY347" s="152">
        <f>BV347-BW347-BX347</f>
        <v/>
      </c>
      <c r="BZ347" s="152">
        <f>IF(CC346&lt;=0.005,0,CC346*(1+BZ$6))</f>
        <v/>
      </c>
      <c r="CA347" s="152">
        <f>MIN(BZ347,BZ$7)</f>
        <v/>
      </c>
      <c r="CB347" s="152">
        <f>MAX(0,MIN(BZ347-CA347,CL347-(AZ347+BD347+BH347+BL347+BP347+BT347+BX347)))</f>
        <v/>
      </c>
      <c r="CC347" s="152">
        <f>BZ347-CA347-CB347</f>
        <v/>
      </c>
      <c r="CD347" s="152">
        <f>IF(CG346&lt;=0.005,0,CG346*(1+CD$6))</f>
        <v/>
      </c>
      <c r="CE347" s="152">
        <f>MIN(CD347,CD$7)</f>
        <v/>
      </c>
      <c r="CF347" s="152">
        <f>MAX(0,MIN(CD347-CE347,CL347-(AZ347+BD347+BH347+BL347+BP347+BT347+BX347+CB347)))</f>
        <v/>
      </c>
      <c r="CG347" s="152">
        <f>CD347-CE347-CF347</f>
        <v/>
      </c>
      <c r="CH347" s="152">
        <f>IF(CK346&lt;=0.005,0,CK346*(1+CH$6))</f>
        <v/>
      </c>
      <c r="CI347" s="152">
        <f>MIN(CH347,CH$7)</f>
        <v/>
      </c>
      <c r="CJ347" s="152">
        <f>MAX(0,MIN(CH347-CI347,CL347-(AZ347+BD347+BH347+BL347+BP347+BT347+BX347+CB347+CF347)))</f>
        <v/>
      </c>
      <c r="CK347" s="152">
        <f>CH347-CI347-CJ347</f>
        <v/>
      </c>
      <c r="CL347" s="152">
        <f>'Debt Payoff'!$C$8-SUM(AY347,BC347,BG347,BK347,BO347,BS347,BW347,CA347,CE347,CI347)</f>
        <v/>
      </c>
      <c r="CM347" s="152">
        <f>SUM(AY347,BC347,BG347,BK347,BO347,BS347,BW347,CA347,CE347,CI347)+SUM(AZ347,BD347,BH347,BL347,BP347,BT347,BX347,CB347,CF347,CJ347)</f>
        <v/>
      </c>
      <c r="CN347" s="152">
        <f>SUM(BA347,BE347,BI347,BM347,BQ347,BU347,BY347,CC347,CG347,CK347)</f>
        <v/>
      </c>
      <c r="CO347" s="152">
        <f>IF(AW347&gt;CN$6,NA(),AW347)</f>
        <v/>
      </c>
      <c r="CP347" s="152">
        <f>IF(AW347&gt;CN$6,NA(),CN347)</f>
        <v/>
      </c>
    </row>
    <row r="348">
      <c r="B348" s="152" t="n">
        <v>337</v>
      </c>
      <c r="C348" s="152">
        <f>IF(F347&lt;=0.005,0,F347*(1+C$6))</f>
        <v/>
      </c>
      <c r="D348" s="152">
        <f>MIN(C348,C$7)</f>
        <v/>
      </c>
      <c r="E348" s="152">
        <f>MAX(0,MIN(C348-D348,AQ348))</f>
        <v/>
      </c>
      <c r="F348" s="152">
        <f>C348-D348-E348</f>
        <v/>
      </c>
      <c r="G348" s="152">
        <f>IF(J347&lt;=0.005,0,J347*(1+G$6))</f>
        <v/>
      </c>
      <c r="H348" s="152">
        <f>MIN(G348,G$7)</f>
        <v/>
      </c>
      <c r="I348" s="152">
        <f>MAX(0,MIN(G348-H348,AQ348-(E348)))</f>
        <v/>
      </c>
      <c r="J348" s="152">
        <f>G348-H348-I348</f>
        <v/>
      </c>
      <c r="K348" s="152">
        <f>IF(N347&lt;=0.005,0,N347*(1+K$6))</f>
        <v/>
      </c>
      <c r="L348" s="152">
        <f>MIN(K348,K$7)</f>
        <v/>
      </c>
      <c r="M348" s="152">
        <f>MAX(0,MIN(K348-L348,AQ348-(E348+I348)))</f>
        <v/>
      </c>
      <c r="N348" s="152">
        <f>K348-L348-M348</f>
        <v/>
      </c>
      <c r="O348" s="152">
        <f>IF(R347&lt;=0.005,0,R347*(1+O$6))</f>
        <v/>
      </c>
      <c r="P348" s="152">
        <f>MIN(O348,O$7)</f>
        <v/>
      </c>
      <c r="Q348" s="152">
        <f>MAX(0,MIN(O348-P348,AQ348-(E348+I348+M348)))</f>
        <v/>
      </c>
      <c r="R348" s="152">
        <f>O348-P348-Q348</f>
        <v/>
      </c>
      <c r="S348" s="152">
        <f>IF(V347&lt;=0.005,0,V347*(1+S$6))</f>
        <v/>
      </c>
      <c r="T348" s="152">
        <f>MIN(S348,S$7)</f>
        <v/>
      </c>
      <c r="U348" s="152">
        <f>MAX(0,MIN(S348-T348,AQ348-(E348+I348+M348+Q348)))</f>
        <v/>
      </c>
      <c r="V348" s="152">
        <f>S348-T348-U348</f>
        <v/>
      </c>
      <c r="W348" s="152">
        <f>IF(Z347&lt;=0.005,0,Z347*(1+W$6))</f>
        <v/>
      </c>
      <c r="X348" s="152">
        <f>MIN(W348,W$7)</f>
        <v/>
      </c>
      <c r="Y348" s="152">
        <f>MAX(0,MIN(W348-X348,AQ348-(E348+I348+M348+Q348+U348)))</f>
        <v/>
      </c>
      <c r="Z348" s="152">
        <f>W348-X348-Y348</f>
        <v/>
      </c>
      <c r="AA348" s="152">
        <f>IF(AD347&lt;=0.005,0,AD347*(1+AA$6))</f>
        <v/>
      </c>
      <c r="AB348" s="152">
        <f>MIN(AA348,AA$7)</f>
        <v/>
      </c>
      <c r="AC348" s="152">
        <f>MAX(0,MIN(AA348-AB348,AQ348-(E348+I348+M348+Q348+U348+Y348)))</f>
        <v/>
      </c>
      <c r="AD348" s="152">
        <f>AA348-AB348-AC348</f>
        <v/>
      </c>
      <c r="AE348" s="152">
        <f>IF(AH347&lt;=0.005,0,AH347*(1+AE$6))</f>
        <v/>
      </c>
      <c r="AF348" s="152">
        <f>MIN(AE348,AE$7)</f>
        <v/>
      </c>
      <c r="AG348" s="152">
        <f>MAX(0,MIN(AE348-AF348,AQ348-(E348+I348+M348+Q348+U348+Y348+AC348)))</f>
        <v/>
      </c>
      <c r="AH348" s="152">
        <f>AE348-AF348-AG348</f>
        <v/>
      </c>
      <c r="AI348" s="152">
        <f>IF(AL347&lt;=0.005,0,AL347*(1+AI$6))</f>
        <v/>
      </c>
      <c r="AJ348" s="152">
        <f>MIN(AI348,AI$7)</f>
        <v/>
      </c>
      <c r="AK348" s="152">
        <f>MAX(0,MIN(AI348-AJ348,AQ348-(E348+I348+M348+Q348+U348+Y348+AC348+AG348)))</f>
        <v/>
      </c>
      <c r="AL348" s="152">
        <f>AI348-AJ348-AK348</f>
        <v/>
      </c>
      <c r="AM348" s="152">
        <f>IF(AP347&lt;=0.005,0,AP347*(1+AM$6))</f>
        <v/>
      </c>
      <c r="AN348" s="152">
        <f>MIN(AM348,AM$7)</f>
        <v/>
      </c>
      <c r="AO348" s="152">
        <f>MAX(0,MIN(AM348-AN348,AQ348-(E348+I348+M348+Q348+U348+Y348+AC348+AG348+AK348)))</f>
        <v/>
      </c>
      <c r="AP348" s="152">
        <f>AM348-AN348-AO348</f>
        <v/>
      </c>
      <c r="AQ348" s="152">
        <f>'Debt Payoff'!$C$8-SUM(D348,H348,L348,P348,T348,X348,AB348,AF348,AJ348,AN348)</f>
        <v/>
      </c>
      <c r="AR348" s="152">
        <f>SUM(D348,H348,L348,P348,T348,X348,AB348,AF348,AJ348,AN348)+SUM(E348,I348,M348,Q348,U348,Y348,AC348,AG348,AK348,AO348)</f>
        <v/>
      </c>
      <c r="AS348" s="152">
        <f>SUM(F348,J348,N348,R348,V348,Z348,AD348,AH348,AL348,AP348)</f>
        <v/>
      </c>
      <c r="AT348" s="152">
        <f>IF(B348&gt;AS$6,NA(),B348)</f>
        <v/>
      </c>
      <c r="AU348" s="152">
        <f>IF(B348&gt;AS$6,NA(),AS348)</f>
        <v/>
      </c>
      <c r="AV348" s="152" t="n"/>
      <c r="AW348" s="152" t="n">
        <v>337</v>
      </c>
      <c r="AX348" s="152">
        <f>IF(BA347&lt;=0.005,0,BA347*(1+AX$6))</f>
        <v/>
      </c>
      <c r="AY348" s="152">
        <f>MIN(AX348,AX$7)</f>
        <v/>
      </c>
      <c r="AZ348" s="152">
        <f>MAX(0,MIN(AX348-AY348,CL348))</f>
        <v/>
      </c>
      <c r="BA348" s="152">
        <f>AX348-AY348-AZ348</f>
        <v/>
      </c>
      <c r="BB348" s="152">
        <f>IF(BE347&lt;=0.005,0,BE347*(1+BB$6))</f>
        <v/>
      </c>
      <c r="BC348" s="152">
        <f>MIN(BB348,BB$7)</f>
        <v/>
      </c>
      <c r="BD348" s="152">
        <f>MAX(0,MIN(BB348-BC348,CL348-(AZ348)))</f>
        <v/>
      </c>
      <c r="BE348" s="152">
        <f>BB348-BC348-BD348</f>
        <v/>
      </c>
      <c r="BF348" s="152">
        <f>IF(BI347&lt;=0.005,0,BI347*(1+BF$6))</f>
        <v/>
      </c>
      <c r="BG348" s="152">
        <f>MIN(BF348,BF$7)</f>
        <v/>
      </c>
      <c r="BH348" s="152">
        <f>MAX(0,MIN(BF348-BG348,CL348-(AZ348+BD348)))</f>
        <v/>
      </c>
      <c r="BI348" s="152">
        <f>BF348-BG348-BH348</f>
        <v/>
      </c>
      <c r="BJ348" s="152">
        <f>IF(BM347&lt;=0.005,0,BM347*(1+BJ$6))</f>
        <v/>
      </c>
      <c r="BK348" s="152">
        <f>MIN(BJ348,BJ$7)</f>
        <v/>
      </c>
      <c r="BL348" s="152">
        <f>MAX(0,MIN(BJ348-BK348,CL348-(AZ348+BD348+BH348)))</f>
        <v/>
      </c>
      <c r="BM348" s="152">
        <f>BJ348-BK348-BL348</f>
        <v/>
      </c>
      <c r="BN348" s="152">
        <f>IF(BQ347&lt;=0.005,0,BQ347*(1+BN$6))</f>
        <v/>
      </c>
      <c r="BO348" s="152">
        <f>MIN(BN348,BN$7)</f>
        <v/>
      </c>
      <c r="BP348" s="152">
        <f>MAX(0,MIN(BN348-BO348,CL348-(AZ348+BD348+BH348+BL348)))</f>
        <v/>
      </c>
      <c r="BQ348" s="152">
        <f>BN348-BO348-BP348</f>
        <v/>
      </c>
      <c r="BR348" s="152">
        <f>IF(BU347&lt;=0.005,0,BU347*(1+BR$6))</f>
        <v/>
      </c>
      <c r="BS348" s="152">
        <f>MIN(BR348,BR$7)</f>
        <v/>
      </c>
      <c r="BT348" s="152">
        <f>MAX(0,MIN(BR348-BS348,CL348-(AZ348+BD348+BH348+BL348+BP348)))</f>
        <v/>
      </c>
      <c r="BU348" s="152">
        <f>BR348-BS348-BT348</f>
        <v/>
      </c>
      <c r="BV348" s="152">
        <f>IF(BY347&lt;=0.005,0,BY347*(1+BV$6))</f>
        <v/>
      </c>
      <c r="BW348" s="152">
        <f>MIN(BV348,BV$7)</f>
        <v/>
      </c>
      <c r="BX348" s="152">
        <f>MAX(0,MIN(BV348-BW348,CL348-(AZ348+BD348+BH348+BL348+BP348+BT348)))</f>
        <v/>
      </c>
      <c r="BY348" s="152">
        <f>BV348-BW348-BX348</f>
        <v/>
      </c>
      <c r="BZ348" s="152">
        <f>IF(CC347&lt;=0.005,0,CC347*(1+BZ$6))</f>
        <v/>
      </c>
      <c r="CA348" s="152">
        <f>MIN(BZ348,BZ$7)</f>
        <v/>
      </c>
      <c r="CB348" s="152">
        <f>MAX(0,MIN(BZ348-CA348,CL348-(AZ348+BD348+BH348+BL348+BP348+BT348+BX348)))</f>
        <v/>
      </c>
      <c r="CC348" s="152">
        <f>BZ348-CA348-CB348</f>
        <v/>
      </c>
      <c r="CD348" s="152">
        <f>IF(CG347&lt;=0.005,0,CG347*(1+CD$6))</f>
        <v/>
      </c>
      <c r="CE348" s="152">
        <f>MIN(CD348,CD$7)</f>
        <v/>
      </c>
      <c r="CF348" s="152">
        <f>MAX(0,MIN(CD348-CE348,CL348-(AZ348+BD348+BH348+BL348+BP348+BT348+BX348+CB348)))</f>
        <v/>
      </c>
      <c r="CG348" s="152">
        <f>CD348-CE348-CF348</f>
        <v/>
      </c>
      <c r="CH348" s="152">
        <f>IF(CK347&lt;=0.005,0,CK347*(1+CH$6))</f>
        <v/>
      </c>
      <c r="CI348" s="152">
        <f>MIN(CH348,CH$7)</f>
        <v/>
      </c>
      <c r="CJ348" s="152">
        <f>MAX(0,MIN(CH348-CI348,CL348-(AZ348+BD348+BH348+BL348+BP348+BT348+BX348+CB348+CF348)))</f>
        <v/>
      </c>
      <c r="CK348" s="152">
        <f>CH348-CI348-CJ348</f>
        <v/>
      </c>
      <c r="CL348" s="152">
        <f>'Debt Payoff'!$C$8-SUM(AY348,BC348,BG348,BK348,BO348,BS348,BW348,CA348,CE348,CI348)</f>
        <v/>
      </c>
      <c r="CM348" s="152">
        <f>SUM(AY348,BC348,BG348,BK348,BO348,BS348,BW348,CA348,CE348,CI348)+SUM(AZ348,BD348,BH348,BL348,BP348,BT348,BX348,CB348,CF348,CJ348)</f>
        <v/>
      </c>
      <c r="CN348" s="152">
        <f>SUM(BA348,BE348,BI348,BM348,BQ348,BU348,BY348,CC348,CG348,CK348)</f>
        <v/>
      </c>
      <c r="CO348" s="152">
        <f>IF(AW348&gt;CN$6,NA(),AW348)</f>
        <v/>
      </c>
      <c r="CP348" s="152">
        <f>IF(AW348&gt;CN$6,NA(),CN348)</f>
        <v/>
      </c>
    </row>
    <row r="349">
      <c r="B349" s="152" t="n">
        <v>338</v>
      </c>
      <c r="C349" s="152">
        <f>IF(F348&lt;=0.005,0,F348*(1+C$6))</f>
        <v/>
      </c>
      <c r="D349" s="152">
        <f>MIN(C349,C$7)</f>
        <v/>
      </c>
      <c r="E349" s="152">
        <f>MAX(0,MIN(C349-D349,AQ349))</f>
        <v/>
      </c>
      <c r="F349" s="152">
        <f>C349-D349-E349</f>
        <v/>
      </c>
      <c r="G349" s="152">
        <f>IF(J348&lt;=0.005,0,J348*(1+G$6))</f>
        <v/>
      </c>
      <c r="H349" s="152">
        <f>MIN(G349,G$7)</f>
        <v/>
      </c>
      <c r="I349" s="152">
        <f>MAX(0,MIN(G349-H349,AQ349-(E349)))</f>
        <v/>
      </c>
      <c r="J349" s="152">
        <f>G349-H349-I349</f>
        <v/>
      </c>
      <c r="K349" s="152">
        <f>IF(N348&lt;=0.005,0,N348*(1+K$6))</f>
        <v/>
      </c>
      <c r="L349" s="152">
        <f>MIN(K349,K$7)</f>
        <v/>
      </c>
      <c r="M349" s="152">
        <f>MAX(0,MIN(K349-L349,AQ349-(E349+I349)))</f>
        <v/>
      </c>
      <c r="N349" s="152">
        <f>K349-L349-M349</f>
        <v/>
      </c>
      <c r="O349" s="152">
        <f>IF(R348&lt;=0.005,0,R348*(1+O$6))</f>
        <v/>
      </c>
      <c r="P349" s="152">
        <f>MIN(O349,O$7)</f>
        <v/>
      </c>
      <c r="Q349" s="152">
        <f>MAX(0,MIN(O349-P349,AQ349-(E349+I349+M349)))</f>
        <v/>
      </c>
      <c r="R349" s="152">
        <f>O349-P349-Q349</f>
        <v/>
      </c>
      <c r="S349" s="152">
        <f>IF(V348&lt;=0.005,0,V348*(1+S$6))</f>
        <v/>
      </c>
      <c r="T349" s="152">
        <f>MIN(S349,S$7)</f>
        <v/>
      </c>
      <c r="U349" s="152">
        <f>MAX(0,MIN(S349-T349,AQ349-(E349+I349+M349+Q349)))</f>
        <v/>
      </c>
      <c r="V349" s="152">
        <f>S349-T349-U349</f>
        <v/>
      </c>
      <c r="W349" s="152">
        <f>IF(Z348&lt;=0.005,0,Z348*(1+W$6))</f>
        <v/>
      </c>
      <c r="X349" s="152">
        <f>MIN(W349,W$7)</f>
        <v/>
      </c>
      <c r="Y349" s="152">
        <f>MAX(0,MIN(W349-X349,AQ349-(E349+I349+M349+Q349+U349)))</f>
        <v/>
      </c>
      <c r="Z349" s="152">
        <f>W349-X349-Y349</f>
        <v/>
      </c>
      <c r="AA349" s="152">
        <f>IF(AD348&lt;=0.005,0,AD348*(1+AA$6))</f>
        <v/>
      </c>
      <c r="AB349" s="152">
        <f>MIN(AA349,AA$7)</f>
        <v/>
      </c>
      <c r="AC349" s="152">
        <f>MAX(0,MIN(AA349-AB349,AQ349-(E349+I349+M349+Q349+U349+Y349)))</f>
        <v/>
      </c>
      <c r="AD349" s="152">
        <f>AA349-AB349-AC349</f>
        <v/>
      </c>
      <c r="AE349" s="152">
        <f>IF(AH348&lt;=0.005,0,AH348*(1+AE$6))</f>
        <v/>
      </c>
      <c r="AF349" s="152">
        <f>MIN(AE349,AE$7)</f>
        <v/>
      </c>
      <c r="AG349" s="152">
        <f>MAX(0,MIN(AE349-AF349,AQ349-(E349+I349+M349+Q349+U349+Y349+AC349)))</f>
        <v/>
      </c>
      <c r="AH349" s="152">
        <f>AE349-AF349-AG349</f>
        <v/>
      </c>
      <c r="AI349" s="152">
        <f>IF(AL348&lt;=0.005,0,AL348*(1+AI$6))</f>
        <v/>
      </c>
      <c r="AJ349" s="152">
        <f>MIN(AI349,AI$7)</f>
        <v/>
      </c>
      <c r="AK349" s="152">
        <f>MAX(0,MIN(AI349-AJ349,AQ349-(E349+I349+M349+Q349+U349+Y349+AC349+AG349)))</f>
        <v/>
      </c>
      <c r="AL349" s="152">
        <f>AI349-AJ349-AK349</f>
        <v/>
      </c>
      <c r="AM349" s="152">
        <f>IF(AP348&lt;=0.005,0,AP348*(1+AM$6))</f>
        <v/>
      </c>
      <c r="AN349" s="152">
        <f>MIN(AM349,AM$7)</f>
        <v/>
      </c>
      <c r="AO349" s="152">
        <f>MAX(0,MIN(AM349-AN349,AQ349-(E349+I349+M349+Q349+U349+Y349+AC349+AG349+AK349)))</f>
        <v/>
      </c>
      <c r="AP349" s="152">
        <f>AM349-AN349-AO349</f>
        <v/>
      </c>
      <c r="AQ349" s="152">
        <f>'Debt Payoff'!$C$8-SUM(D349,H349,L349,P349,T349,X349,AB349,AF349,AJ349,AN349)</f>
        <v/>
      </c>
      <c r="AR349" s="152">
        <f>SUM(D349,H349,L349,P349,T349,X349,AB349,AF349,AJ349,AN349)+SUM(E349,I349,M349,Q349,U349,Y349,AC349,AG349,AK349,AO349)</f>
        <v/>
      </c>
      <c r="AS349" s="152">
        <f>SUM(F349,J349,N349,R349,V349,Z349,AD349,AH349,AL349,AP349)</f>
        <v/>
      </c>
      <c r="AT349" s="152">
        <f>IF(B349&gt;AS$6,NA(),B349)</f>
        <v/>
      </c>
      <c r="AU349" s="152">
        <f>IF(B349&gt;AS$6,NA(),AS349)</f>
        <v/>
      </c>
      <c r="AV349" s="152" t="n"/>
      <c r="AW349" s="152" t="n">
        <v>338</v>
      </c>
      <c r="AX349" s="152">
        <f>IF(BA348&lt;=0.005,0,BA348*(1+AX$6))</f>
        <v/>
      </c>
      <c r="AY349" s="152">
        <f>MIN(AX349,AX$7)</f>
        <v/>
      </c>
      <c r="AZ349" s="152">
        <f>MAX(0,MIN(AX349-AY349,CL349))</f>
        <v/>
      </c>
      <c r="BA349" s="152">
        <f>AX349-AY349-AZ349</f>
        <v/>
      </c>
      <c r="BB349" s="152">
        <f>IF(BE348&lt;=0.005,0,BE348*(1+BB$6))</f>
        <v/>
      </c>
      <c r="BC349" s="152">
        <f>MIN(BB349,BB$7)</f>
        <v/>
      </c>
      <c r="BD349" s="152">
        <f>MAX(0,MIN(BB349-BC349,CL349-(AZ349)))</f>
        <v/>
      </c>
      <c r="BE349" s="152">
        <f>BB349-BC349-BD349</f>
        <v/>
      </c>
      <c r="BF349" s="152">
        <f>IF(BI348&lt;=0.005,0,BI348*(1+BF$6))</f>
        <v/>
      </c>
      <c r="BG349" s="152">
        <f>MIN(BF349,BF$7)</f>
        <v/>
      </c>
      <c r="BH349" s="152">
        <f>MAX(0,MIN(BF349-BG349,CL349-(AZ349+BD349)))</f>
        <v/>
      </c>
      <c r="BI349" s="152">
        <f>BF349-BG349-BH349</f>
        <v/>
      </c>
      <c r="BJ349" s="152">
        <f>IF(BM348&lt;=0.005,0,BM348*(1+BJ$6))</f>
        <v/>
      </c>
      <c r="BK349" s="152">
        <f>MIN(BJ349,BJ$7)</f>
        <v/>
      </c>
      <c r="BL349" s="152">
        <f>MAX(0,MIN(BJ349-BK349,CL349-(AZ349+BD349+BH349)))</f>
        <v/>
      </c>
      <c r="BM349" s="152">
        <f>BJ349-BK349-BL349</f>
        <v/>
      </c>
      <c r="BN349" s="152">
        <f>IF(BQ348&lt;=0.005,0,BQ348*(1+BN$6))</f>
        <v/>
      </c>
      <c r="BO349" s="152">
        <f>MIN(BN349,BN$7)</f>
        <v/>
      </c>
      <c r="BP349" s="152">
        <f>MAX(0,MIN(BN349-BO349,CL349-(AZ349+BD349+BH349+BL349)))</f>
        <v/>
      </c>
      <c r="BQ349" s="152">
        <f>BN349-BO349-BP349</f>
        <v/>
      </c>
      <c r="BR349" s="152">
        <f>IF(BU348&lt;=0.005,0,BU348*(1+BR$6))</f>
        <v/>
      </c>
      <c r="BS349" s="152">
        <f>MIN(BR349,BR$7)</f>
        <v/>
      </c>
      <c r="BT349" s="152">
        <f>MAX(0,MIN(BR349-BS349,CL349-(AZ349+BD349+BH349+BL349+BP349)))</f>
        <v/>
      </c>
      <c r="BU349" s="152">
        <f>BR349-BS349-BT349</f>
        <v/>
      </c>
      <c r="BV349" s="152">
        <f>IF(BY348&lt;=0.005,0,BY348*(1+BV$6))</f>
        <v/>
      </c>
      <c r="BW349" s="152">
        <f>MIN(BV349,BV$7)</f>
        <v/>
      </c>
      <c r="BX349" s="152">
        <f>MAX(0,MIN(BV349-BW349,CL349-(AZ349+BD349+BH349+BL349+BP349+BT349)))</f>
        <v/>
      </c>
      <c r="BY349" s="152">
        <f>BV349-BW349-BX349</f>
        <v/>
      </c>
      <c r="BZ349" s="152">
        <f>IF(CC348&lt;=0.005,0,CC348*(1+BZ$6))</f>
        <v/>
      </c>
      <c r="CA349" s="152">
        <f>MIN(BZ349,BZ$7)</f>
        <v/>
      </c>
      <c r="CB349" s="152">
        <f>MAX(0,MIN(BZ349-CA349,CL349-(AZ349+BD349+BH349+BL349+BP349+BT349+BX349)))</f>
        <v/>
      </c>
      <c r="CC349" s="152">
        <f>BZ349-CA349-CB349</f>
        <v/>
      </c>
      <c r="CD349" s="152">
        <f>IF(CG348&lt;=0.005,0,CG348*(1+CD$6))</f>
        <v/>
      </c>
      <c r="CE349" s="152">
        <f>MIN(CD349,CD$7)</f>
        <v/>
      </c>
      <c r="CF349" s="152">
        <f>MAX(0,MIN(CD349-CE349,CL349-(AZ349+BD349+BH349+BL349+BP349+BT349+BX349+CB349)))</f>
        <v/>
      </c>
      <c r="CG349" s="152">
        <f>CD349-CE349-CF349</f>
        <v/>
      </c>
      <c r="CH349" s="152">
        <f>IF(CK348&lt;=0.005,0,CK348*(1+CH$6))</f>
        <v/>
      </c>
      <c r="CI349" s="152">
        <f>MIN(CH349,CH$7)</f>
        <v/>
      </c>
      <c r="CJ349" s="152">
        <f>MAX(0,MIN(CH349-CI349,CL349-(AZ349+BD349+BH349+BL349+BP349+BT349+BX349+CB349+CF349)))</f>
        <v/>
      </c>
      <c r="CK349" s="152">
        <f>CH349-CI349-CJ349</f>
        <v/>
      </c>
      <c r="CL349" s="152">
        <f>'Debt Payoff'!$C$8-SUM(AY349,BC349,BG349,BK349,BO349,BS349,BW349,CA349,CE349,CI349)</f>
        <v/>
      </c>
      <c r="CM349" s="152">
        <f>SUM(AY349,BC349,BG349,BK349,BO349,BS349,BW349,CA349,CE349,CI349)+SUM(AZ349,BD349,BH349,BL349,BP349,BT349,BX349,CB349,CF349,CJ349)</f>
        <v/>
      </c>
      <c r="CN349" s="152">
        <f>SUM(BA349,BE349,BI349,BM349,BQ349,BU349,BY349,CC349,CG349,CK349)</f>
        <v/>
      </c>
      <c r="CO349" s="152">
        <f>IF(AW349&gt;CN$6,NA(),AW349)</f>
        <v/>
      </c>
      <c r="CP349" s="152">
        <f>IF(AW349&gt;CN$6,NA(),CN349)</f>
        <v/>
      </c>
    </row>
    <row r="350">
      <c r="B350" s="152" t="n">
        <v>339</v>
      </c>
      <c r="C350" s="152">
        <f>IF(F349&lt;=0.005,0,F349*(1+C$6))</f>
        <v/>
      </c>
      <c r="D350" s="152">
        <f>MIN(C350,C$7)</f>
        <v/>
      </c>
      <c r="E350" s="152">
        <f>MAX(0,MIN(C350-D350,AQ350))</f>
        <v/>
      </c>
      <c r="F350" s="152">
        <f>C350-D350-E350</f>
        <v/>
      </c>
      <c r="G350" s="152">
        <f>IF(J349&lt;=0.005,0,J349*(1+G$6))</f>
        <v/>
      </c>
      <c r="H350" s="152">
        <f>MIN(G350,G$7)</f>
        <v/>
      </c>
      <c r="I350" s="152">
        <f>MAX(0,MIN(G350-H350,AQ350-(E350)))</f>
        <v/>
      </c>
      <c r="J350" s="152">
        <f>G350-H350-I350</f>
        <v/>
      </c>
      <c r="K350" s="152">
        <f>IF(N349&lt;=0.005,0,N349*(1+K$6))</f>
        <v/>
      </c>
      <c r="L350" s="152">
        <f>MIN(K350,K$7)</f>
        <v/>
      </c>
      <c r="M350" s="152">
        <f>MAX(0,MIN(K350-L350,AQ350-(E350+I350)))</f>
        <v/>
      </c>
      <c r="N350" s="152">
        <f>K350-L350-M350</f>
        <v/>
      </c>
      <c r="O350" s="152">
        <f>IF(R349&lt;=0.005,0,R349*(1+O$6))</f>
        <v/>
      </c>
      <c r="P350" s="152">
        <f>MIN(O350,O$7)</f>
        <v/>
      </c>
      <c r="Q350" s="152">
        <f>MAX(0,MIN(O350-P350,AQ350-(E350+I350+M350)))</f>
        <v/>
      </c>
      <c r="R350" s="152">
        <f>O350-P350-Q350</f>
        <v/>
      </c>
      <c r="S350" s="152">
        <f>IF(V349&lt;=0.005,0,V349*(1+S$6))</f>
        <v/>
      </c>
      <c r="T350" s="152">
        <f>MIN(S350,S$7)</f>
        <v/>
      </c>
      <c r="U350" s="152">
        <f>MAX(0,MIN(S350-T350,AQ350-(E350+I350+M350+Q350)))</f>
        <v/>
      </c>
      <c r="V350" s="152">
        <f>S350-T350-U350</f>
        <v/>
      </c>
      <c r="W350" s="152">
        <f>IF(Z349&lt;=0.005,0,Z349*(1+W$6))</f>
        <v/>
      </c>
      <c r="X350" s="152">
        <f>MIN(W350,W$7)</f>
        <v/>
      </c>
      <c r="Y350" s="152">
        <f>MAX(0,MIN(W350-X350,AQ350-(E350+I350+M350+Q350+U350)))</f>
        <v/>
      </c>
      <c r="Z350" s="152">
        <f>W350-X350-Y350</f>
        <v/>
      </c>
      <c r="AA350" s="152">
        <f>IF(AD349&lt;=0.005,0,AD349*(1+AA$6))</f>
        <v/>
      </c>
      <c r="AB350" s="152">
        <f>MIN(AA350,AA$7)</f>
        <v/>
      </c>
      <c r="AC350" s="152">
        <f>MAX(0,MIN(AA350-AB350,AQ350-(E350+I350+M350+Q350+U350+Y350)))</f>
        <v/>
      </c>
      <c r="AD350" s="152">
        <f>AA350-AB350-AC350</f>
        <v/>
      </c>
      <c r="AE350" s="152">
        <f>IF(AH349&lt;=0.005,0,AH349*(1+AE$6))</f>
        <v/>
      </c>
      <c r="AF350" s="152">
        <f>MIN(AE350,AE$7)</f>
        <v/>
      </c>
      <c r="AG350" s="152">
        <f>MAX(0,MIN(AE350-AF350,AQ350-(E350+I350+M350+Q350+U350+Y350+AC350)))</f>
        <v/>
      </c>
      <c r="AH350" s="152">
        <f>AE350-AF350-AG350</f>
        <v/>
      </c>
      <c r="AI350" s="152">
        <f>IF(AL349&lt;=0.005,0,AL349*(1+AI$6))</f>
        <v/>
      </c>
      <c r="AJ350" s="152">
        <f>MIN(AI350,AI$7)</f>
        <v/>
      </c>
      <c r="AK350" s="152">
        <f>MAX(0,MIN(AI350-AJ350,AQ350-(E350+I350+M350+Q350+U350+Y350+AC350+AG350)))</f>
        <v/>
      </c>
      <c r="AL350" s="152">
        <f>AI350-AJ350-AK350</f>
        <v/>
      </c>
      <c r="AM350" s="152">
        <f>IF(AP349&lt;=0.005,0,AP349*(1+AM$6))</f>
        <v/>
      </c>
      <c r="AN350" s="152">
        <f>MIN(AM350,AM$7)</f>
        <v/>
      </c>
      <c r="AO350" s="152">
        <f>MAX(0,MIN(AM350-AN350,AQ350-(E350+I350+M350+Q350+U350+Y350+AC350+AG350+AK350)))</f>
        <v/>
      </c>
      <c r="AP350" s="152">
        <f>AM350-AN350-AO350</f>
        <v/>
      </c>
      <c r="AQ350" s="152">
        <f>'Debt Payoff'!$C$8-SUM(D350,H350,L350,P350,T350,X350,AB350,AF350,AJ350,AN350)</f>
        <v/>
      </c>
      <c r="AR350" s="152">
        <f>SUM(D350,H350,L350,P350,T350,X350,AB350,AF350,AJ350,AN350)+SUM(E350,I350,M350,Q350,U350,Y350,AC350,AG350,AK350,AO350)</f>
        <v/>
      </c>
      <c r="AS350" s="152">
        <f>SUM(F350,J350,N350,R350,V350,Z350,AD350,AH350,AL350,AP350)</f>
        <v/>
      </c>
      <c r="AT350" s="152">
        <f>IF(B350&gt;AS$6,NA(),B350)</f>
        <v/>
      </c>
      <c r="AU350" s="152">
        <f>IF(B350&gt;AS$6,NA(),AS350)</f>
        <v/>
      </c>
      <c r="AV350" s="152" t="n"/>
      <c r="AW350" s="152" t="n">
        <v>339</v>
      </c>
      <c r="AX350" s="152">
        <f>IF(BA349&lt;=0.005,0,BA349*(1+AX$6))</f>
        <v/>
      </c>
      <c r="AY350" s="152">
        <f>MIN(AX350,AX$7)</f>
        <v/>
      </c>
      <c r="AZ350" s="152">
        <f>MAX(0,MIN(AX350-AY350,CL350))</f>
        <v/>
      </c>
      <c r="BA350" s="152">
        <f>AX350-AY350-AZ350</f>
        <v/>
      </c>
      <c r="BB350" s="152">
        <f>IF(BE349&lt;=0.005,0,BE349*(1+BB$6))</f>
        <v/>
      </c>
      <c r="BC350" s="152">
        <f>MIN(BB350,BB$7)</f>
        <v/>
      </c>
      <c r="BD350" s="152">
        <f>MAX(0,MIN(BB350-BC350,CL350-(AZ350)))</f>
        <v/>
      </c>
      <c r="BE350" s="152">
        <f>BB350-BC350-BD350</f>
        <v/>
      </c>
      <c r="BF350" s="152">
        <f>IF(BI349&lt;=0.005,0,BI349*(1+BF$6))</f>
        <v/>
      </c>
      <c r="BG350" s="152">
        <f>MIN(BF350,BF$7)</f>
        <v/>
      </c>
      <c r="BH350" s="152">
        <f>MAX(0,MIN(BF350-BG350,CL350-(AZ350+BD350)))</f>
        <v/>
      </c>
      <c r="BI350" s="152">
        <f>BF350-BG350-BH350</f>
        <v/>
      </c>
      <c r="BJ350" s="152">
        <f>IF(BM349&lt;=0.005,0,BM349*(1+BJ$6))</f>
        <v/>
      </c>
      <c r="BK350" s="152">
        <f>MIN(BJ350,BJ$7)</f>
        <v/>
      </c>
      <c r="BL350" s="152">
        <f>MAX(0,MIN(BJ350-BK350,CL350-(AZ350+BD350+BH350)))</f>
        <v/>
      </c>
      <c r="BM350" s="152">
        <f>BJ350-BK350-BL350</f>
        <v/>
      </c>
      <c r="BN350" s="152">
        <f>IF(BQ349&lt;=0.005,0,BQ349*(1+BN$6))</f>
        <v/>
      </c>
      <c r="BO350" s="152">
        <f>MIN(BN350,BN$7)</f>
        <v/>
      </c>
      <c r="BP350" s="152">
        <f>MAX(0,MIN(BN350-BO350,CL350-(AZ350+BD350+BH350+BL350)))</f>
        <v/>
      </c>
      <c r="BQ350" s="152">
        <f>BN350-BO350-BP350</f>
        <v/>
      </c>
      <c r="BR350" s="152">
        <f>IF(BU349&lt;=0.005,0,BU349*(1+BR$6))</f>
        <v/>
      </c>
      <c r="BS350" s="152">
        <f>MIN(BR350,BR$7)</f>
        <v/>
      </c>
      <c r="BT350" s="152">
        <f>MAX(0,MIN(BR350-BS350,CL350-(AZ350+BD350+BH350+BL350+BP350)))</f>
        <v/>
      </c>
      <c r="BU350" s="152">
        <f>BR350-BS350-BT350</f>
        <v/>
      </c>
      <c r="BV350" s="152">
        <f>IF(BY349&lt;=0.005,0,BY349*(1+BV$6))</f>
        <v/>
      </c>
      <c r="BW350" s="152">
        <f>MIN(BV350,BV$7)</f>
        <v/>
      </c>
      <c r="BX350" s="152">
        <f>MAX(0,MIN(BV350-BW350,CL350-(AZ350+BD350+BH350+BL350+BP350+BT350)))</f>
        <v/>
      </c>
      <c r="BY350" s="152">
        <f>BV350-BW350-BX350</f>
        <v/>
      </c>
      <c r="BZ350" s="152">
        <f>IF(CC349&lt;=0.005,0,CC349*(1+BZ$6))</f>
        <v/>
      </c>
      <c r="CA350" s="152">
        <f>MIN(BZ350,BZ$7)</f>
        <v/>
      </c>
      <c r="CB350" s="152">
        <f>MAX(0,MIN(BZ350-CA350,CL350-(AZ350+BD350+BH350+BL350+BP350+BT350+BX350)))</f>
        <v/>
      </c>
      <c r="CC350" s="152">
        <f>BZ350-CA350-CB350</f>
        <v/>
      </c>
      <c r="CD350" s="152">
        <f>IF(CG349&lt;=0.005,0,CG349*(1+CD$6))</f>
        <v/>
      </c>
      <c r="CE350" s="152">
        <f>MIN(CD350,CD$7)</f>
        <v/>
      </c>
      <c r="CF350" s="152">
        <f>MAX(0,MIN(CD350-CE350,CL350-(AZ350+BD350+BH350+BL350+BP350+BT350+BX350+CB350)))</f>
        <v/>
      </c>
      <c r="CG350" s="152">
        <f>CD350-CE350-CF350</f>
        <v/>
      </c>
      <c r="CH350" s="152">
        <f>IF(CK349&lt;=0.005,0,CK349*(1+CH$6))</f>
        <v/>
      </c>
      <c r="CI350" s="152">
        <f>MIN(CH350,CH$7)</f>
        <v/>
      </c>
      <c r="CJ350" s="152">
        <f>MAX(0,MIN(CH350-CI350,CL350-(AZ350+BD350+BH350+BL350+BP350+BT350+BX350+CB350+CF350)))</f>
        <v/>
      </c>
      <c r="CK350" s="152">
        <f>CH350-CI350-CJ350</f>
        <v/>
      </c>
      <c r="CL350" s="152">
        <f>'Debt Payoff'!$C$8-SUM(AY350,BC350,BG350,BK350,BO350,BS350,BW350,CA350,CE350,CI350)</f>
        <v/>
      </c>
      <c r="CM350" s="152">
        <f>SUM(AY350,BC350,BG350,BK350,BO350,BS350,BW350,CA350,CE350,CI350)+SUM(AZ350,BD350,BH350,BL350,BP350,BT350,BX350,CB350,CF350,CJ350)</f>
        <v/>
      </c>
      <c r="CN350" s="152">
        <f>SUM(BA350,BE350,BI350,BM350,BQ350,BU350,BY350,CC350,CG350,CK350)</f>
        <v/>
      </c>
      <c r="CO350" s="152">
        <f>IF(AW350&gt;CN$6,NA(),AW350)</f>
        <v/>
      </c>
      <c r="CP350" s="152">
        <f>IF(AW350&gt;CN$6,NA(),CN350)</f>
        <v/>
      </c>
    </row>
    <row r="351">
      <c r="B351" s="152" t="n">
        <v>340</v>
      </c>
      <c r="C351" s="152">
        <f>IF(F350&lt;=0.005,0,F350*(1+C$6))</f>
        <v/>
      </c>
      <c r="D351" s="152">
        <f>MIN(C351,C$7)</f>
        <v/>
      </c>
      <c r="E351" s="152">
        <f>MAX(0,MIN(C351-D351,AQ351))</f>
        <v/>
      </c>
      <c r="F351" s="152">
        <f>C351-D351-E351</f>
        <v/>
      </c>
      <c r="G351" s="152">
        <f>IF(J350&lt;=0.005,0,J350*(1+G$6))</f>
        <v/>
      </c>
      <c r="H351" s="152">
        <f>MIN(G351,G$7)</f>
        <v/>
      </c>
      <c r="I351" s="152">
        <f>MAX(0,MIN(G351-H351,AQ351-(E351)))</f>
        <v/>
      </c>
      <c r="J351" s="152">
        <f>G351-H351-I351</f>
        <v/>
      </c>
      <c r="K351" s="152">
        <f>IF(N350&lt;=0.005,0,N350*(1+K$6))</f>
        <v/>
      </c>
      <c r="L351" s="152">
        <f>MIN(K351,K$7)</f>
        <v/>
      </c>
      <c r="M351" s="152">
        <f>MAX(0,MIN(K351-L351,AQ351-(E351+I351)))</f>
        <v/>
      </c>
      <c r="N351" s="152">
        <f>K351-L351-M351</f>
        <v/>
      </c>
      <c r="O351" s="152">
        <f>IF(R350&lt;=0.005,0,R350*(1+O$6))</f>
        <v/>
      </c>
      <c r="P351" s="152">
        <f>MIN(O351,O$7)</f>
        <v/>
      </c>
      <c r="Q351" s="152">
        <f>MAX(0,MIN(O351-P351,AQ351-(E351+I351+M351)))</f>
        <v/>
      </c>
      <c r="R351" s="152">
        <f>O351-P351-Q351</f>
        <v/>
      </c>
      <c r="S351" s="152">
        <f>IF(V350&lt;=0.005,0,V350*(1+S$6))</f>
        <v/>
      </c>
      <c r="T351" s="152">
        <f>MIN(S351,S$7)</f>
        <v/>
      </c>
      <c r="U351" s="152">
        <f>MAX(0,MIN(S351-T351,AQ351-(E351+I351+M351+Q351)))</f>
        <v/>
      </c>
      <c r="V351" s="152">
        <f>S351-T351-U351</f>
        <v/>
      </c>
      <c r="W351" s="152">
        <f>IF(Z350&lt;=0.005,0,Z350*(1+W$6))</f>
        <v/>
      </c>
      <c r="X351" s="152">
        <f>MIN(W351,W$7)</f>
        <v/>
      </c>
      <c r="Y351" s="152">
        <f>MAX(0,MIN(W351-X351,AQ351-(E351+I351+M351+Q351+U351)))</f>
        <v/>
      </c>
      <c r="Z351" s="152">
        <f>W351-X351-Y351</f>
        <v/>
      </c>
      <c r="AA351" s="152">
        <f>IF(AD350&lt;=0.005,0,AD350*(1+AA$6))</f>
        <v/>
      </c>
      <c r="AB351" s="152">
        <f>MIN(AA351,AA$7)</f>
        <v/>
      </c>
      <c r="AC351" s="152">
        <f>MAX(0,MIN(AA351-AB351,AQ351-(E351+I351+M351+Q351+U351+Y351)))</f>
        <v/>
      </c>
      <c r="AD351" s="152">
        <f>AA351-AB351-AC351</f>
        <v/>
      </c>
      <c r="AE351" s="152">
        <f>IF(AH350&lt;=0.005,0,AH350*(1+AE$6))</f>
        <v/>
      </c>
      <c r="AF351" s="152">
        <f>MIN(AE351,AE$7)</f>
        <v/>
      </c>
      <c r="AG351" s="152">
        <f>MAX(0,MIN(AE351-AF351,AQ351-(E351+I351+M351+Q351+U351+Y351+AC351)))</f>
        <v/>
      </c>
      <c r="AH351" s="152">
        <f>AE351-AF351-AG351</f>
        <v/>
      </c>
      <c r="AI351" s="152">
        <f>IF(AL350&lt;=0.005,0,AL350*(1+AI$6))</f>
        <v/>
      </c>
      <c r="AJ351" s="152">
        <f>MIN(AI351,AI$7)</f>
        <v/>
      </c>
      <c r="AK351" s="152">
        <f>MAX(0,MIN(AI351-AJ351,AQ351-(E351+I351+M351+Q351+U351+Y351+AC351+AG351)))</f>
        <v/>
      </c>
      <c r="AL351" s="152">
        <f>AI351-AJ351-AK351</f>
        <v/>
      </c>
      <c r="AM351" s="152">
        <f>IF(AP350&lt;=0.005,0,AP350*(1+AM$6))</f>
        <v/>
      </c>
      <c r="AN351" s="152">
        <f>MIN(AM351,AM$7)</f>
        <v/>
      </c>
      <c r="AO351" s="152">
        <f>MAX(0,MIN(AM351-AN351,AQ351-(E351+I351+M351+Q351+U351+Y351+AC351+AG351+AK351)))</f>
        <v/>
      </c>
      <c r="AP351" s="152">
        <f>AM351-AN351-AO351</f>
        <v/>
      </c>
      <c r="AQ351" s="152">
        <f>'Debt Payoff'!$C$8-SUM(D351,H351,L351,P351,T351,X351,AB351,AF351,AJ351,AN351)</f>
        <v/>
      </c>
      <c r="AR351" s="152">
        <f>SUM(D351,H351,L351,P351,T351,X351,AB351,AF351,AJ351,AN351)+SUM(E351,I351,M351,Q351,U351,Y351,AC351,AG351,AK351,AO351)</f>
        <v/>
      </c>
      <c r="AS351" s="152">
        <f>SUM(F351,J351,N351,R351,V351,Z351,AD351,AH351,AL351,AP351)</f>
        <v/>
      </c>
      <c r="AT351" s="152">
        <f>IF(B351&gt;AS$6,NA(),B351)</f>
        <v/>
      </c>
      <c r="AU351" s="152">
        <f>IF(B351&gt;AS$6,NA(),AS351)</f>
        <v/>
      </c>
      <c r="AV351" s="152" t="n"/>
      <c r="AW351" s="152" t="n">
        <v>340</v>
      </c>
      <c r="AX351" s="152">
        <f>IF(BA350&lt;=0.005,0,BA350*(1+AX$6))</f>
        <v/>
      </c>
      <c r="AY351" s="152">
        <f>MIN(AX351,AX$7)</f>
        <v/>
      </c>
      <c r="AZ351" s="152">
        <f>MAX(0,MIN(AX351-AY351,CL351))</f>
        <v/>
      </c>
      <c r="BA351" s="152">
        <f>AX351-AY351-AZ351</f>
        <v/>
      </c>
      <c r="BB351" s="152">
        <f>IF(BE350&lt;=0.005,0,BE350*(1+BB$6))</f>
        <v/>
      </c>
      <c r="BC351" s="152">
        <f>MIN(BB351,BB$7)</f>
        <v/>
      </c>
      <c r="BD351" s="152">
        <f>MAX(0,MIN(BB351-BC351,CL351-(AZ351)))</f>
        <v/>
      </c>
      <c r="BE351" s="152">
        <f>BB351-BC351-BD351</f>
        <v/>
      </c>
      <c r="BF351" s="152">
        <f>IF(BI350&lt;=0.005,0,BI350*(1+BF$6))</f>
        <v/>
      </c>
      <c r="BG351" s="152">
        <f>MIN(BF351,BF$7)</f>
        <v/>
      </c>
      <c r="BH351" s="152">
        <f>MAX(0,MIN(BF351-BG351,CL351-(AZ351+BD351)))</f>
        <v/>
      </c>
      <c r="BI351" s="152">
        <f>BF351-BG351-BH351</f>
        <v/>
      </c>
      <c r="BJ351" s="152">
        <f>IF(BM350&lt;=0.005,0,BM350*(1+BJ$6))</f>
        <v/>
      </c>
      <c r="BK351" s="152">
        <f>MIN(BJ351,BJ$7)</f>
        <v/>
      </c>
      <c r="BL351" s="152">
        <f>MAX(0,MIN(BJ351-BK351,CL351-(AZ351+BD351+BH351)))</f>
        <v/>
      </c>
      <c r="BM351" s="152">
        <f>BJ351-BK351-BL351</f>
        <v/>
      </c>
      <c r="BN351" s="152">
        <f>IF(BQ350&lt;=0.005,0,BQ350*(1+BN$6))</f>
        <v/>
      </c>
      <c r="BO351" s="152">
        <f>MIN(BN351,BN$7)</f>
        <v/>
      </c>
      <c r="BP351" s="152">
        <f>MAX(0,MIN(BN351-BO351,CL351-(AZ351+BD351+BH351+BL351)))</f>
        <v/>
      </c>
      <c r="BQ351" s="152">
        <f>BN351-BO351-BP351</f>
        <v/>
      </c>
      <c r="BR351" s="152">
        <f>IF(BU350&lt;=0.005,0,BU350*(1+BR$6))</f>
        <v/>
      </c>
      <c r="BS351" s="152">
        <f>MIN(BR351,BR$7)</f>
        <v/>
      </c>
      <c r="BT351" s="152">
        <f>MAX(0,MIN(BR351-BS351,CL351-(AZ351+BD351+BH351+BL351+BP351)))</f>
        <v/>
      </c>
      <c r="BU351" s="152">
        <f>BR351-BS351-BT351</f>
        <v/>
      </c>
      <c r="BV351" s="152">
        <f>IF(BY350&lt;=0.005,0,BY350*(1+BV$6))</f>
        <v/>
      </c>
      <c r="BW351" s="152">
        <f>MIN(BV351,BV$7)</f>
        <v/>
      </c>
      <c r="BX351" s="152">
        <f>MAX(0,MIN(BV351-BW351,CL351-(AZ351+BD351+BH351+BL351+BP351+BT351)))</f>
        <v/>
      </c>
      <c r="BY351" s="152">
        <f>BV351-BW351-BX351</f>
        <v/>
      </c>
      <c r="BZ351" s="152">
        <f>IF(CC350&lt;=0.005,0,CC350*(1+BZ$6))</f>
        <v/>
      </c>
      <c r="CA351" s="152">
        <f>MIN(BZ351,BZ$7)</f>
        <v/>
      </c>
      <c r="CB351" s="152">
        <f>MAX(0,MIN(BZ351-CA351,CL351-(AZ351+BD351+BH351+BL351+BP351+BT351+BX351)))</f>
        <v/>
      </c>
      <c r="CC351" s="152">
        <f>BZ351-CA351-CB351</f>
        <v/>
      </c>
      <c r="CD351" s="152">
        <f>IF(CG350&lt;=0.005,0,CG350*(1+CD$6))</f>
        <v/>
      </c>
      <c r="CE351" s="152">
        <f>MIN(CD351,CD$7)</f>
        <v/>
      </c>
      <c r="CF351" s="152">
        <f>MAX(0,MIN(CD351-CE351,CL351-(AZ351+BD351+BH351+BL351+BP351+BT351+BX351+CB351)))</f>
        <v/>
      </c>
      <c r="CG351" s="152">
        <f>CD351-CE351-CF351</f>
        <v/>
      </c>
      <c r="CH351" s="152">
        <f>IF(CK350&lt;=0.005,0,CK350*(1+CH$6))</f>
        <v/>
      </c>
      <c r="CI351" s="152">
        <f>MIN(CH351,CH$7)</f>
        <v/>
      </c>
      <c r="CJ351" s="152">
        <f>MAX(0,MIN(CH351-CI351,CL351-(AZ351+BD351+BH351+BL351+BP351+BT351+BX351+CB351+CF351)))</f>
        <v/>
      </c>
      <c r="CK351" s="152">
        <f>CH351-CI351-CJ351</f>
        <v/>
      </c>
      <c r="CL351" s="152">
        <f>'Debt Payoff'!$C$8-SUM(AY351,BC351,BG351,BK351,BO351,BS351,BW351,CA351,CE351,CI351)</f>
        <v/>
      </c>
      <c r="CM351" s="152">
        <f>SUM(AY351,BC351,BG351,BK351,BO351,BS351,BW351,CA351,CE351,CI351)+SUM(AZ351,BD351,BH351,BL351,BP351,BT351,BX351,CB351,CF351,CJ351)</f>
        <v/>
      </c>
      <c r="CN351" s="152">
        <f>SUM(BA351,BE351,BI351,BM351,BQ351,BU351,BY351,CC351,CG351,CK351)</f>
        <v/>
      </c>
      <c r="CO351" s="152">
        <f>IF(AW351&gt;CN$6,NA(),AW351)</f>
        <v/>
      </c>
      <c r="CP351" s="152">
        <f>IF(AW351&gt;CN$6,NA(),CN351)</f>
        <v/>
      </c>
    </row>
    <row r="352">
      <c r="B352" s="152" t="n">
        <v>341</v>
      </c>
      <c r="C352" s="152">
        <f>IF(F351&lt;=0.005,0,F351*(1+C$6))</f>
        <v/>
      </c>
      <c r="D352" s="152">
        <f>MIN(C352,C$7)</f>
        <v/>
      </c>
      <c r="E352" s="152">
        <f>MAX(0,MIN(C352-D352,AQ352))</f>
        <v/>
      </c>
      <c r="F352" s="152">
        <f>C352-D352-E352</f>
        <v/>
      </c>
      <c r="G352" s="152">
        <f>IF(J351&lt;=0.005,0,J351*(1+G$6))</f>
        <v/>
      </c>
      <c r="H352" s="152">
        <f>MIN(G352,G$7)</f>
        <v/>
      </c>
      <c r="I352" s="152">
        <f>MAX(0,MIN(G352-H352,AQ352-(E352)))</f>
        <v/>
      </c>
      <c r="J352" s="152">
        <f>G352-H352-I352</f>
        <v/>
      </c>
      <c r="K352" s="152">
        <f>IF(N351&lt;=0.005,0,N351*(1+K$6))</f>
        <v/>
      </c>
      <c r="L352" s="152">
        <f>MIN(K352,K$7)</f>
        <v/>
      </c>
      <c r="M352" s="152">
        <f>MAX(0,MIN(K352-L352,AQ352-(E352+I352)))</f>
        <v/>
      </c>
      <c r="N352" s="152">
        <f>K352-L352-M352</f>
        <v/>
      </c>
      <c r="O352" s="152">
        <f>IF(R351&lt;=0.005,0,R351*(1+O$6))</f>
        <v/>
      </c>
      <c r="P352" s="152">
        <f>MIN(O352,O$7)</f>
        <v/>
      </c>
      <c r="Q352" s="152">
        <f>MAX(0,MIN(O352-P352,AQ352-(E352+I352+M352)))</f>
        <v/>
      </c>
      <c r="R352" s="152">
        <f>O352-P352-Q352</f>
        <v/>
      </c>
      <c r="S352" s="152">
        <f>IF(V351&lt;=0.005,0,V351*(1+S$6))</f>
        <v/>
      </c>
      <c r="T352" s="152">
        <f>MIN(S352,S$7)</f>
        <v/>
      </c>
      <c r="U352" s="152">
        <f>MAX(0,MIN(S352-T352,AQ352-(E352+I352+M352+Q352)))</f>
        <v/>
      </c>
      <c r="V352" s="152">
        <f>S352-T352-U352</f>
        <v/>
      </c>
      <c r="W352" s="152">
        <f>IF(Z351&lt;=0.005,0,Z351*(1+W$6))</f>
        <v/>
      </c>
      <c r="X352" s="152">
        <f>MIN(W352,W$7)</f>
        <v/>
      </c>
      <c r="Y352" s="152">
        <f>MAX(0,MIN(W352-X352,AQ352-(E352+I352+M352+Q352+U352)))</f>
        <v/>
      </c>
      <c r="Z352" s="152">
        <f>W352-X352-Y352</f>
        <v/>
      </c>
      <c r="AA352" s="152">
        <f>IF(AD351&lt;=0.005,0,AD351*(1+AA$6))</f>
        <v/>
      </c>
      <c r="AB352" s="152">
        <f>MIN(AA352,AA$7)</f>
        <v/>
      </c>
      <c r="AC352" s="152">
        <f>MAX(0,MIN(AA352-AB352,AQ352-(E352+I352+M352+Q352+U352+Y352)))</f>
        <v/>
      </c>
      <c r="AD352" s="152">
        <f>AA352-AB352-AC352</f>
        <v/>
      </c>
      <c r="AE352" s="152">
        <f>IF(AH351&lt;=0.005,0,AH351*(1+AE$6))</f>
        <v/>
      </c>
      <c r="AF352" s="152">
        <f>MIN(AE352,AE$7)</f>
        <v/>
      </c>
      <c r="AG352" s="152">
        <f>MAX(0,MIN(AE352-AF352,AQ352-(E352+I352+M352+Q352+U352+Y352+AC352)))</f>
        <v/>
      </c>
      <c r="AH352" s="152">
        <f>AE352-AF352-AG352</f>
        <v/>
      </c>
      <c r="AI352" s="152">
        <f>IF(AL351&lt;=0.005,0,AL351*(1+AI$6))</f>
        <v/>
      </c>
      <c r="AJ352" s="152">
        <f>MIN(AI352,AI$7)</f>
        <v/>
      </c>
      <c r="AK352" s="152">
        <f>MAX(0,MIN(AI352-AJ352,AQ352-(E352+I352+M352+Q352+U352+Y352+AC352+AG352)))</f>
        <v/>
      </c>
      <c r="AL352" s="152">
        <f>AI352-AJ352-AK352</f>
        <v/>
      </c>
      <c r="AM352" s="152">
        <f>IF(AP351&lt;=0.005,0,AP351*(1+AM$6))</f>
        <v/>
      </c>
      <c r="AN352" s="152">
        <f>MIN(AM352,AM$7)</f>
        <v/>
      </c>
      <c r="AO352" s="152">
        <f>MAX(0,MIN(AM352-AN352,AQ352-(E352+I352+M352+Q352+U352+Y352+AC352+AG352+AK352)))</f>
        <v/>
      </c>
      <c r="AP352" s="152">
        <f>AM352-AN352-AO352</f>
        <v/>
      </c>
      <c r="AQ352" s="152">
        <f>'Debt Payoff'!$C$8-SUM(D352,H352,L352,P352,T352,X352,AB352,AF352,AJ352,AN352)</f>
        <v/>
      </c>
      <c r="AR352" s="152">
        <f>SUM(D352,H352,L352,P352,T352,X352,AB352,AF352,AJ352,AN352)+SUM(E352,I352,M352,Q352,U352,Y352,AC352,AG352,AK352,AO352)</f>
        <v/>
      </c>
      <c r="AS352" s="152">
        <f>SUM(F352,J352,N352,R352,V352,Z352,AD352,AH352,AL352,AP352)</f>
        <v/>
      </c>
      <c r="AT352" s="152">
        <f>IF(B352&gt;AS$6,NA(),B352)</f>
        <v/>
      </c>
      <c r="AU352" s="152">
        <f>IF(B352&gt;AS$6,NA(),AS352)</f>
        <v/>
      </c>
      <c r="AV352" s="152" t="n"/>
      <c r="AW352" s="152" t="n">
        <v>341</v>
      </c>
      <c r="AX352" s="152">
        <f>IF(BA351&lt;=0.005,0,BA351*(1+AX$6))</f>
        <v/>
      </c>
      <c r="AY352" s="152">
        <f>MIN(AX352,AX$7)</f>
        <v/>
      </c>
      <c r="AZ352" s="152">
        <f>MAX(0,MIN(AX352-AY352,CL352))</f>
        <v/>
      </c>
      <c r="BA352" s="152">
        <f>AX352-AY352-AZ352</f>
        <v/>
      </c>
      <c r="BB352" s="152">
        <f>IF(BE351&lt;=0.005,0,BE351*(1+BB$6))</f>
        <v/>
      </c>
      <c r="BC352" s="152">
        <f>MIN(BB352,BB$7)</f>
        <v/>
      </c>
      <c r="BD352" s="152">
        <f>MAX(0,MIN(BB352-BC352,CL352-(AZ352)))</f>
        <v/>
      </c>
      <c r="BE352" s="152">
        <f>BB352-BC352-BD352</f>
        <v/>
      </c>
      <c r="BF352" s="152">
        <f>IF(BI351&lt;=0.005,0,BI351*(1+BF$6))</f>
        <v/>
      </c>
      <c r="BG352" s="152">
        <f>MIN(BF352,BF$7)</f>
        <v/>
      </c>
      <c r="BH352" s="152">
        <f>MAX(0,MIN(BF352-BG352,CL352-(AZ352+BD352)))</f>
        <v/>
      </c>
      <c r="BI352" s="152">
        <f>BF352-BG352-BH352</f>
        <v/>
      </c>
      <c r="BJ352" s="152">
        <f>IF(BM351&lt;=0.005,0,BM351*(1+BJ$6))</f>
        <v/>
      </c>
      <c r="BK352" s="152">
        <f>MIN(BJ352,BJ$7)</f>
        <v/>
      </c>
      <c r="BL352" s="152">
        <f>MAX(0,MIN(BJ352-BK352,CL352-(AZ352+BD352+BH352)))</f>
        <v/>
      </c>
      <c r="BM352" s="152">
        <f>BJ352-BK352-BL352</f>
        <v/>
      </c>
      <c r="BN352" s="152">
        <f>IF(BQ351&lt;=0.005,0,BQ351*(1+BN$6))</f>
        <v/>
      </c>
      <c r="BO352" s="152">
        <f>MIN(BN352,BN$7)</f>
        <v/>
      </c>
      <c r="BP352" s="152">
        <f>MAX(0,MIN(BN352-BO352,CL352-(AZ352+BD352+BH352+BL352)))</f>
        <v/>
      </c>
      <c r="BQ352" s="152">
        <f>BN352-BO352-BP352</f>
        <v/>
      </c>
      <c r="BR352" s="152">
        <f>IF(BU351&lt;=0.005,0,BU351*(1+BR$6))</f>
        <v/>
      </c>
      <c r="BS352" s="152">
        <f>MIN(BR352,BR$7)</f>
        <v/>
      </c>
      <c r="BT352" s="152">
        <f>MAX(0,MIN(BR352-BS352,CL352-(AZ352+BD352+BH352+BL352+BP352)))</f>
        <v/>
      </c>
      <c r="BU352" s="152">
        <f>BR352-BS352-BT352</f>
        <v/>
      </c>
      <c r="BV352" s="152">
        <f>IF(BY351&lt;=0.005,0,BY351*(1+BV$6))</f>
        <v/>
      </c>
      <c r="BW352" s="152">
        <f>MIN(BV352,BV$7)</f>
        <v/>
      </c>
      <c r="BX352" s="152">
        <f>MAX(0,MIN(BV352-BW352,CL352-(AZ352+BD352+BH352+BL352+BP352+BT352)))</f>
        <v/>
      </c>
      <c r="BY352" s="152">
        <f>BV352-BW352-BX352</f>
        <v/>
      </c>
      <c r="BZ352" s="152">
        <f>IF(CC351&lt;=0.005,0,CC351*(1+BZ$6))</f>
        <v/>
      </c>
      <c r="CA352" s="152">
        <f>MIN(BZ352,BZ$7)</f>
        <v/>
      </c>
      <c r="CB352" s="152">
        <f>MAX(0,MIN(BZ352-CA352,CL352-(AZ352+BD352+BH352+BL352+BP352+BT352+BX352)))</f>
        <v/>
      </c>
      <c r="CC352" s="152">
        <f>BZ352-CA352-CB352</f>
        <v/>
      </c>
      <c r="CD352" s="152">
        <f>IF(CG351&lt;=0.005,0,CG351*(1+CD$6))</f>
        <v/>
      </c>
      <c r="CE352" s="152">
        <f>MIN(CD352,CD$7)</f>
        <v/>
      </c>
      <c r="CF352" s="152">
        <f>MAX(0,MIN(CD352-CE352,CL352-(AZ352+BD352+BH352+BL352+BP352+BT352+BX352+CB352)))</f>
        <v/>
      </c>
      <c r="CG352" s="152">
        <f>CD352-CE352-CF352</f>
        <v/>
      </c>
      <c r="CH352" s="152">
        <f>IF(CK351&lt;=0.005,0,CK351*(1+CH$6))</f>
        <v/>
      </c>
      <c r="CI352" s="152">
        <f>MIN(CH352,CH$7)</f>
        <v/>
      </c>
      <c r="CJ352" s="152">
        <f>MAX(0,MIN(CH352-CI352,CL352-(AZ352+BD352+BH352+BL352+BP352+BT352+BX352+CB352+CF352)))</f>
        <v/>
      </c>
      <c r="CK352" s="152">
        <f>CH352-CI352-CJ352</f>
        <v/>
      </c>
      <c r="CL352" s="152">
        <f>'Debt Payoff'!$C$8-SUM(AY352,BC352,BG352,BK352,BO352,BS352,BW352,CA352,CE352,CI352)</f>
        <v/>
      </c>
      <c r="CM352" s="152">
        <f>SUM(AY352,BC352,BG352,BK352,BO352,BS352,BW352,CA352,CE352,CI352)+SUM(AZ352,BD352,BH352,BL352,BP352,BT352,BX352,CB352,CF352,CJ352)</f>
        <v/>
      </c>
      <c r="CN352" s="152">
        <f>SUM(BA352,BE352,BI352,BM352,BQ352,BU352,BY352,CC352,CG352,CK352)</f>
        <v/>
      </c>
      <c r="CO352" s="152">
        <f>IF(AW352&gt;CN$6,NA(),AW352)</f>
        <v/>
      </c>
      <c r="CP352" s="152">
        <f>IF(AW352&gt;CN$6,NA(),CN352)</f>
        <v/>
      </c>
    </row>
    <row r="353">
      <c r="B353" s="152" t="n">
        <v>342</v>
      </c>
      <c r="C353" s="152">
        <f>IF(F352&lt;=0.005,0,F352*(1+C$6))</f>
        <v/>
      </c>
      <c r="D353" s="152">
        <f>MIN(C353,C$7)</f>
        <v/>
      </c>
      <c r="E353" s="152">
        <f>MAX(0,MIN(C353-D353,AQ353))</f>
        <v/>
      </c>
      <c r="F353" s="152">
        <f>C353-D353-E353</f>
        <v/>
      </c>
      <c r="G353" s="152">
        <f>IF(J352&lt;=0.005,0,J352*(1+G$6))</f>
        <v/>
      </c>
      <c r="H353" s="152">
        <f>MIN(G353,G$7)</f>
        <v/>
      </c>
      <c r="I353" s="152">
        <f>MAX(0,MIN(G353-H353,AQ353-(E353)))</f>
        <v/>
      </c>
      <c r="J353" s="152">
        <f>G353-H353-I353</f>
        <v/>
      </c>
      <c r="K353" s="152">
        <f>IF(N352&lt;=0.005,0,N352*(1+K$6))</f>
        <v/>
      </c>
      <c r="L353" s="152">
        <f>MIN(K353,K$7)</f>
        <v/>
      </c>
      <c r="M353" s="152">
        <f>MAX(0,MIN(K353-L353,AQ353-(E353+I353)))</f>
        <v/>
      </c>
      <c r="N353" s="152">
        <f>K353-L353-M353</f>
        <v/>
      </c>
      <c r="O353" s="152">
        <f>IF(R352&lt;=0.005,0,R352*(1+O$6))</f>
        <v/>
      </c>
      <c r="P353" s="152">
        <f>MIN(O353,O$7)</f>
        <v/>
      </c>
      <c r="Q353" s="152">
        <f>MAX(0,MIN(O353-P353,AQ353-(E353+I353+M353)))</f>
        <v/>
      </c>
      <c r="R353" s="152">
        <f>O353-P353-Q353</f>
        <v/>
      </c>
      <c r="S353" s="152">
        <f>IF(V352&lt;=0.005,0,V352*(1+S$6))</f>
        <v/>
      </c>
      <c r="T353" s="152">
        <f>MIN(S353,S$7)</f>
        <v/>
      </c>
      <c r="U353" s="152">
        <f>MAX(0,MIN(S353-T353,AQ353-(E353+I353+M353+Q353)))</f>
        <v/>
      </c>
      <c r="V353" s="152">
        <f>S353-T353-U353</f>
        <v/>
      </c>
      <c r="W353" s="152">
        <f>IF(Z352&lt;=0.005,0,Z352*(1+W$6))</f>
        <v/>
      </c>
      <c r="X353" s="152">
        <f>MIN(W353,W$7)</f>
        <v/>
      </c>
      <c r="Y353" s="152">
        <f>MAX(0,MIN(W353-X353,AQ353-(E353+I353+M353+Q353+U353)))</f>
        <v/>
      </c>
      <c r="Z353" s="152">
        <f>W353-X353-Y353</f>
        <v/>
      </c>
      <c r="AA353" s="152">
        <f>IF(AD352&lt;=0.005,0,AD352*(1+AA$6))</f>
        <v/>
      </c>
      <c r="AB353" s="152">
        <f>MIN(AA353,AA$7)</f>
        <v/>
      </c>
      <c r="AC353" s="152">
        <f>MAX(0,MIN(AA353-AB353,AQ353-(E353+I353+M353+Q353+U353+Y353)))</f>
        <v/>
      </c>
      <c r="AD353" s="152">
        <f>AA353-AB353-AC353</f>
        <v/>
      </c>
      <c r="AE353" s="152">
        <f>IF(AH352&lt;=0.005,0,AH352*(1+AE$6))</f>
        <v/>
      </c>
      <c r="AF353" s="152">
        <f>MIN(AE353,AE$7)</f>
        <v/>
      </c>
      <c r="AG353" s="152">
        <f>MAX(0,MIN(AE353-AF353,AQ353-(E353+I353+M353+Q353+U353+Y353+AC353)))</f>
        <v/>
      </c>
      <c r="AH353" s="152">
        <f>AE353-AF353-AG353</f>
        <v/>
      </c>
      <c r="AI353" s="152">
        <f>IF(AL352&lt;=0.005,0,AL352*(1+AI$6))</f>
        <v/>
      </c>
      <c r="AJ353" s="152">
        <f>MIN(AI353,AI$7)</f>
        <v/>
      </c>
      <c r="AK353" s="152">
        <f>MAX(0,MIN(AI353-AJ353,AQ353-(E353+I353+M353+Q353+U353+Y353+AC353+AG353)))</f>
        <v/>
      </c>
      <c r="AL353" s="152">
        <f>AI353-AJ353-AK353</f>
        <v/>
      </c>
      <c r="AM353" s="152">
        <f>IF(AP352&lt;=0.005,0,AP352*(1+AM$6))</f>
        <v/>
      </c>
      <c r="AN353" s="152">
        <f>MIN(AM353,AM$7)</f>
        <v/>
      </c>
      <c r="AO353" s="152">
        <f>MAX(0,MIN(AM353-AN353,AQ353-(E353+I353+M353+Q353+U353+Y353+AC353+AG353+AK353)))</f>
        <v/>
      </c>
      <c r="AP353" s="152">
        <f>AM353-AN353-AO353</f>
        <v/>
      </c>
      <c r="AQ353" s="152">
        <f>'Debt Payoff'!$C$8-SUM(D353,H353,L353,P353,T353,X353,AB353,AF353,AJ353,AN353)</f>
        <v/>
      </c>
      <c r="AR353" s="152">
        <f>SUM(D353,H353,L353,P353,T353,X353,AB353,AF353,AJ353,AN353)+SUM(E353,I353,M353,Q353,U353,Y353,AC353,AG353,AK353,AO353)</f>
        <v/>
      </c>
      <c r="AS353" s="152">
        <f>SUM(F353,J353,N353,R353,V353,Z353,AD353,AH353,AL353,AP353)</f>
        <v/>
      </c>
      <c r="AT353" s="152">
        <f>IF(B353&gt;AS$6,NA(),B353)</f>
        <v/>
      </c>
      <c r="AU353" s="152">
        <f>IF(B353&gt;AS$6,NA(),AS353)</f>
        <v/>
      </c>
      <c r="AV353" s="152" t="n"/>
      <c r="AW353" s="152" t="n">
        <v>342</v>
      </c>
      <c r="AX353" s="152">
        <f>IF(BA352&lt;=0.005,0,BA352*(1+AX$6))</f>
        <v/>
      </c>
      <c r="AY353" s="152">
        <f>MIN(AX353,AX$7)</f>
        <v/>
      </c>
      <c r="AZ353" s="152">
        <f>MAX(0,MIN(AX353-AY353,CL353))</f>
        <v/>
      </c>
      <c r="BA353" s="152">
        <f>AX353-AY353-AZ353</f>
        <v/>
      </c>
      <c r="BB353" s="152">
        <f>IF(BE352&lt;=0.005,0,BE352*(1+BB$6))</f>
        <v/>
      </c>
      <c r="BC353" s="152">
        <f>MIN(BB353,BB$7)</f>
        <v/>
      </c>
      <c r="BD353" s="152">
        <f>MAX(0,MIN(BB353-BC353,CL353-(AZ353)))</f>
        <v/>
      </c>
      <c r="BE353" s="152">
        <f>BB353-BC353-BD353</f>
        <v/>
      </c>
      <c r="BF353" s="152">
        <f>IF(BI352&lt;=0.005,0,BI352*(1+BF$6))</f>
        <v/>
      </c>
      <c r="BG353" s="152">
        <f>MIN(BF353,BF$7)</f>
        <v/>
      </c>
      <c r="BH353" s="152">
        <f>MAX(0,MIN(BF353-BG353,CL353-(AZ353+BD353)))</f>
        <v/>
      </c>
      <c r="BI353" s="152">
        <f>BF353-BG353-BH353</f>
        <v/>
      </c>
      <c r="BJ353" s="152">
        <f>IF(BM352&lt;=0.005,0,BM352*(1+BJ$6))</f>
        <v/>
      </c>
      <c r="BK353" s="152">
        <f>MIN(BJ353,BJ$7)</f>
        <v/>
      </c>
      <c r="BL353" s="152">
        <f>MAX(0,MIN(BJ353-BK353,CL353-(AZ353+BD353+BH353)))</f>
        <v/>
      </c>
      <c r="BM353" s="152">
        <f>BJ353-BK353-BL353</f>
        <v/>
      </c>
      <c r="BN353" s="152">
        <f>IF(BQ352&lt;=0.005,0,BQ352*(1+BN$6))</f>
        <v/>
      </c>
      <c r="BO353" s="152">
        <f>MIN(BN353,BN$7)</f>
        <v/>
      </c>
      <c r="BP353" s="152">
        <f>MAX(0,MIN(BN353-BO353,CL353-(AZ353+BD353+BH353+BL353)))</f>
        <v/>
      </c>
      <c r="BQ353" s="152">
        <f>BN353-BO353-BP353</f>
        <v/>
      </c>
      <c r="BR353" s="152">
        <f>IF(BU352&lt;=0.005,0,BU352*(1+BR$6))</f>
        <v/>
      </c>
      <c r="BS353" s="152">
        <f>MIN(BR353,BR$7)</f>
        <v/>
      </c>
      <c r="BT353" s="152">
        <f>MAX(0,MIN(BR353-BS353,CL353-(AZ353+BD353+BH353+BL353+BP353)))</f>
        <v/>
      </c>
      <c r="BU353" s="152">
        <f>BR353-BS353-BT353</f>
        <v/>
      </c>
      <c r="BV353" s="152">
        <f>IF(BY352&lt;=0.005,0,BY352*(1+BV$6))</f>
        <v/>
      </c>
      <c r="BW353" s="152">
        <f>MIN(BV353,BV$7)</f>
        <v/>
      </c>
      <c r="BX353" s="152">
        <f>MAX(0,MIN(BV353-BW353,CL353-(AZ353+BD353+BH353+BL353+BP353+BT353)))</f>
        <v/>
      </c>
      <c r="BY353" s="152">
        <f>BV353-BW353-BX353</f>
        <v/>
      </c>
      <c r="BZ353" s="152">
        <f>IF(CC352&lt;=0.005,0,CC352*(1+BZ$6))</f>
        <v/>
      </c>
      <c r="CA353" s="152">
        <f>MIN(BZ353,BZ$7)</f>
        <v/>
      </c>
      <c r="CB353" s="152">
        <f>MAX(0,MIN(BZ353-CA353,CL353-(AZ353+BD353+BH353+BL353+BP353+BT353+BX353)))</f>
        <v/>
      </c>
      <c r="CC353" s="152">
        <f>BZ353-CA353-CB353</f>
        <v/>
      </c>
      <c r="CD353" s="152">
        <f>IF(CG352&lt;=0.005,0,CG352*(1+CD$6))</f>
        <v/>
      </c>
      <c r="CE353" s="152">
        <f>MIN(CD353,CD$7)</f>
        <v/>
      </c>
      <c r="CF353" s="152">
        <f>MAX(0,MIN(CD353-CE353,CL353-(AZ353+BD353+BH353+BL353+BP353+BT353+BX353+CB353)))</f>
        <v/>
      </c>
      <c r="CG353" s="152">
        <f>CD353-CE353-CF353</f>
        <v/>
      </c>
      <c r="CH353" s="152">
        <f>IF(CK352&lt;=0.005,0,CK352*(1+CH$6))</f>
        <v/>
      </c>
      <c r="CI353" s="152">
        <f>MIN(CH353,CH$7)</f>
        <v/>
      </c>
      <c r="CJ353" s="152">
        <f>MAX(0,MIN(CH353-CI353,CL353-(AZ353+BD353+BH353+BL353+BP353+BT353+BX353+CB353+CF353)))</f>
        <v/>
      </c>
      <c r="CK353" s="152">
        <f>CH353-CI353-CJ353</f>
        <v/>
      </c>
      <c r="CL353" s="152">
        <f>'Debt Payoff'!$C$8-SUM(AY353,BC353,BG353,BK353,BO353,BS353,BW353,CA353,CE353,CI353)</f>
        <v/>
      </c>
      <c r="CM353" s="152">
        <f>SUM(AY353,BC353,BG353,BK353,BO353,BS353,BW353,CA353,CE353,CI353)+SUM(AZ353,BD353,BH353,BL353,BP353,BT353,BX353,CB353,CF353,CJ353)</f>
        <v/>
      </c>
      <c r="CN353" s="152">
        <f>SUM(BA353,BE353,BI353,BM353,BQ353,BU353,BY353,CC353,CG353,CK353)</f>
        <v/>
      </c>
      <c r="CO353" s="152">
        <f>IF(AW353&gt;CN$6,NA(),AW353)</f>
        <v/>
      </c>
      <c r="CP353" s="152">
        <f>IF(AW353&gt;CN$6,NA(),CN353)</f>
        <v/>
      </c>
    </row>
    <row r="354">
      <c r="B354" s="152" t="n">
        <v>343</v>
      </c>
      <c r="C354" s="152">
        <f>IF(F353&lt;=0.005,0,F353*(1+C$6))</f>
        <v/>
      </c>
      <c r="D354" s="152">
        <f>MIN(C354,C$7)</f>
        <v/>
      </c>
      <c r="E354" s="152">
        <f>MAX(0,MIN(C354-D354,AQ354))</f>
        <v/>
      </c>
      <c r="F354" s="152">
        <f>C354-D354-E354</f>
        <v/>
      </c>
      <c r="G354" s="152">
        <f>IF(J353&lt;=0.005,0,J353*(1+G$6))</f>
        <v/>
      </c>
      <c r="H354" s="152">
        <f>MIN(G354,G$7)</f>
        <v/>
      </c>
      <c r="I354" s="152">
        <f>MAX(0,MIN(G354-H354,AQ354-(E354)))</f>
        <v/>
      </c>
      <c r="J354" s="152">
        <f>G354-H354-I354</f>
        <v/>
      </c>
      <c r="K354" s="152">
        <f>IF(N353&lt;=0.005,0,N353*(1+K$6))</f>
        <v/>
      </c>
      <c r="L354" s="152">
        <f>MIN(K354,K$7)</f>
        <v/>
      </c>
      <c r="M354" s="152">
        <f>MAX(0,MIN(K354-L354,AQ354-(E354+I354)))</f>
        <v/>
      </c>
      <c r="N354" s="152">
        <f>K354-L354-M354</f>
        <v/>
      </c>
      <c r="O354" s="152">
        <f>IF(R353&lt;=0.005,0,R353*(1+O$6))</f>
        <v/>
      </c>
      <c r="P354" s="152">
        <f>MIN(O354,O$7)</f>
        <v/>
      </c>
      <c r="Q354" s="152">
        <f>MAX(0,MIN(O354-P354,AQ354-(E354+I354+M354)))</f>
        <v/>
      </c>
      <c r="R354" s="152">
        <f>O354-P354-Q354</f>
        <v/>
      </c>
      <c r="S354" s="152">
        <f>IF(V353&lt;=0.005,0,V353*(1+S$6))</f>
        <v/>
      </c>
      <c r="T354" s="152">
        <f>MIN(S354,S$7)</f>
        <v/>
      </c>
      <c r="U354" s="152">
        <f>MAX(0,MIN(S354-T354,AQ354-(E354+I354+M354+Q354)))</f>
        <v/>
      </c>
      <c r="V354" s="152">
        <f>S354-T354-U354</f>
        <v/>
      </c>
      <c r="W354" s="152">
        <f>IF(Z353&lt;=0.005,0,Z353*(1+W$6))</f>
        <v/>
      </c>
      <c r="X354" s="152">
        <f>MIN(W354,W$7)</f>
        <v/>
      </c>
      <c r="Y354" s="152">
        <f>MAX(0,MIN(W354-X354,AQ354-(E354+I354+M354+Q354+U354)))</f>
        <v/>
      </c>
      <c r="Z354" s="152">
        <f>W354-X354-Y354</f>
        <v/>
      </c>
      <c r="AA354" s="152">
        <f>IF(AD353&lt;=0.005,0,AD353*(1+AA$6))</f>
        <v/>
      </c>
      <c r="AB354" s="152">
        <f>MIN(AA354,AA$7)</f>
        <v/>
      </c>
      <c r="AC354" s="152">
        <f>MAX(0,MIN(AA354-AB354,AQ354-(E354+I354+M354+Q354+U354+Y354)))</f>
        <v/>
      </c>
      <c r="AD354" s="152">
        <f>AA354-AB354-AC354</f>
        <v/>
      </c>
      <c r="AE354" s="152">
        <f>IF(AH353&lt;=0.005,0,AH353*(1+AE$6))</f>
        <v/>
      </c>
      <c r="AF354" s="152">
        <f>MIN(AE354,AE$7)</f>
        <v/>
      </c>
      <c r="AG354" s="152">
        <f>MAX(0,MIN(AE354-AF354,AQ354-(E354+I354+M354+Q354+U354+Y354+AC354)))</f>
        <v/>
      </c>
      <c r="AH354" s="152">
        <f>AE354-AF354-AG354</f>
        <v/>
      </c>
      <c r="AI354" s="152">
        <f>IF(AL353&lt;=0.005,0,AL353*(1+AI$6))</f>
        <v/>
      </c>
      <c r="AJ354" s="152">
        <f>MIN(AI354,AI$7)</f>
        <v/>
      </c>
      <c r="AK354" s="152">
        <f>MAX(0,MIN(AI354-AJ354,AQ354-(E354+I354+M354+Q354+U354+Y354+AC354+AG354)))</f>
        <v/>
      </c>
      <c r="AL354" s="152">
        <f>AI354-AJ354-AK354</f>
        <v/>
      </c>
      <c r="AM354" s="152">
        <f>IF(AP353&lt;=0.005,0,AP353*(1+AM$6))</f>
        <v/>
      </c>
      <c r="AN354" s="152">
        <f>MIN(AM354,AM$7)</f>
        <v/>
      </c>
      <c r="AO354" s="152">
        <f>MAX(0,MIN(AM354-AN354,AQ354-(E354+I354+M354+Q354+U354+Y354+AC354+AG354+AK354)))</f>
        <v/>
      </c>
      <c r="AP354" s="152">
        <f>AM354-AN354-AO354</f>
        <v/>
      </c>
      <c r="AQ354" s="152">
        <f>'Debt Payoff'!$C$8-SUM(D354,H354,L354,P354,T354,X354,AB354,AF354,AJ354,AN354)</f>
        <v/>
      </c>
      <c r="AR354" s="152">
        <f>SUM(D354,H354,L354,P354,T354,X354,AB354,AF354,AJ354,AN354)+SUM(E354,I354,M354,Q354,U354,Y354,AC354,AG354,AK354,AO354)</f>
        <v/>
      </c>
      <c r="AS354" s="152">
        <f>SUM(F354,J354,N354,R354,V354,Z354,AD354,AH354,AL354,AP354)</f>
        <v/>
      </c>
      <c r="AT354" s="152">
        <f>IF(B354&gt;AS$6,NA(),B354)</f>
        <v/>
      </c>
      <c r="AU354" s="152">
        <f>IF(B354&gt;AS$6,NA(),AS354)</f>
        <v/>
      </c>
      <c r="AV354" s="152" t="n"/>
      <c r="AW354" s="152" t="n">
        <v>343</v>
      </c>
      <c r="AX354" s="152">
        <f>IF(BA353&lt;=0.005,0,BA353*(1+AX$6))</f>
        <v/>
      </c>
      <c r="AY354" s="152">
        <f>MIN(AX354,AX$7)</f>
        <v/>
      </c>
      <c r="AZ354" s="152">
        <f>MAX(0,MIN(AX354-AY354,CL354))</f>
        <v/>
      </c>
      <c r="BA354" s="152">
        <f>AX354-AY354-AZ354</f>
        <v/>
      </c>
      <c r="BB354" s="152">
        <f>IF(BE353&lt;=0.005,0,BE353*(1+BB$6))</f>
        <v/>
      </c>
      <c r="BC354" s="152">
        <f>MIN(BB354,BB$7)</f>
        <v/>
      </c>
      <c r="BD354" s="152">
        <f>MAX(0,MIN(BB354-BC354,CL354-(AZ354)))</f>
        <v/>
      </c>
      <c r="BE354" s="152">
        <f>BB354-BC354-BD354</f>
        <v/>
      </c>
      <c r="BF354" s="152">
        <f>IF(BI353&lt;=0.005,0,BI353*(1+BF$6))</f>
        <v/>
      </c>
      <c r="BG354" s="152">
        <f>MIN(BF354,BF$7)</f>
        <v/>
      </c>
      <c r="BH354" s="152">
        <f>MAX(0,MIN(BF354-BG354,CL354-(AZ354+BD354)))</f>
        <v/>
      </c>
      <c r="BI354" s="152">
        <f>BF354-BG354-BH354</f>
        <v/>
      </c>
      <c r="BJ354" s="152">
        <f>IF(BM353&lt;=0.005,0,BM353*(1+BJ$6))</f>
        <v/>
      </c>
      <c r="BK354" s="152">
        <f>MIN(BJ354,BJ$7)</f>
        <v/>
      </c>
      <c r="BL354" s="152">
        <f>MAX(0,MIN(BJ354-BK354,CL354-(AZ354+BD354+BH354)))</f>
        <v/>
      </c>
      <c r="BM354" s="152">
        <f>BJ354-BK354-BL354</f>
        <v/>
      </c>
      <c r="BN354" s="152">
        <f>IF(BQ353&lt;=0.005,0,BQ353*(1+BN$6))</f>
        <v/>
      </c>
      <c r="BO354" s="152">
        <f>MIN(BN354,BN$7)</f>
        <v/>
      </c>
      <c r="BP354" s="152">
        <f>MAX(0,MIN(BN354-BO354,CL354-(AZ354+BD354+BH354+BL354)))</f>
        <v/>
      </c>
      <c r="BQ354" s="152">
        <f>BN354-BO354-BP354</f>
        <v/>
      </c>
      <c r="BR354" s="152">
        <f>IF(BU353&lt;=0.005,0,BU353*(1+BR$6))</f>
        <v/>
      </c>
      <c r="BS354" s="152">
        <f>MIN(BR354,BR$7)</f>
        <v/>
      </c>
      <c r="BT354" s="152">
        <f>MAX(0,MIN(BR354-BS354,CL354-(AZ354+BD354+BH354+BL354+BP354)))</f>
        <v/>
      </c>
      <c r="BU354" s="152">
        <f>BR354-BS354-BT354</f>
        <v/>
      </c>
      <c r="BV354" s="152">
        <f>IF(BY353&lt;=0.005,0,BY353*(1+BV$6))</f>
        <v/>
      </c>
      <c r="BW354" s="152">
        <f>MIN(BV354,BV$7)</f>
        <v/>
      </c>
      <c r="BX354" s="152">
        <f>MAX(0,MIN(BV354-BW354,CL354-(AZ354+BD354+BH354+BL354+BP354+BT354)))</f>
        <v/>
      </c>
      <c r="BY354" s="152">
        <f>BV354-BW354-BX354</f>
        <v/>
      </c>
      <c r="BZ354" s="152">
        <f>IF(CC353&lt;=0.005,0,CC353*(1+BZ$6))</f>
        <v/>
      </c>
      <c r="CA354" s="152">
        <f>MIN(BZ354,BZ$7)</f>
        <v/>
      </c>
      <c r="CB354" s="152">
        <f>MAX(0,MIN(BZ354-CA354,CL354-(AZ354+BD354+BH354+BL354+BP354+BT354+BX354)))</f>
        <v/>
      </c>
      <c r="CC354" s="152">
        <f>BZ354-CA354-CB354</f>
        <v/>
      </c>
      <c r="CD354" s="152">
        <f>IF(CG353&lt;=0.005,0,CG353*(1+CD$6))</f>
        <v/>
      </c>
      <c r="CE354" s="152">
        <f>MIN(CD354,CD$7)</f>
        <v/>
      </c>
      <c r="CF354" s="152">
        <f>MAX(0,MIN(CD354-CE354,CL354-(AZ354+BD354+BH354+BL354+BP354+BT354+BX354+CB354)))</f>
        <v/>
      </c>
      <c r="CG354" s="152">
        <f>CD354-CE354-CF354</f>
        <v/>
      </c>
      <c r="CH354" s="152">
        <f>IF(CK353&lt;=0.005,0,CK353*(1+CH$6))</f>
        <v/>
      </c>
      <c r="CI354" s="152">
        <f>MIN(CH354,CH$7)</f>
        <v/>
      </c>
      <c r="CJ354" s="152">
        <f>MAX(0,MIN(CH354-CI354,CL354-(AZ354+BD354+BH354+BL354+BP354+BT354+BX354+CB354+CF354)))</f>
        <v/>
      </c>
      <c r="CK354" s="152">
        <f>CH354-CI354-CJ354</f>
        <v/>
      </c>
      <c r="CL354" s="152">
        <f>'Debt Payoff'!$C$8-SUM(AY354,BC354,BG354,BK354,BO354,BS354,BW354,CA354,CE354,CI354)</f>
        <v/>
      </c>
      <c r="CM354" s="152">
        <f>SUM(AY354,BC354,BG354,BK354,BO354,BS354,BW354,CA354,CE354,CI354)+SUM(AZ354,BD354,BH354,BL354,BP354,BT354,BX354,CB354,CF354,CJ354)</f>
        <v/>
      </c>
      <c r="CN354" s="152">
        <f>SUM(BA354,BE354,BI354,BM354,BQ354,BU354,BY354,CC354,CG354,CK354)</f>
        <v/>
      </c>
      <c r="CO354" s="152">
        <f>IF(AW354&gt;CN$6,NA(),AW354)</f>
        <v/>
      </c>
      <c r="CP354" s="152">
        <f>IF(AW354&gt;CN$6,NA(),CN354)</f>
        <v/>
      </c>
    </row>
    <row r="355">
      <c r="B355" s="152" t="n">
        <v>344</v>
      </c>
      <c r="C355" s="152">
        <f>IF(F354&lt;=0.005,0,F354*(1+C$6))</f>
        <v/>
      </c>
      <c r="D355" s="152">
        <f>MIN(C355,C$7)</f>
        <v/>
      </c>
      <c r="E355" s="152">
        <f>MAX(0,MIN(C355-D355,AQ355))</f>
        <v/>
      </c>
      <c r="F355" s="152">
        <f>C355-D355-E355</f>
        <v/>
      </c>
      <c r="G355" s="152">
        <f>IF(J354&lt;=0.005,0,J354*(1+G$6))</f>
        <v/>
      </c>
      <c r="H355" s="152">
        <f>MIN(G355,G$7)</f>
        <v/>
      </c>
      <c r="I355" s="152">
        <f>MAX(0,MIN(G355-H355,AQ355-(E355)))</f>
        <v/>
      </c>
      <c r="J355" s="152">
        <f>G355-H355-I355</f>
        <v/>
      </c>
      <c r="K355" s="152">
        <f>IF(N354&lt;=0.005,0,N354*(1+K$6))</f>
        <v/>
      </c>
      <c r="L355" s="152">
        <f>MIN(K355,K$7)</f>
        <v/>
      </c>
      <c r="M355" s="152">
        <f>MAX(0,MIN(K355-L355,AQ355-(E355+I355)))</f>
        <v/>
      </c>
      <c r="N355" s="152">
        <f>K355-L355-M355</f>
        <v/>
      </c>
      <c r="O355" s="152">
        <f>IF(R354&lt;=0.005,0,R354*(1+O$6))</f>
        <v/>
      </c>
      <c r="P355" s="152">
        <f>MIN(O355,O$7)</f>
        <v/>
      </c>
      <c r="Q355" s="152">
        <f>MAX(0,MIN(O355-P355,AQ355-(E355+I355+M355)))</f>
        <v/>
      </c>
      <c r="R355" s="152">
        <f>O355-P355-Q355</f>
        <v/>
      </c>
      <c r="S355" s="152">
        <f>IF(V354&lt;=0.005,0,V354*(1+S$6))</f>
        <v/>
      </c>
      <c r="T355" s="152">
        <f>MIN(S355,S$7)</f>
        <v/>
      </c>
      <c r="U355" s="152">
        <f>MAX(0,MIN(S355-T355,AQ355-(E355+I355+M355+Q355)))</f>
        <v/>
      </c>
      <c r="V355" s="152">
        <f>S355-T355-U355</f>
        <v/>
      </c>
      <c r="W355" s="152">
        <f>IF(Z354&lt;=0.005,0,Z354*(1+W$6))</f>
        <v/>
      </c>
      <c r="X355" s="152">
        <f>MIN(W355,W$7)</f>
        <v/>
      </c>
      <c r="Y355" s="152">
        <f>MAX(0,MIN(W355-X355,AQ355-(E355+I355+M355+Q355+U355)))</f>
        <v/>
      </c>
      <c r="Z355" s="152">
        <f>W355-X355-Y355</f>
        <v/>
      </c>
      <c r="AA355" s="152">
        <f>IF(AD354&lt;=0.005,0,AD354*(1+AA$6))</f>
        <v/>
      </c>
      <c r="AB355" s="152">
        <f>MIN(AA355,AA$7)</f>
        <v/>
      </c>
      <c r="AC355" s="152">
        <f>MAX(0,MIN(AA355-AB355,AQ355-(E355+I355+M355+Q355+U355+Y355)))</f>
        <v/>
      </c>
      <c r="AD355" s="152">
        <f>AA355-AB355-AC355</f>
        <v/>
      </c>
      <c r="AE355" s="152">
        <f>IF(AH354&lt;=0.005,0,AH354*(1+AE$6))</f>
        <v/>
      </c>
      <c r="AF355" s="152">
        <f>MIN(AE355,AE$7)</f>
        <v/>
      </c>
      <c r="AG355" s="152">
        <f>MAX(0,MIN(AE355-AF355,AQ355-(E355+I355+M355+Q355+U355+Y355+AC355)))</f>
        <v/>
      </c>
      <c r="AH355" s="152">
        <f>AE355-AF355-AG355</f>
        <v/>
      </c>
      <c r="AI355" s="152">
        <f>IF(AL354&lt;=0.005,0,AL354*(1+AI$6))</f>
        <v/>
      </c>
      <c r="AJ355" s="152">
        <f>MIN(AI355,AI$7)</f>
        <v/>
      </c>
      <c r="AK355" s="152">
        <f>MAX(0,MIN(AI355-AJ355,AQ355-(E355+I355+M355+Q355+U355+Y355+AC355+AG355)))</f>
        <v/>
      </c>
      <c r="AL355" s="152">
        <f>AI355-AJ355-AK355</f>
        <v/>
      </c>
      <c r="AM355" s="152">
        <f>IF(AP354&lt;=0.005,0,AP354*(1+AM$6))</f>
        <v/>
      </c>
      <c r="AN355" s="152">
        <f>MIN(AM355,AM$7)</f>
        <v/>
      </c>
      <c r="AO355" s="152">
        <f>MAX(0,MIN(AM355-AN355,AQ355-(E355+I355+M355+Q355+U355+Y355+AC355+AG355+AK355)))</f>
        <v/>
      </c>
      <c r="AP355" s="152">
        <f>AM355-AN355-AO355</f>
        <v/>
      </c>
      <c r="AQ355" s="152">
        <f>'Debt Payoff'!$C$8-SUM(D355,H355,L355,P355,T355,X355,AB355,AF355,AJ355,AN355)</f>
        <v/>
      </c>
      <c r="AR355" s="152">
        <f>SUM(D355,H355,L355,P355,T355,X355,AB355,AF355,AJ355,AN355)+SUM(E355,I355,M355,Q355,U355,Y355,AC355,AG355,AK355,AO355)</f>
        <v/>
      </c>
      <c r="AS355" s="152">
        <f>SUM(F355,J355,N355,R355,V355,Z355,AD355,AH355,AL355,AP355)</f>
        <v/>
      </c>
      <c r="AT355" s="152">
        <f>IF(B355&gt;AS$6,NA(),B355)</f>
        <v/>
      </c>
      <c r="AU355" s="152">
        <f>IF(B355&gt;AS$6,NA(),AS355)</f>
        <v/>
      </c>
      <c r="AV355" s="152" t="n"/>
      <c r="AW355" s="152" t="n">
        <v>344</v>
      </c>
      <c r="AX355" s="152">
        <f>IF(BA354&lt;=0.005,0,BA354*(1+AX$6))</f>
        <v/>
      </c>
      <c r="AY355" s="152">
        <f>MIN(AX355,AX$7)</f>
        <v/>
      </c>
      <c r="AZ355" s="152">
        <f>MAX(0,MIN(AX355-AY355,CL355))</f>
        <v/>
      </c>
      <c r="BA355" s="152">
        <f>AX355-AY355-AZ355</f>
        <v/>
      </c>
      <c r="BB355" s="152">
        <f>IF(BE354&lt;=0.005,0,BE354*(1+BB$6))</f>
        <v/>
      </c>
      <c r="BC355" s="152">
        <f>MIN(BB355,BB$7)</f>
        <v/>
      </c>
      <c r="BD355" s="152">
        <f>MAX(0,MIN(BB355-BC355,CL355-(AZ355)))</f>
        <v/>
      </c>
      <c r="BE355" s="152">
        <f>BB355-BC355-BD355</f>
        <v/>
      </c>
      <c r="BF355" s="152">
        <f>IF(BI354&lt;=0.005,0,BI354*(1+BF$6))</f>
        <v/>
      </c>
      <c r="BG355" s="152">
        <f>MIN(BF355,BF$7)</f>
        <v/>
      </c>
      <c r="BH355" s="152">
        <f>MAX(0,MIN(BF355-BG355,CL355-(AZ355+BD355)))</f>
        <v/>
      </c>
      <c r="BI355" s="152">
        <f>BF355-BG355-BH355</f>
        <v/>
      </c>
      <c r="BJ355" s="152">
        <f>IF(BM354&lt;=0.005,0,BM354*(1+BJ$6))</f>
        <v/>
      </c>
      <c r="BK355" s="152">
        <f>MIN(BJ355,BJ$7)</f>
        <v/>
      </c>
      <c r="BL355" s="152">
        <f>MAX(0,MIN(BJ355-BK355,CL355-(AZ355+BD355+BH355)))</f>
        <v/>
      </c>
      <c r="BM355" s="152">
        <f>BJ355-BK355-BL355</f>
        <v/>
      </c>
      <c r="BN355" s="152">
        <f>IF(BQ354&lt;=0.005,0,BQ354*(1+BN$6))</f>
        <v/>
      </c>
      <c r="BO355" s="152">
        <f>MIN(BN355,BN$7)</f>
        <v/>
      </c>
      <c r="BP355" s="152">
        <f>MAX(0,MIN(BN355-BO355,CL355-(AZ355+BD355+BH355+BL355)))</f>
        <v/>
      </c>
      <c r="BQ355" s="152">
        <f>BN355-BO355-BP355</f>
        <v/>
      </c>
      <c r="BR355" s="152">
        <f>IF(BU354&lt;=0.005,0,BU354*(1+BR$6))</f>
        <v/>
      </c>
      <c r="BS355" s="152">
        <f>MIN(BR355,BR$7)</f>
        <v/>
      </c>
      <c r="BT355" s="152">
        <f>MAX(0,MIN(BR355-BS355,CL355-(AZ355+BD355+BH355+BL355+BP355)))</f>
        <v/>
      </c>
      <c r="BU355" s="152">
        <f>BR355-BS355-BT355</f>
        <v/>
      </c>
      <c r="BV355" s="152">
        <f>IF(BY354&lt;=0.005,0,BY354*(1+BV$6))</f>
        <v/>
      </c>
      <c r="BW355" s="152">
        <f>MIN(BV355,BV$7)</f>
        <v/>
      </c>
      <c r="BX355" s="152">
        <f>MAX(0,MIN(BV355-BW355,CL355-(AZ355+BD355+BH355+BL355+BP355+BT355)))</f>
        <v/>
      </c>
      <c r="BY355" s="152">
        <f>BV355-BW355-BX355</f>
        <v/>
      </c>
      <c r="BZ355" s="152">
        <f>IF(CC354&lt;=0.005,0,CC354*(1+BZ$6))</f>
        <v/>
      </c>
      <c r="CA355" s="152">
        <f>MIN(BZ355,BZ$7)</f>
        <v/>
      </c>
      <c r="CB355" s="152">
        <f>MAX(0,MIN(BZ355-CA355,CL355-(AZ355+BD355+BH355+BL355+BP355+BT355+BX355)))</f>
        <v/>
      </c>
      <c r="CC355" s="152">
        <f>BZ355-CA355-CB355</f>
        <v/>
      </c>
      <c r="CD355" s="152">
        <f>IF(CG354&lt;=0.005,0,CG354*(1+CD$6))</f>
        <v/>
      </c>
      <c r="CE355" s="152">
        <f>MIN(CD355,CD$7)</f>
        <v/>
      </c>
      <c r="CF355" s="152">
        <f>MAX(0,MIN(CD355-CE355,CL355-(AZ355+BD355+BH355+BL355+BP355+BT355+BX355+CB355)))</f>
        <v/>
      </c>
      <c r="CG355" s="152">
        <f>CD355-CE355-CF355</f>
        <v/>
      </c>
      <c r="CH355" s="152">
        <f>IF(CK354&lt;=0.005,0,CK354*(1+CH$6))</f>
        <v/>
      </c>
      <c r="CI355" s="152">
        <f>MIN(CH355,CH$7)</f>
        <v/>
      </c>
      <c r="CJ355" s="152">
        <f>MAX(0,MIN(CH355-CI355,CL355-(AZ355+BD355+BH355+BL355+BP355+BT355+BX355+CB355+CF355)))</f>
        <v/>
      </c>
      <c r="CK355" s="152">
        <f>CH355-CI355-CJ355</f>
        <v/>
      </c>
      <c r="CL355" s="152">
        <f>'Debt Payoff'!$C$8-SUM(AY355,BC355,BG355,BK355,BO355,BS355,BW355,CA355,CE355,CI355)</f>
        <v/>
      </c>
      <c r="CM355" s="152">
        <f>SUM(AY355,BC355,BG355,BK355,BO355,BS355,BW355,CA355,CE355,CI355)+SUM(AZ355,BD355,BH355,BL355,BP355,BT355,BX355,CB355,CF355,CJ355)</f>
        <v/>
      </c>
      <c r="CN355" s="152">
        <f>SUM(BA355,BE355,BI355,BM355,BQ355,BU355,BY355,CC355,CG355,CK355)</f>
        <v/>
      </c>
      <c r="CO355" s="152">
        <f>IF(AW355&gt;CN$6,NA(),AW355)</f>
        <v/>
      </c>
      <c r="CP355" s="152">
        <f>IF(AW355&gt;CN$6,NA(),CN355)</f>
        <v/>
      </c>
    </row>
    <row r="356">
      <c r="B356" s="152" t="n">
        <v>345</v>
      </c>
      <c r="C356" s="152">
        <f>IF(F355&lt;=0.005,0,F355*(1+C$6))</f>
        <v/>
      </c>
      <c r="D356" s="152">
        <f>MIN(C356,C$7)</f>
        <v/>
      </c>
      <c r="E356" s="152">
        <f>MAX(0,MIN(C356-D356,AQ356))</f>
        <v/>
      </c>
      <c r="F356" s="152">
        <f>C356-D356-E356</f>
        <v/>
      </c>
      <c r="G356" s="152">
        <f>IF(J355&lt;=0.005,0,J355*(1+G$6))</f>
        <v/>
      </c>
      <c r="H356" s="152">
        <f>MIN(G356,G$7)</f>
        <v/>
      </c>
      <c r="I356" s="152">
        <f>MAX(0,MIN(G356-H356,AQ356-(E356)))</f>
        <v/>
      </c>
      <c r="J356" s="152">
        <f>G356-H356-I356</f>
        <v/>
      </c>
      <c r="K356" s="152">
        <f>IF(N355&lt;=0.005,0,N355*(1+K$6))</f>
        <v/>
      </c>
      <c r="L356" s="152">
        <f>MIN(K356,K$7)</f>
        <v/>
      </c>
      <c r="M356" s="152">
        <f>MAX(0,MIN(K356-L356,AQ356-(E356+I356)))</f>
        <v/>
      </c>
      <c r="N356" s="152">
        <f>K356-L356-M356</f>
        <v/>
      </c>
      <c r="O356" s="152">
        <f>IF(R355&lt;=0.005,0,R355*(1+O$6))</f>
        <v/>
      </c>
      <c r="P356" s="152">
        <f>MIN(O356,O$7)</f>
        <v/>
      </c>
      <c r="Q356" s="152">
        <f>MAX(0,MIN(O356-P356,AQ356-(E356+I356+M356)))</f>
        <v/>
      </c>
      <c r="R356" s="152">
        <f>O356-P356-Q356</f>
        <v/>
      </c>
      <c r="S356" s="152">
        <f>IF(V355&lt;=0.005,0,V355*(1+S$6))</f>
        <v/>
      </c>
      <c r="T356" s="152">
        <f>MIN(S356,S$7)</f>
        <v/>
      </c>
      <c r="U356" s="152">
        <f>MAX(0,MIN(S356-T356,AQ356-(E356+I356+M356+Q356)))</f>
        <v/>
      </c>
      <c r="V356" s="152">
        <f>S356-T356-U356</f>
        <v/>
      </c>
      <c r="W356" s="152">
        <f>IF(Z355&lt;=0.005,0,Z355*(1+W$6))</f>
        <v/>
      </c>
      <c r="X356" s="152">
        <f>MIN(W356,W$7)</f>
        <v/>
      </c>
      <c r="Y356" s="152">
        <f>MAX(0,MIN(W356-X356,AQ356-(E356+I356+M356+Q356+U356)))</f>
        <v/>
      </c>
      <c r="Z356" s="152">
        <f>W356-X356-Y356</f>
        <v/>
      </c>
      <c r="AA356" s="152">
        <f>IF(AD355&lt;=0.005,0,AD355*(1+AA$6))</f>
        <v/>
      </c>
      <c r="AB356" s="152">
        <f>MIN(AA356,AA$7)</f>
        <v/>
      </c>
      <c r="AC356" s="152">
        <f>MAX(0,MIN(AA356-AB356,AQ356-(E356+I356+M356+Q356+U356+Y356)))</f>
        <v/>
      </c>
      <c r="AD356" s="152">
        <f>AA356-AB356-AC356</f>
        <v/>
      </c>
      <c r="AE356" s="152">
        <f>IF(AH355&lt;=0.005,0,AH355*(1+AE$6))</f>
        <v/>
      </c>
      <c r="AF356" s="152">
        <f>MIN(AE356,AE$7)</f>
        <v/>
      </c>
      <c r="AG356" s="152">
        <f>MAX(0,MIN(AE356-AF356,AQ356-(E356+I356+M356+Q356+U356+Y356+AC356)))</f>
        <v/>
      </c>
      <c r="AH356" s="152">
        <f>AE356-AF356-AG356</f>
        <v/>
      </c>
      <c r="AI356" s="152">
        <f>IF(AL355&lt;=0.005,0,AL355*(1+AI$6))</f>
        <v/>
      </c>
      <c r="AJ356" s="152">
        <f>MIN(AI356,AI$7)</f>
        <v/>
      </c>
      <c r="AK356" s="152">
        <f>MAX(0,MIN(AI356-AJ356,AQ356-(E356+I356+M356+Q356+U356+Y356+AC356+AG356)))</f>
        <v/>
      </c>
      <c r="AL356" s="152">
        <f>AI356-AJ356-AK356</f>
        <v/>
      </c>
      <c r="AM356" s="152">
        <f>IF(AP355&lt;=0.005,0,AP355*(1+AM$6))</f>
        <v/>
      </c>
      <c r="AN356" s="152">
        <f>MIN(AM356,AM$7)</f>
        <v/>
      </c>
      <c r="AO356" s="152">
        <f>MAX(0,MIN(AM356-AN356,AQ356-(E356+I356+M356+Q356+U356+Y356+AC356+AG356+AK356)))</f>
        <v/>
      </c>
      <c r="AP356" s="152">
        <f>AM356-AN356-AO356</f>
        <v/>
      </c>
      <c r="AQ356" s="152">
        <f>'Debt Payoff'!$C$8-SUM(D356,H356,L356,P356,T356,X356,AB356,AF356,AJ356,AN356)</f>
        <v/>
      </c>
      <c r="AR356" s="152">
        <f>SUM(D356,H356,L356,P356,T356,X356,AB356,AF356,AJ356,AN356)+SUM(E356,I356,M356,Q356,U356,Y356,AC356,AG356,AK356,AO356)</f>
        <v/>
      </c>
      <c r="AS356" s="152">
        <f>SUM(F356,J356,N356,R356,V356,Z356,AD356,AH356,AL356,AP356)</f>
        <v/>
      </c>
      <c r="AT356" s="152">
        <f>IF(B356&gt;AS$6,NA(),B356)</f>
        <v/>
      </c>
      <c r="AU356" s="152">
        <f>IF(B356&gt;AS$6,NA(),AS356)</f>
        <v/>
      </c>
      <c r="AV356" s="152" t="n"/>
      <c r="AW356" s="152" t="n">
        <v>345</v>
      </c>
      <c r="AX356" s="152">
        <f>IF(BA355&lt;=0.005,0,BA355*(1+AX$6))</f>
        <v/>
      </c>
      <c r="AY356" s="152">
        <f>MIN(AX356,AX$7)</f>
        <v/>
      </c>
      <c r="AZ356" s="152">
        <f>MAX(0,MIN(AX356-AY356,CL356))</f>
        <v/>
      </c>
      <c r="BA356" s="152">
        <f>AX356-AY356-AZ356</f>
        <v/>
      </c>
      <c r="BB356" s="152">
        <f>IF(BE355&lt;=0.005,0,BE355*(1+BB$6))</f>
        <v/>
      </c>
      <c r="BC356" s="152">
        <f>MIN(BB356,BB$7)</f>
        <v/>
      </c>
      <c r="BD356" s="152">
        <f>MAX(0,MIN(BB356-BC356,CL356-(AZ356)))</f>
        <v/>
      </c>
      <c r="BE356" s="152">
        <f>BB356-BC356-BD356</f>
        <v/>
      </c>
      <c r="BF356" s="152">
        <f>IF(BI355&lt;=0.005,0,BI355*(1+BF$6))</f>
        <v/>
      </c>
      <c r="BG356" s="152">
        <f>MIN(BF356,BF$7)</f>
        <v/>
      </c>
      <c r="BH356" s="152">
        <f>MAX(0,MIN(BF356-BG356,CL356-(AZ356+BD356)))</f>
        <v/>
      </c>
      <c r="BI356" s="152">
        <f>BF356-BG356-BH356</f>
        <v/>
      </c>
      <c r="BJ356" s="152">
        <f>IF(BM355&lt;=0.005,0,BM355*(1+BJ$6))</f>
        <v/>
      </c>
      <c r="BK356" s="152">
        <f>MIN(BJ356,BJ$7)</f>
        <v/>
      </c>
      <c r="BL356" s="152">
        <f>MAX(0,MIN(BJ356-BK356,CL356-(AZ356+BD356+BH356)))</f>
        <v/>
      </c>
      <c r="BM356" s="152">
        <f>BJ356-BK356-BL356</f>
        <v/>
      </c>
      <c r="BN356" s="152">
        <f>IF(BQ355&lt;=0.005,0,BQ355*(1+BN$6))</f>
        <v/>
      </c>
      <c r="BO356" s="152">
        <f>MIN(BN356,BN$7)</f>
        <v/>
      </c>
      <c r="BP356" s="152">
        <f>MAX(0,MIN(BN356-BO356,CL356-(AZ356+BD356+BH356+BL356)))</f>
        <v/>
      </c>
      <c r="BQ356" s="152">
        <f>BN356-BO356-BP356</f>
        <v/>
      </c>
      <c r="BR356" s="152">
        <f>IF(BU355&lt;=0.005,0,BU355*(1+BR$6))</f>
        <v/>
      </c>
      <c r="BS356" s="152">
        <f>MIN(BR356,BR$7)</f>
        <v/>
      </c>
      <c r="BT356" s="152">
        <f>MAX(0,MIN(BR356-BS356,CL356-(AZ356+BD356+BH356+BL356+BP356)))</f>
        <v/>
      </c>
      <c r="BU356" s="152">
        <f>BR356-BS356-BT356</f>
        <v/>
      </c>
      <c r="BV356" s="152">
        <f>IF(BY355&lt;=0.005,0,BY355*(1+BV$6))</f>
        <v/>
      </c>
      <c r="BW356" s="152">
        <f>MIN(BV356,BV$7)</f>
        <v/>
      </c>
      <c r="BX356" s="152">
        <f>MAX(0,MIN(BV356-BW356,CL356-(AZ356+BD356+BH356+BL356+BP356+BT356)))</f>
        <v/>
      </c>
      <c r="BY356" s="152">
        <f>BV356-BW356-BX356</f>
        <v/>
      </c>
      <c r="BZ356" s="152">
        <f>IF(CC355&lt;=0.005,0,CC355*(1+BZ$6))</f>
        <v/>
      </c>
      <c r="CA356" s="152">
        <f>MIN(BZ356,BZ$7)</f>
        <v/>
      </c>
      <c r="CB356" s="152">
        <f>MAX(0,MIN(BZ356-CA356,CL356-(AZ356+BD356+BH356+BL356+BP356+BT356+BX356)))</f>
        <v/>
      </c>
      <c r="CC356" s="152">
        <f>BZ356-CA356-CB356</f>
        <v/>
      </c>
      <c r="CD356" s="152">
        <f>IF(CG355&lt;=0.005,0,CG355*(1+CD$6))</f>
        <v/>
      </c>
      <c r="CE356" s="152">
        <f>MIN(CD356,CD$7)</f>
        <v/>
      </c>
      <c r="CF356" s="152">
        <f>MAX(0,MIN(CD356-CE356,CL356-(AZ356+BD356+BH356+BL356+BP356+BT356+BX356+CB356)))</f>
        <v/>
      </c>
      <c r="CG356" s="152">
        <f>CD356-CE356-CF356</f>
        <v/>
      </c>
      <c r="CH356" s="152">
        <f>IF(CK355&lt;=0.005,0,CK355*(1+CH$6))</f>
        <v/>
      </c>
      <c r="CI356" s="152">
        <f>MIN(CH356,CH$7)</f>
        <v/>
      </c>
      <c r="CJ356" s="152">
        <f>MAX(0,MIN(CH356-CI356,CL356-(AZ356+BD356+BH356+BL356+BP356+BT356+BX356+CB356+CF356)))</f>
        <v/>
      </c>
      <c r="CK356" s="152">
        <f>CH356-CI356-CJ356</f>
        <v/>
      </c>
      <c r="CL356" s="152">
        <f>'Debt Payoff'!$C$8-SUM(AY356,BC356,BG356,BK356,BO356,BS356,BW356,CA356,CE356,CI356)</f>
        <v/>
      </c>
      <c r="CM356" s="152">
        <f>SUM(AY356,BC356,BG356,BK356,BO356,BS356,BW356,CA356,CE356,CI356)+SUM(AZ356,BD356,BH356,BL356,BP356,BT356,BX356,CB356,CF356,CJ356)</f>
        <v/>
      </c>
      <c r="CN356" s="152">
        <f>SUM(BA356,BE356,BI356,BM356,BQ356,BU356,BY356,CC356,CG356,CK356)</f>
        <v/>
      </c>
      <c r="CO356" s="152">
        <f>IF(AW356&gt;CN$6,NA(),AW356)</f>
        <v/>
      </c>
      <c r="CP356" s="152">
        <f>IF(AW356&gt;CN$6,NA(),CN356)</f>
        <v/>
      </c>
    </row>
    <row r="357">
      <c r="B357" s="152" t="n">
        <v>346</v>
      </c>
      <c r="C357" s="152">
        <f>IF(F356&lt;=0.005,0,F356*(1+C$6))</f>
        <v/>
      </c>
      <c r="D357" s="152">
        <f>MIN(C357,C$7)</f>
        <v/>
      </c>
      <c r="E357" s="152">
        <f>MAX(0,MIN(C357-D357,AQ357))</f>
        <v/>
      </c>
      <c r="F357" s="152">
        <f>C357-D357-E357</f>
        <v/>
      </c>
      <c r="G357" s="152">
        <f>IF(J356&lt;=0.005,0,J356*(1+G$6))</f>
        <v/>
      </c>
      <c r="H357" s="152">
        <f>MIN(G357,G$7)</f>
        <v/>
      </c>
      <c r="I357" s="152">
        <f>MAX(0,MIN(G357-H357,AQ357-(E357)))</f>
        <v/>
      </c>
      <c r="J357" s="152">
        <f>G357-H357-I357</f>
        <v/>
      </c>
      <c r="K357" s="152">
        <f>IF(N356&lt;=0.005,0,N356*(1+K$6))</f>
        <v/>
      </c>
      <c r="L357" s="152">
        <f>MIN(K357,K$7)</f>
        <v/>
      </c>
      <c r="M357" s="152">
        <f>MAX(0,MIN(K357-L357,AQ357-(E357+I357)))</f>
        <v/>
      </c>
      <c r="N357" s="152">
        <f>K357-L357-M357</f>
        <v/>
      </c>
      <c r="O357" s="152">
        <f>IF(R356&lt;=0.005,0,R356*(1+O$6))</f>
        <v/>
      </c>
      <c r="P357" s="152">
        <f>MIN(O357,O$7)</f>
        <v/>
      </c>
      <c r="Q357" s="152">
        <f>MAX(0,MIN(O357-P357,AQ357-(E357+I357+M357)))</f>
        <v/>
      </c>
      <c r="R357" s="152">
        <f>O357-P357-Q357</f>
        <v/>
      </c>
      <c r="S357" s="152">
        <f>IF(V356&lt;=0.005,0,V356*(1+S$6))</f>
        <v/>
      </c>
      <c r="T357" s="152">
        <f>MIN(S357,S$7)</f>
        <v/>
      </c>
      <c r="U357" s="152">
        <f>MAX(0,MIN(S357-T357,AQ357-(E357+I357+M357+Q357)))</f>
        <v/>
      </c>
      <c r="V357" s="152">
        <f>S357-T357-U357</f>
        <v/>
      </c>
      <c r="W357" s="152">
        <f>IF(Z356&lt;=0.005,0,Z356*(1+W$6))</f>
        <v/>
      </c>
      <c r="X357" s="152">
        <f>MIN(W357,W$7)</f>
        <v/>
      </c>
      <c r="Y357" s="152">
        <f>MAX(0,MIN(W357-X357,AQ357-(E357+I357+M357+Q357+U357)))</f>
        <v/>
      </c>
      <c r="Z357" s="152">
        <f>W357-X357-Y357</f>
        <v/>
      </c>
      <c r="AA357" s="152">
        <f>IF(AD356&lt;=0.005,0,AD356*(1+AA$6))</f>
        <v/>
      </c>
      <c r="AB357" s="152">
        <f>MIN(AA357,AA$7)</f>
        <v/>
      </c>
      <c r="AC357" s="152">
        <f>MAX(0,MIN(AA357-AB357,AQ357-(E357+I357+M357+Q357+U357+Y357)))</f>
        <v/>
      </c>
      <c r="AD357" s="152">
        <f>AA357-AB357-AC357</f>
        <v/>
      </c>
      <c r="AE357" s="152">
        <f>IF(AH356&lt;=0.005,0,AH356*(1+AE$6))</f>
        <v/>
      </c>
      <c r="AF357" s="152">
        <f>MIN(AE357,AE$7)</f>
        <v/>
      </c>
      <c r="AG357" s="152">
        <f>MAX(0,MIN(AE357-AF357,AQ357-(E357+I357+M357+Q357+U357+Y357+AC357)))</f>
        <v/>
      </c>
      <c r="AH357" s="152">
        <f>AE357-AF357-AG357</f>
        <v/>
      </c>
      <c r="AI357" s="152">
        <f>IF(AL356&lt;=0.005,0,AL356*(1+AI$6))</f>
        <v/>
      </c>
      <c r="AJ357" s="152">
        <f>MIN(AI357,AI$7)</f>
        <v/>
      </c>
      <c r="AK357" s="152">
        <f>MAX(0,MIN(AI357-AJ357,AQ357-(E357+I357+M357+Q357+U357+Y357+AC357+AG357)))</f>
        <v/>
      </c>
      <c r="AL357" s="152">
        <f>AI357-AJ357-AK357</f>
        <v/>
      </c>
      <c r="AM357" s="152">
        <f>IF(AP356&lt;=0.005,0,AP356*(1+AM$6))</f>
        <v/>
      </c>
      <c r="AN357" s="152">
        <f>MIN(AM357,AM$7)</f>
        <v/>
      </c>
      <c r="AO357" s="152">
        <f>MAX(0,MIN(AM357-AN357,AQ357-(E357+I357+M357+Q357+U357+Y357+AC357+AG357+AK357)))</f>
        <v/>
      </c>
      <c r="AP357" s="152">
        <f>AM357-AN357-AO357</f>
        <v/>
      </c>
      <c r="AQ357" s="152">
        <f>'Debt Payoff'!$C$8-SUM(D357,H357,L357,P357,T357,X357,AB357,AF357,AJ357,AN357)</f>
        <v/>
      </c>
      <c r="AR357" s="152">
        <f>SUM(D357,H357,L357,P357,T357,X357,AB357,AF357,AJ357,AN357)+SUM(E357,I357,M357,Q357,U357,Y357,AC357,AG357,AK357,AO357)</f>
        <v/>
      </c>
      <c r="AS357" s="152">
        <f>SUM(F357,J357,N357,R357,V357,Z357,AD357,AH357,AL357,AP357)</f>
        <v/>
      </c>
      <c r="AT357" s="152">
        <f>IF(B357&gt;AS$6,NA(),B357)</f>
        <v/>
      </c>
      <c r="AU357" s="152">
        <f>IF(B357&gt;AS$6,NA(),AS357)</f>
        <v/>
      </c>
      <c r="AV357" s="152" t="n"/>
      <c r="AW357" s="152" t="n">
        <v>346</v>
      </c>
      <c r="AX357" s="152">
        <f>IF(BA356&lt;=0.005,0,BA356*(1+AX$6))</f>
        <v/>
      </c>
      <c r="AY357" s="152">
        <f>MIN(AX357,AX$7)</f>
        <v/>
      </c>
      <c r="AZ357" s="152">
        <f>MAX(0,MIN(AX357-AY357,CL357))</f>
        <v/>
      </c>
      <c r="BA357" s="152">
        <f>AX357-AY357-AZ357</f>
        <v/>
      </c>
      <c r="BB357" s="152">
        <f>IF(BE356&lt;=0.005,0,BE356*(1+BB$6))</f>
        <v/>
      </c>
      <c r="BC357" s="152">
        <f>MIN(BB357,BB$7)</f>
        <v/>
      </c>
      <c r="BD357" s="152">
        <f>MAX(0,MIN(BB357-BC357,CL357-(AZ357)))</f>
        <v/>
      </c>
      <c r="BE357" s="152">
        <f>BB357-BC357-BD357</f>
        <v/>
      </c>
      <c r="BF357" s="152">
        <f>IF(BI356&lt;=0.005,0,BI356*(1+BF$6))</f>
        <v/>
      </c>
      <c r="BG357" s="152">
        <f>MIN(BF357,BF$7)</f>
        <v/>
      </c>
      <c r="BH357" s="152">
        <f>MAX(0,MIN(BF357-BG357,CL357-(AZ357+BD357)))</f>
        <v/>
      </c>
      <c r="BI357" s="152">
        <f>BF357-BG357-BH357</f>
        <v/>
      </c>
      <c r="BJ357" s="152">
        <f>IF(BM356&lt;=0.005,0,BM356*(1+BJ$6))</f>
        <v/>
      </c>
      <c r="BK357" s="152">
        <f>MIN(BJ357,BJ$7)</f>
        <v/>
      </c>
      <c r="BL357" s="152">
        <f>MAX(0,MIN(BJ357-BK357,CL357-(AZ357+BD357+BH357)))</f>
        <v/>
      </c>
      <c r="BM357" s="152">
        <f>BJ357-BK357-BL357</f>
        <v/>
      </c>
      <c r="BN357" s="152">
        <f>IF(BQ356&lt;=0.005,0,BQ356*(1+BN$6))</f>
        <v/>
      </c>
      <c r="BO357" s="152">
        <f>MIN(BN357,BN$7)</f>
        <v/>
      </c>
      <c r="BP357" s="152">
        <f>MAX(0,MIN(BN357-BO357,CL357-(AZ357+BD357+BH357+BL357)))</f>
        <v/>
      </c>
      <c r="BQ357" s="152">
        <f>BN357-BO357-BP357</f>
        <v/>
      </c>
      <c r="BR357" s="152">
        <f>IF(BU356&lt;=0.005,0,BU356*(1+BR$6))</f>
        <v/>
      </c>
      <c r="BS357" s="152">
        <f>MIN(BR357,BR$7)</f>
        <v/>
      </c>
      <c r="BT357" s="152">
        <f>MAX(0,MIN(BR357-BS357,CL357-(AZ357+BD357+BH357+BL357+BP357)))</f>
        <v/>
      </c>
      <c r="BU357" s="152">
        <f>BR357-BS357-BT357</f>
        <v/>
      </c>
      <c r="BV357" s="152">
        <f>IF(BY356&lt;=0.005,0,BY356*(1+BV$6))</f>
        <v/>
      </c>
      <c r="BW357" s="152">
        <f>MIN(BV357,BV$7)</f>
        <v/>
      </c>
      <c r="BX357" s="152">
        <f>MAX(0,MIN(BV357-BW357,CL357-(AZ357+BD357+BH357+BL357+BP357+BT357)))</f>
        <v/>
      </c>
      <c r="BY357" s="152">
        <f>BV357-BW357-BX357</f>
        <v/>
      </c>
      <c r="BZ357" s="152">
        <f>IF(CC356&lt;=0.005,0,CC356*(1+BZ$6))</f>
        <v/>
      </c>
      <c r="CA357" s="152">
        <f>MIN(BZ357,BZ$7)</f>
        <v/>
      </c>
      <c r="CB357" s="152">
        <f>MAX(0,MIN(BZ357-CA357,CL357-(AZ357+BD357+BH357+BL357+BP357+BT357+BX357)))</f>
        <v/>
      </c>
      <c r="CC357" s="152">
        <f>BZ357-CA357-CB357</f>
        <v/>
      </c>
      <c r="CD357" s="152">
        <f>IF(CG356&lt;=0.005,0,CG356*(1+CD$6))</f>
        <v/>
      </c>
      <c r="CE357" s="152">
        <f>MIN(CD357,CD$7)</f>
        <v/>
      </c>
      <c r="CF357" s="152">
        <f>MAX(0,MIN(CD357-CE357,CL357-(AZ357+BD357+BH357+BL357+BP357+BT357+BX357+CB357)))</f>
        <v/>
      </c>
      <c r="CG357" s="152">
        <f>CD357-CE357-CF357</f>
        <v/>
      </c>
      <c r="CH357" s="152">
        <f>IF(CK356&lt;=0.005,0,CK356*(1+CH$6))</f>
        <v/>
      </c>
      <c r="CI357" s="152">
        <f>MIN(CH357,CH$7)</f>
        <v/>
      </c>
      <c r="CJ357" s="152">
        <f>MAX(0,MIN(CH357-CI357,CL357-(AZ357+BD357+BH357+BL357+BP357+BT357+BX357+CB357+CF357)))</f>
        <v/>
      </c>
      <c r="CK357" s="152">
        <f>CH357-CI357-CJ357</f>
        <v/>
      </c>
      <c r="CL357" s="152">
        <f>'Debt Payoff'!$C$8-SUM(AY357,BC357,BG357,BK357,BO357,BS357,BW357,CA357,CE357,CI357)</f>
        <v/>
      </c>
      <c r="CM357" s="152">
        <f>SUM(AY357,BC357,BG357,BK357,BO357,BS357,BW357,CA357,CE357,CI357)+SUM(AZ357,BD357,BH357,BL357,BP357,BT357,BX357,CB357,CF357,CJ357)</f>
        <v/>
      </c>
      <c r="CN357" s="152">
        <f>SUM(BA357,BE357,BI357,BM357,BQ357,BU357,BY357,CC357,CG357,CK357)</f>
        <v/>
      </c>
      <c r="CO357" s="152">
        <f>IF(AW357&gt;CN$6,NA(),AW357)</f>
        <v/>
      </c>
      <c r="CP357" s="152">
        <f>IF(AW357&gt;CN$6,NA(),CN357)</f>
        <v/>
      </c>
    </row>
    <row r="358">
      <c r="B358" s="152" t="n">
        <v>347</v>
      </c>
      <c r="C358" s="152">
        <f>IF(F357&lt;=0.005,0,F357*(1+C$6))</f>
        <v/>
      </c>
      <c r="D358" s="152">
        <f>MIN(C358,C$7)</f>
        <v/>
      </c>
      <c r="E358" s="152">
        <f>MAX(0,MIN(C358-D358,AQ358))</f>
        <v/>
      </c>
      <c r="F358" s="152">
        <f>C358-D358-E358</f>
        <v/>
      </c>
      <c r="G358" s="152">
        <f>IF(J357&lt;=0.005,0,J357*(1+G$6))</f>
        <v/>
      </c>
      <c r="H358" s="152">
        <f>MIN(G358,G$7)</f>
        <v/>
      </c>
      <c r="I358" s="152">
        <f>MAX(0,MIN(G358-H358,AQ358-(E358)))</f>
        <v/>
      </c>
      <c r="J358" s="152">
        <f>G358-H358-I358</f>
        <v/>
      </c>
      <c r="K358" s="152">
        <f>IF(N357&lt;=0.005,0,N357*(1+K$6))</f>
        <v/>
      </c>
      <c r="L358" s="152">
        <f>MIN(K358,K$7)</f>
        <v/>
      </c>
      <c r="M358" s="152">
        <f>MAX(0,MIN(K358-L358,AQ358-(E358+I358)))</f>
        <v/>
      </c>
      <c r="N358" s="152">
        <f>K358-L358-M358</f>
        <v/>
      </c>
      <c r="O358" s="152">
        <f>IF(R357&lt;=0.005,0,R357*(1+O$6))</f>
        <v/>
      </c>
      <c r="P358" s="152">
        <f>MIN(O358,O$7)</f>
        <v/>
      </c>
      <c r="Q358" s="152">
        <f>MAX(0,MIN(O358-P358,AQ358-(E358+I358+M358)))</f>
        <v/>
      </c>
      <c r="R358" s="152">
        <f>O358-P358-Q358</f>
        <v/>
      </c>
      <c r="S358" s="152">
        <f>IF(V357&lt;=0.005,0,V357*(1+S$6))</f>
        <v/>
      </c>
      <c r="T358" s="152">
        <f>MIN(S358,S$7)</f>
        <v/>
      </c>
      <c r="U358" s="152">
        <f>MAX(0,MIN(S358-T358,AQ358-(E358+I358+M358+Q358)))</f>
        <v/>
      </c>
      <c r="V358" s="152">
        <f>S358-T358-U358</f>
        <v/>
      </c>
      <c r="W358" s="152">
        <f>IF(Z357&lt;=0.005,0,Z357*(1+W$6))</f>
        <v/>
      </c>
      <c r="X358" s="152">
        <f>MIN(W358,W$7)</f>
        <v/>
      </c>
      <c r="Y358" s="152">
        <f>MAX(0,MIN(W358-X358,AQ358-(E358+I358+M358+Q358+U358)))</f>
        <v/>
      </c>
      <c r="Z358" s="152">
        <f>W358-X358-Y358</f>
        <v/>
      </c>
      <c r="AA358" s="152">
        <f>IF(AD357&lt;=0.005,0,AD357*(1+AA$6))</f>
        <v/>
      </c>
      <c r="AB358" s="152">
        <f>MIN(AA358,AA$7)</f>
        <v/>
      </c>
      <c r="AC358" s="152">
        <f>MAX(0,MIN(AA358-AB358,AQ358-(E358+I358+M358+Q358+U358+Y358)))</f>
        <v/>
      </c>
      <c r="AD358" s="152">
        <f>AA358-AB358-AC358</f>
        <v/>
      </c>
      <c r="AE358" s="152">
        <f>IF(AH357&lt;=0.005,0,AH357*(1+AE$6))</f>
        <v/>
      </c>
      <c r="AF358" s="152">
        <f>MIN(AE358,AE$7)</f>
        <v/>
      </c>
      <c r="AG358" s="152">
        <f>MAX(0,MIN(AE358-AF358,AQ358-(E358+I358+M358+Q358+U358+Y358+AC358)))</f>
        <v/>
      </c>
      <c r="AH358" s="152">
        <f>AE358-AF358-AG358</f>
        <v/>
      </c>
      <c r="AI358" s="152">
        <f>IF(AL357&lt;=0.005,0,AL357*(1+AI$6))</f>
        <v/>
      </c>
      <c r="AJ358" s="152">
        <f>MIN(AI358,AI$7)</f>
        <v/>
      </c>
      <c r="AK358" s="152">
        <f>MAX(0,MIN(AI358-AJ358,AQ358-(E358+I358+M358+Q358+U358+Y358+AC358+AG358)))</f>
        <v/>
      </c>
      <c r="AL358" s="152">
        <f>AI358-AJ358-AK358</f>
        <v/>
      </c>
      <c r="AM358" s="152">
        <f>IF(AP357&lt;=0.005,0,AP357*(1+AM$6))</f>
        <v/>
      </c>
      <c r="AN358" s="152">
        <f>MIN(AM358,AM$7)</f>
        <v/>
      </c>
      <c r="AO358" s="152">
        <f>MAX(0,MIN(AM358-AN358,AQ358-(E358+I358+M358+Q358+U358+Y358+AC358+AG358+AK358)))</f>
        <v/>
      </c>
      <c r="AP358" s="152">
        <f>AM358-AN358-AO358</f>
        <v/>
      </c>
      <c r="AQ358" s="152">
        <f>'Debt Payoff'!$C$8-SUM(D358,H358,L358,P358,T358,X358,AB358,AF358,AJ358,AN358)</f>
        <v/>
      </c>
      <c r="AR358" s="152">
        <f>SUM(D358,H358,L358,P358,T358,X358,AB358,AF358,AJ358,AN358)+SUM(E358,I358,M358,Q358,U358,Y358,AC358,AG358,AK358,AO358)</f>
        <v/>
      </c>
      <c r="AS358" s="152">
        <f>SUM(F358,J358,N358,R358,V358,Z358,AD358,AH358,AL358,AP358)</f>
        <v/>
      </c>
      <c r="AT358" s="152">
        <f>IF(B358&gt;AS$6,NA(),B358)</f>
        <v/>
      </c>
      <c r="AU358" s="152">
        <f>IF(B358&gt;AS$6,NA(),AS358)</f>
        <v/>
      </c>
      <c r="AV358" s="152" t="n"/>
      <c r="AW358" s="152" t="n">
        <v>347</v>
      </c>
      <c r="AX358" s="152">
        <f>IF(BA357&lt;=0.005,0,BA357*(1+AX$6))</f>
        <v/>
      </c>
      <c r="AY358" s="152">
        <f>MIN(AX358,AX$7)</f>
        <v/>
      </c>
      <c r="AZ358" s="152">
        <f>MAX(0,MIN(AX358-AY358,CL358))</f>
        <v/>
      </c>
      <c r="BA358" s="152">
        <f>AX358-AY358-AZ358</f>
        <v/>
      </c>
      <c r="BB358" s="152">
        <f>IF(BE357&lt;=0.005,0,BE357*(1+BB$6))</f>
        <v/>
      </c>
      <c r="BC358" s="152">
        <f>MIN(BB358,BB$7)</f>
        <v/>
      </c>
      <c r="BD358" s="152">
        <f>MAX(0,MIN(BB358-BC358,CL358-(AZ358)))</f>
        <v/>
      </c>
      <c r="BE358" s="152">
        <f>BB358-BC358-BD358</f>
        <v/>
      </c>
      <c r="BF358" s="152">
        <f>IF(BI357&lt;=0.005,0,BI357*(1+BF$6))</f>
        <v/>
      </c>
      <c r="BG358" s="152">
        <f>MIN(BF358,BF$7)</f>
        <v/>
      </c>
      <c r="BH358" s="152">
        <f>MAX(0,MIN(BF358-BG358,CL358-(AZ358+BD358)))</f>
        <v/>
      </c>
      <c r="BI358" s="152">
        <f>BF358-BG358-BH358</f>
        <v/>
      </c>
      <c r="BJ358" s="152">
        <f>IF(BM357&lt;=0.005,0,BM357*(1+BJ$6))</f>
        <v/>
      </c>
      <c r="BK358" s="152">
        <f>MIN(BJ358,BJ$7)</f>
        <v/>
      </c>
      <c r="BL358" s="152">
        <f>MAX(0,MIN(BJ358-BK358,CL358-(AZ358+BD358+BH358)))</f>
        <v/>
      </c>
      <c r="BM358" s="152">
        <f>BJ358-BK358-BL358</f>
        <v/>
      </c>
      <c r="BN358" s="152">
        <f>IF(BQ357&lt;=0.005,0,BQ357*(1+BN$6))</f>
        <v/>
      </c>
      <c r="BO358" s="152">
        <f>MIN(BN358,BN$7)</f>
        <v/>
      </c>
      <c r="BP358" s="152">
        <f>MAX(0,MIN(BN358-BO358,CL358-(AZ358+BD358+BH358+BL358)))</f>
        <v/>
      </c>
      <c r="BQ358" s="152">
        <f>BN358-BO358-BP358</f>
        <v/>
      </c>
      <c r="BR358" s="152">
        <f>IF(BU357&lt;=0.005,0,BU357*(1+BR$6))</f>
        <v/>
      </c>
      <c r="BS358" s="152">
        <f>MIN(BR358,BR$7)</f>
        <v/>
      </c>
      <c r="BT358" s="152">
        <f>MAX(0,MIN(BR358-BS358,CL358-(AZ358+BD358+BH358+BL358+BP358)))</f>
        <v/>
      </c>
      <c r="BU358" s="152">
        <f>BR358-BS358-BT358</f>
        <v/>
      </c>
      <c r="BV358" s="152">
        <f>IF(BY357&lt;=0.005,0,BY357*(1+BV$6))</f>
        <v/>
      </c>
      <c r="BW358" s="152">
        <f>MIN(BV358,BV$7)</f>
        <v/>
      </c>
      <c r="BX358" s="152">
        <f>MAX(0,MIN(BV358-BW358,CL358-(AZ358+BD358+BH358+BL358+BP358+BT358)))</f>
        <v/>
      </c>
      <c r="BY358" s="152">
        <f>BV358-BW358-BX358</f>
        <v/>
      </c>
      <c r="BZ358" s="152">
        <f>IF(CC357&lt;=0.005,0,CC357*(1+BZ$6))</f>
        <v/>
      </c>
      <c r="CA358" s="152">
        <f>MIN(BZ358,BZ$7)</f>
        <v/>
      </c>
      <c r="CB358" s="152">
        <f>MAX(0,MIN(BZ358-CA358,CL358-(AZ358+BD358+BH358+BL358+BP358+BT358+BX358)))</f>
        <v/>
      </c>
      <c r="CC358" s="152">
        <f>BZ358-CA358-CB358</f>
        <v/>
      </c>
      <c r="CD358" s="152">
        <f>IF(CG357&lt;=0.005,0,CG357*(1+CD$6))</f>
        <v/>
      </c>
      <c r="CE358" s="152">
        <f>MIN(CD358,CD$7)</f>
        <v/>
      </c>
      <c r="CF358" s="152">
        <f>MAX(0,MIN(CD358-CE358,CL358-(AZ358+BD358+BH358+BL358+BP358+BT358+BX358+CB358)))</f>
        <v/>
      </c>
      <c r="CG358" s="152">
        <f>CD358-CE358-CF358</f>
        <v/>
      </c>
      <c r="CH358" s="152">
        <f>IF(CK357&lt;=0.005,0,CK357*(1+CH$6))</f>
        <v/>
      </c>
      <c r="CI358" s="152">
        <f>MIN(CH358,CH$7)</f>
        <v/>
      </c>
      <c r="CJ358" s="152">
        <f>MAX(0,MIN(CH358-CI358,CL358-(AZ358+BD358+BH358+BL358+BP358+BT358+BX358+CB358+CF358)))</f>
        <v/>
      </c>
      <c r="CK358" s="152">
        <f>CH358-CI358-CJ358</f>
        <v/>
      </c>
      <c r="CL358" s="152">
        <f>'Debt Payoff'!$C$8-SUM(AY358,BC358,BG358,BK358,BO358,BS358,BW358,CA358,CE358,CI358)</f>
        <v/>
      </c>
      <c r="CM358" s="152">
        <f>SUM(AY358,BC358,BG358,BK358,BO358,BS358,BW358,CA358,CE358,CI358)+SUM(AZ358,BD358,BH358,BL358,BP358,BT358,BX358,CB358,CF358,CJ358)</f>
        <v/>
      </c>
      <c r="CN358" s="152">
        <f>SUM(BA358,BE358,BI358,BM358,BQ358,BU358,BY358,CC358,CG358,CK358)</f>
        <v/>
      </c>
      <c r="CO358" s="152">
        <f>IF(AW358&gt;CN$6,NA(),AW358)</f>
        <v/>
      </c>
      <c r="CP358" s="152">
        <f>IF(AW358&gt;CN$6,NA(),CN358)</f>
        <v/>
      </c>
    </row>
    <row r="359">
      <c r="B359" s="152" t="n">
        <v>348</v>
      </c>
      <c r="C359" s="152">
        <f>IF(F358&lt;=0.005,0,F358*(1+C$6))</f>
        <v/>
      </c>
      <c r="D359" s="152">
        <f>MIN(C359,C$7)</f>
        <v/>
      </c>
      <c r="E359" s="152">
        <f>MAX(0,MIN(C359-D359,AQ359))</f>
        <v/>
      </c>
      <c r="F359" s="152">
        <f>C359-D359-E359</f>
        <v/>
      </c>
      <c r="G359" s="152">
        <f>IF(J358&lt;=0.005,0,J358*(1+G$6))</f>
        <v/>
      </c>
      <c r="H359" s="152">
        <f>MIN(G359,G$7)</f>
        <v/>
      </c>
      <c r="I359" s="152">
        <f>MAX(0,MIN(G359-H359,AQ359-(E359)))</f>
        <v/>
      </c>
      <c r="J359" s="152">
        <f>G359-H359-I359</f>
        <v/>
      </c>
      <c r="K359" s="152">
        <f>IF(N358&lt;=0.005,0,N358*(1+K$6))</f>
        <v/>
      </c>
      <c r="L359" s="152">
        <f>MIN(K359,K$7)</f>
        <v/>
      </c>
      <c r="M359" s="152">
        <f>MAX(0,MIN(K359-L359,AQ359-(E359+I359)))</f>
        <v/>
      </c>
      <c r="N359" s="152">
        <f>K359-L359-M359</f>
        <v/>
      </c>
      <c r="O359" s="152">
        <f>IF(R358&lt;=0.005,0,R358*(1+O$6))</f>
        <v/>
      </c>
      <c r="P359" s="152">
        <f>MIN(O359,O$7)</f>
        <v/>
      </c>
      <c r="Q359" s="152">
        <f>MAX(0,MIN(O359-P359,AQ359-(E359+I359+M359)))</f>
        <v/>
      </c>
      <c r="R359" s="152">
        <f>O359-P359-Q359</f>
        <v/>
      </c>
      <c r="S359" s="152">
        <f>IF(V358&lt;=0.005,0,V358*(1+S$6))</f>
        <v/>
      </c>
      <c r="T359" s="152">
        <f>MIN(S359,S$7)</f>
        <v/>
      </c>
      <c r="U359" s="152">
        <f>MAX(0,MIN(S359-T359,AQ359-(E359+I359+M359+Q359)))</f>
        <v/>
      </c>
      <c r="V359" s="152">
        <f>S359-T359-U359</f>
        <v/>
      </c>
      <c r="W359" s="152">
        <f>IF(Z358&lt;=0.005,0,Z358*(1+W$6))</f>
        <v/>
      </c>
      <c r="X359" s="152">
        <f>MIN(W359,W$7)</f>
        <v/>
      </c>
      <c r="Y359" s="152">
        <f>MAX(0,MIN(W359-X359,AQ359-(E359+I359+M359+Q359+U359)))</f>
        <v/>
      </c>
      <c r="Z359" s="152">
        <f>W359-X359-Y359</f>
        <v/>
      </c>
      <c r="AA359" s="152">
        <f>IF(AD358&lt;=0.005,0,AD358*(1+AA$6))</f>
        <v/>
      </c>
      <c r="AB359" s="152">
        <f>MIN(AA359,AA$7)</f>
        <v/>
      </c>
      <c r="AC359" s="152">
        <f>MAX(0,MIN(AA359-AB359,AQ359-(E359+I359+M359+Q359+U359+Y359)))</f>
        <v/>
      </c>
      <c r="AD359" s="152">
        <f>AA359-AB359-AC359</f>
        <v/>
      </c>
      <c r="AE359" s="152">
        <f>IF(AH358&lt;=0.005,0,AH358*(1+AE$6))</f>
        <v/>
      </c>
      <c r="AF359" s="152">
        <f>MIN(AE359,AE$7)</f>
        <v/>
      </c>
      <c r="AG359" s="152">
        <f>MAX(0,MIN(AE359-AF359,AQ359-(E359+I359+M359+Q359+U359+Y359+AC359)))</f>
        <v/>
      </c>
      <c r="AH359" s="152">
        <f>AE359-AF359-AG359</f>
        <v/>
      </c>
      <c r="AI359" s="152">
        <f>IF(AL358&lt;=0.005,0,AL358*(1+AI$6))</f>
        <v/>
      </c>
      <c r="AJ359" s="152">
        <f>MIN(AI359,AI$7)</f>
        <v/>
      </c>
      <c r="AK359" s="152">
        <f>MAX(0,MIN(AI359-AJ359,AQ359-(E359+I359+M359+Q359+U359+Y359+AC359+AG359)))</f>
        <v/>
      </c>
      <c r="AL359" s="152">
        <f>AI359-AJ359-AK359</f>
        <v/>
      </c>
      <c r="AM359" s="152">
        <f>IF(AP358&lt;=0.005,0,AP358*(1+AM$6))</f>
        <v/>
      </c>
      <c r="AN359" s="152">
        <f>MIN(AM359,AM$7)</f>
        <v/>
      </c>
      <c r="AO359" s="152">
        <f>MAX(0,MIN(AM359-AN359,AQ359-(E359+I359+M359+Q359+U359+Y359+AC359+AG359+AK359)))</f>
        <v/>
      </c>
      <c r="AP359" s="152">
        <f>AM359-AN359-AO359</f>
        <v/>
      </c>
      <c r="AQ359" s="152">
        <f>'Debt Payoff'!$C$8-SUM(D359,H359,L359,P359,T359,X359,AB359,AF359,AJ359,AN359)</f>
        <v/>
      </c>
      <c r="AR359" s="152">
        <f>SUM(D359,H359,L359,P359,T359,X359,AB359,AF359,AJ359,AN359)+SUM(E359,I359,M359,Q359,U359,Y359,AC359,AG359,AK359,AO359)</f>
        <v/>
      </c>
      <c r="AS359" s="152">
        <f>SUM(F359,J359,N359,R359,V359,Z359,AD359,AH359,AL359,AP359)</f>
        <v/>
      </c>
      <c r="AT359" s="152">
        <f>IF(B359&gt;AS$6,NA(),B359)</f>
        <v/>
      </c>
      <c r="AU359" s="152">
        <f>IF(B359&gt;AS$6,NA(),AS359)</f>
        <v/>
      </c>
      <c r="AV359" s="152" t="n"/>
      <c r="AW359" s="152" t="n">
        <v>348</v>
      </c>
      <c r="AX359" s="152">
        <f>IF(BA358&lt;=0.005,0,BA358*(1+AX$6))</f>
        <v/>
      </c>
      <c r="AY359" s="152">
        <f>MIN(AX359,AX$7)</f>
        <v/>
      </c>
      <c r="AZ359" s="152">
        <f>MAX(0,MIN(AX359-AY359,CL359))</f>
        <v/>
      </c>
      <c r="BA359" s="152">
        <f>AX359-AY359-AZ359</f>
        <v/>
      </c>
      <c r="BB359" s="152">
        <f>IF(BE358&lt;=0.005,0,BE358*(1+BB$6))</f>
        <v/>
      </c>
      <c r="BC359" s="152">
        <f>MIN(BB359,BB$7)</f>
        <v/>
      </c>
      <c r="BD359" s="152">
        <f>MAX(0,MIN(BB359-BC359,CL359-(AZ359)))</f>
        <v/>
      </c>
      <c r="BE359" s="152">
        <f>BB359-BC359-BD359</f>
        <v/>
      </c>
      <c r="BF359" s="152">
        <f>IF(BI358&lt;=0.005,0,BI358*(1+BF$6))</f>
        <v/>
      </c>
      <c r="BG359" s="152">
        <f>MIN(BF359,BF$7)</f>
        <v/>
      </c>
      <c r="BH359" s="152">
        <f>MAX(0,MIN(BF359-BG359,CL359-(AZ359+BD359)))</f>
        <v/>
      </c>
      <c r="BI359" s="152">
        <f>BF359-BG359-BH359</f>
        <v/>
      </c>
      <c r="BJ359" s="152">
        <f>IF(BM358&lt;=0.005,0,BM358*(1+BJ$6))</f>
        <v/>
      </c>
      <c r="BK359" s="152">
        <f>MIN(BJ359,BJ$7)</f>
        <v/>
      </c>
      <c r="BL359" s="152">
        <f>MAX(0,MIN(BJ359-BK359,CL359-(AZ359+BD359+BH359)))</f>
        <v/>
      </c>
      <c r="BM359" s="152">
        <f>BJ359-BK359-BL359</f>
        <v/>
      </c>
      <c r="BN359" s="152">
        <f>IF(BQ358&lt;=0.005,0,BQ358*(1+BN$6))</f>
        <v/>
      </c>
      <c r="BO359" s="152">
        <f>MIN(BN359,BN$7)</f>
        <v/>
      </c>
      <c r="BP359" s="152">
        <f>MAX(0,MIN(BN359-BO359,CL359-(AZ359+BD359+BH359+BL359)))</f>
        <v/>
      </c>
      <c r="BQ359" s="152">
        <f>BN359-BO359-BP359</f>
        <v/>
      </c>
      <c r="BR359" s="152">
        <f>IF(BU358&lt;=0.005,0,BU358*(1+BR$6))</f>
        <v/>
      </c>
      <c r="BS359" s="152">
        <f>MIN(BR359,BR$7)</f>
        <v/>
      </c>
      <c r="BT359" s="152">
        <f>MAX(0,MIN(BR359-BS359,CL359-(AZ359+BD359+BH359+BL359+BP359)))</f>
        <v/>
      </c>
      <c r="BU359" s="152">
        <f>BR359-BS359-BT359</f>
        <v/>
      </c>
      <c r="BV359" s="152">
        <f>IF(BY358&lt;=0.005,0,BY358*(1+BV$6))</f>
        <v/>
      </c>
      <c r="BW359" s="152">
        <f>MIN(BV359,BV$7)</f>
        <v/>
      </c>
      <c r="BX359" s="152">
        <f>MAX(0,MIN(BV359-BW359,CL359-(AZ359+BD359+BH359+BL359+BP359+BT359)))</f>
        <v/>
      </c>
      <c r="BY359" s="152">
        <f>BV359-BW359-BX359</f>
        <v/>
      </c>
      <c r="BZ359" s="152">
        <f>IF(CC358&lt;=0.005,0,CC358*(1+BZ$6))</f>
        <v/>
      </c>
      <c r="CA359" s="152">
        <f>MIN(BZ359,BZ$7)</f>
        <v/>
      </c>
      <c r="CB359" s="152">
        <f>MAX(0,MIN(BZ359-CA359,CL359-(AZ359+BD359+BH359+BL359+BP359+BT359+BX359)))</f>
        <v/>
      </c>
      <c r="CC359" s="152">
        <f>BZ359-CA359-CB359</f>
        <v/>
      </c>
      <c r="CD359" s="152">
        <f>IF(CG358&lt;=0.005,0,CG358*(1+CD$6))</f>
        <v/>
      </c>
      <c r="CE359" s="152">
        <f>MIN(CD359,CD$7)</f>
        <v/>
      </c>
      <c r="CF359" s="152">
        <f>MAX(0,MIN(CD359-CE359,CL359-(AZ359+BD359+BH359+BL359+BP359+BT359+BX359+CB359)))</f>
        <v/>
      </c>
      <c r="CG359" s="152">
        <f>CD359-CE359-CF359</f>
        <v/>
      </c>
      <c r="CH359" s="152">
        <f>IF(CK358&lt;=0.005,0,CK358*(1+CH$6))</f>
        <v/>
      </c>
      <c r="CI359" s="152">
        <f>MIN(CH359,CH$7)</f>
        <v/>
      </c>
      <c r="CJ359" s="152">
        <f>MAX(0,MIN(CH359-CI359,CL359-(AZ359+BD359+BH359+BL359+BP359+BT359+BX359+CB359+CF359)))</f>
        <v/>
      </c>
      <c r="CK359" s="152">
        <f>CH359-CI359-CJ359</f>
        <v/>
      </c>
      <c r="CL359" s="152">
        <f>'Debt Payoff'!$C$8-SUM(AY359,BC359,BG359,BK359,BO359,BS359,BW359,CA359,CE359,CI359)</f>
        <v/>
      </c>
      <c r="CM359" s="152">
        <f>SUM(AY359,BC359,BG359,BK359,BO359,BS359,BW359,CA359,CE359,CI359)+SUM(AZ359,BD359,BH359,BL359,BP359,BT359,BX359,CB359,CF359,CJ359)</f>
        <v/>
      </c>
      <c r="CN359" s="152">
        <f>SUM(BA359,BE359,BI359,BM359,BQ359,BU359,BY359,CC359,CG359,CK359)</f>
        <v/>
      </c>
      <c r="CO359" s="152">
        <f>IF(AW359&gt;CN$6,NA(),AW359)</f>
        <v/>
      </c>
      <c r="CP359" s="152">
        <f>IF(AW359&gt;CN$6,NA(),CN359)</f>
        <v/>
      </c>
    </row>
    <row r="360">
      <c r="B360" s="152" t="n">
        <v>349</v>
      </c>
      <c r="C360" s="152">
        <f>IF(F359&lt;=0.005,0,F359*(1+C$6))</f>
        <v/>
      </c>
      <c r="D360" s="152">
        <f>MIN(C360,C$7)</f>
        <v/>
      </c>
      <c r="E360" s="152">
        <f>MAX(0,MIN(C360-D360,AQ360))</f>
        <v/>
      </c>
      <c r="F360" s="152">
        <f>C360-D360-E360</f>
        <v/>
      </c>
      <c r="G360" s="152">
        <f>IF(J359&lt;=0.005,0,J359*(1+G$6))</f>
        <v/>
      </c>
      <c r="H360" s="152">
        <f>MIN(G360,G$7)</f>
        <v/>
      </c>
      <c r="I360" s="152">
        <f>MAX(0,MIN(G360-H360,AQ360-(E360)))</f>
        <v/>
      </c>
      <c r="J360" s="152">
        <f>G360-H360-I360</f>
        <v/>
      </c>
      <c r="K360" s="152">
        <f>IF(N359&lt;=0.005,0,N359*(1+K$6))</f>
        <v/>
      </c>
      <c r="L360" s="152">
        <f>MIN(K360,K$7)</f>
        <v/>
      </c>
      <c r="M360" s="152">
        <f>MAX(0,MIN(K360-L360,AQ360-(E360+I360)))</f>
        <v/>
      </c>
      <c r="N360" s="152">
        <f>K360-L360-M360</f>
        <v/>
      </c>
      <c r="O360" s="152">
        <f>IF(R359&lt;=0.005,0,R359*(1+O$6))</f>
        <v/>
      </c>
      <c r="P360" s="152">
        <f>MIN(O360,O$7)</f>
        <v/>
      </c>
      <c r="Q360" s="152">
        <f>MAX(0,MIN(O360-P360,AQ360-(E360+I360+M360)))</f>
        <v/>
      </c>
      <c r="R360" s="152">
        <f>O360-P360-Q360</f>
        <v/>
      </c>
      <c r="S360" s="152">
        <f>IF(V359&lt;=0.005,0,V359*(1+S$6))</f>
        <v/>
      </c>
      <c r="T360" s="152">
        <f>MIN(S360,S$7)</f>
        <v/>
      </c>
      <c r="U360" s="152">
        <f>MAX(0,MIN(S360-T360,AQ360-(E360+I360+M360+Q360)))</f>
        <v/>
      </c>
      <c r="V360" s="152">
        <f>S360-T360-U360</f>
        <v/>
      </c>
      <c r="W360" s="152">
        <f>IF(Z359&lt;=0.005,0,Z359*(1+W$6))</f>
        <v/>
      </c>
      <c r="X360" s="152">
        <f>MIN(W360,W$7)</f>
        <v/>
      </c>
      <c r="Y360" s="152">
        <f>MAX(0,MIN(W360-X360,AQ360-(E360+I360+M360+Q360+U360)))</f>
        <v/>
      </c>
      <c r="Z360" s="152">
        <f>W360-X360-Y360</f>
        <v/>
      </c>
      <c r="AA360" s="152">
        <f>IF(AD359&lt;=0.005,0,AD359*(1+AA$6))</f>
        <v/>
      </c>
      <c r="AB360" s="152">
        <f>MIN(AA360,AA$7)</f>
        <v/>
      </c>
      <c r="AC360" s="152">
        <f>MAX(0,MIN(AA360-AB360,AQ360-(E360+I360+M360+Q360+U360+Y360)))</f>
        <v/>
      </c>
      <c r="AD360" s="152">
        <f>AA360-AB360-AC360</f>
        <v/>
      </c>
      <c r="AE360" s="152">
        <f>IF(AH359&lt;=0.005,0,AH359*(1+AE$6))</f>
        <v/>
      </c>
      <c r="AF360" s="152">
        <f>MIN(AE360,AE$7)</f>
        <v/>
      </c>
      <c r="AG360" s="152">
        <f>MAX(0,MIN(AE360-AF360,AQ360-(E360+I360+M360+Q360+U360+Y360+AC360)))</f>
        <v/>
      </c>
      <c r="AH360" s="152">
        <f>AE360-AF360-AG360</f>
        <v/>
      </c>
      <c r="AI360" s="152">
        <f>IF(AL359&lt;=0.005,0,AL359*(1+AI$6))</f>
        <v/>
      </c>
      <c r="AJ360" s="152">
        <f>MIN(AI360,AI$7)</f>
        <v/>
      </c>
      <c r="AK360" s="152">
        <f>MAX(0,MIN(AI360-AJ360,AQ360-(E360+I360+M360+Q360+U360+Y360+AC360+AG360)))</f>
        <v/>
      </c>
      <c r="AL360" s="152">
        <f>AI360-AJ360-AK360</f>
        <v/>
      </c>
      <c r="AM360" s="152">
        <f>IF(AP359&lt;=0.005,0,AP359*(1+AM$6))</f>
        <v/>
      </c>
      <c r="AN360" s="152">
        <f>MIN(AM360,AM$7)</f>
        <v/>
      </c>
      <c r="AO360" s="152">
        <f>MAX(0,MIN(AM360-AN360,AQ360-(E360+I360+M360+Q360+U360+Y360+AC360+AG360+AK360)))</f>
        <v/>
      </c>
      <c r="AP360" s="152">
        <f>AM360-AN360-AO360</f>
        <v/>
      </c>
      <c r="AQ360" s="152">
        <f>'Debt Payoff'!$C$8-SUM(D360,H360,L360,P360,T360,X360,AB360,AF360,AJ360,AN360)</f>
        <v/>
      </c>
      <c r="AR360" s="152">
        <f>SUM(D360,H360,L360,P360,T360,X360,AB360,AF360,AJ360,AN360)+SUM(E360,I360,M360,Q360,U360,Y360,AC360,AG360,AK360,AO360)</f>
        <v/>
      </c>
      <c r="AS360" s="152">
        <f>SUM(F360,J360,N360,R360,V360,Z360,AD360,AH360,AL360,AP360)</f>
        <v/>
      </c>
      <c r="AT360" s="152">
        <f>IF(B360&gt;AS$6,NA(),B360)</f>
        <v/>
      </c>
      <c r="AU360" s="152">
        <f>IF(B360&gt;AS$6,NA(),AS360)</f>
        <v/>
      </c>
      <c r="AV360" s="152" t="n"/>
      <c r="AW360" s="152" t="n">
        <v>349</v>
      </c>
      <c r="AX360" s="152">
        <f>IF(BA359&lt;=0.005,0,BA359*(1+AX$6))</f>
        <v/>
      </c>
      <c r="AY360" s="152">
        <f>MIN(AX360,AX$7)</f>
        <v/>
      </c>
      <c r="AZ360" s="152">
        <f>MAX(0,MIN(AX360-AY360,CL360))</f>
        <v/>
      </c>
      <c r="BA360" s="152">
        <f>AX360-AY360-AZ360</f>
        <v/>
      </c>
      <c r="BB360" s="152">
        <f>IF(BE359&lt;=0.005,0,BE359*(1+BB$6))</f>
        <v/>
      </c>
      <c r="BC360" s="152">
        <f>MIN(BB360,BB$7)</f>
        <v/>
      </c>
      <c r="BD360" s="152">
        <f>MAX(0,MIN(BB360-BC360,CL360-(AZ360)))</f>
        <v/>
      </c>
      <c r="BE360" s="152">
        <f>BB360-BC360-BD360</f>
        <v/>
      </c>
      <c r="BF360" s="152">
        <f>IF(BI359&lt;=0.005,0,BI359*(1+BF$6))</f>
        <v/>
      </c>
      <c r="BG360" s="152">
        <f>MIN(BF360,BF$7)</f>
        <v/>
      </c>
      <c r="BH360" s="152">
        <f>MAX(0,MIN(BF360-BG360,CL360-(AZ360+BD360)))</f>
        <v/>
      </c>
      <c r="BI360" s="152">
        <f>BF360-BG360-BH360</f>
        <v/>
      </c>
      <c r="BJ360" s="152">
        <f>IF(BM359&lt;=0.005,0,BM359*(1+BJ$6))</f>
        <v/>
      </c>
      <c r="BK360" s="152">
        <f>MIN(BJ360,BJ$7)</f>
        <v/>
      </c>
      <c r="BL360" s="152">
        <f>MAX(0,MIN(BJ360-BK360,CL360-(AZ360+BD360+BH360)))</f>
        <v/>
      </c>
      <c r="BM360" s="152">
        <f>BJ360-BK360-BL360</f>
        <v/>
      </c>
      <c r="BN360" s="152">
        <f>IF(BQ359&lt;=0.005,0,BQ359*(1+BN$6))</f>
        <v/>
      </c>
      <c r="BO360" s="152">
        <f>MIN(BN360,BN$7)</f>
        <v/>
      </c>
      <c r="BP360" s="152">
        <f>MAX(0,MIN(BN360-BO360,CL360-(AZ360+BD360+BH360+BL360)))</f>
        <v/>
      </c>
      <c r="BQ360" s="152">
        <f>BN360-BO360-BP360</f>
        <v/>
      </c>
      <c r="BR360" s="152">
        <f>IF(BU359&lt;=0.005,0,BU359*(1+BR$6))</f>
        <v/>
      </c>
      <c r="BS360" s="152">
        <f>MIN(BR360,BR$7)</f>
        <v/>
      </c>
      <c r="BT360" s="152">
        <f>MAX(0,MIN(BR360-BS360,CL360-(AZ360+BD360+BH360+BL360+BP360)))</f>
        <v/>
      </c>
      <c r="BU360" s="152">
        <f>BR360-BS360-BT360</f>
        <v/>
      </c>
      <c r="BV360" s="152">
        <f>IF(BY359&lt;=0.005,0,BY359*(1+BV$6))</f>
        <v/>
      </c>
      <c r="BW360" s="152">
        <f>MIN(BV360,BV$7)</f>
        <v/>
      </c>
      <c r="BX360" s="152">
        <f>MAX(0,MIN(BV360-BW360,CL360-(AZ360+BD360+BH360+BL360+BP360+BT360)))</f>
        <v/>
      </c>
      <c r="BY360" s="152">
        <f>BV360-BW360-BX360</f>
        <v/>
      </c>
      <c r="BZ360" s="152">
        <f>IF(CC359&lt;=0.005,0,CC359*(1+BZ$6))</f>
        <v/>
      </c>
      <c r="CA360" s="152">
        <f>MIN(BZ360,BZ$7)</f>
        <v/>
      </c>
      <c r="CB360" s="152">
        <f>MAX(0,MIN(BZ360-CA360,CL360-(AZ360+BD360+BH360+BL360+BP360+BT360+BX360)))</f>
        <v/>
      </c>
      <c r="CC360" s="152">
        <f>BZ360-CA360-CB360</f>
        <v/>
      </c>
      <c r="CD360" s="152">
        <f>IF(CG359&lt;=0.005,0,CG359*(1+CD$6))</f>
        <v/>
      </c>
      <c r="CE360" s="152">
        <f>MIN(CD360,CD$7)</f>
        <v/>
      </c>
      <c r="CF360" s="152">
        <f>MAX(0,MIN(CD360-CE360,CL360-(AZ360+BD360+BH360+BL360+BP360+BT360+BX360+CB360)))</f>
        <v/>
      </c>
      <c r="CG360" s="152">
        <f>CD360-CE360-CF360</f>
        <v/>
      </c>
      <c r="CH360" s="152">
        <f>IF(CK359&lt;=0.005,0,CK359*(1+CH$6))</f>
        <v/>
      </c>
      <c r="CI360" s="152">
        <f>MIN(CH360,CH$7)</f>
        <v/>
      </c>
      <c r="CJ360" s="152">
        <f>MAX(0,MIN(CH360-CI360,CL360-(AZ360+BD360+BH360+BL360+BP360+BT360+BX360+CB360+CF360)))</f>
        <v/>
      </c>
      <c r="CK360" s="152">
        <f>CH360-CI360-CJ360</f>
        <v/>
      </c>
      <c r="CL360" s="152">
        <f>'Debt Payoff'!$C$8-SUM(AY360,BC360,BG360,BK360,BO360,BS360,BW360,CA360,CE360,CI360)</f>
        <v/>
      </c>
      <c r="CM360" s="152">
        <f>SUM(AY360,BC360,BG360,BK360,BO360,BS360,BW360,CA360,CE360,CI360)+SUM(AZ360,BD360,BH360,BL360,BP360,BT360,BX360,CB360,CF360,CJ360)</f>
        <v/>
      </c>
      <c r="CN360" s="152">
        <f>SUM(BA360,BE360,BI360,BM360,BQ360,BU360,BY360,CC360,CG360,CK360)</f>
        <v/>
      </c>
      <c r="CO360" s="152">
        <f>IF(AW360&gt;CN$6,NA(),AW360)</f>
        <v/>
      </c>
      <c r="CP360" s="152">
        <f>IF(AW360&gt;CN$6,NA(),CN360)</f>
        <v/>
      </c>
    </row>
    <row r="361">
      <c r="B361" s="152" t="n">
        <v>350</v>
      </c>
      <c r="C361" s="152">
        <f>IF(F360&lt;=0.005,0,F360*(1+C$6))</f>
        <v/>
      </c>
      <c r="D361" s="152">
        <f>MIN(C361,C$7)</f>
        <v/>
      </c>
      <c r="E361" s="152">
        <f>MAX(0,MIN(C361-D361,AQ361))</f>
        <v/>
      </c>
      <c r="F361" s="152">
        <f>C361-D361-E361</f>
        <v/>
      </c>
      <c r="G361" s="152">
        <f>IF(J360&lt;=0.005,0,J360*(1+G$6))</f>
        <v/>
      </c>
      <c r="H361" s="152">
        <f>MIN(G361,G$7)</f>
        <v/>
      </c>
      <c r="I361" s="152">
        <f>MAX(0,MIN(G361-H361,AQ361-(E361)))</f>
        <v/>
      </c>
      <c r="J361" s="152">
        <f>G361-H361-I361</f>
        <v/>
      </c>
      <c r="K361" s="152">
        <f>IF(N360&lt;=0.005,0,N360*(1+K$6))</f>
        <v/>
      </c>
      <c r="L361" s="152">
        <f>MIN(K361,K$7)</f>
        <v/>
      </c>
      <c r="M361" s="152">
        <f>MAX(0,MIN(K361-L361,AQ361-(E361+I361)))</f>
        <v/>
      </c>
      <c r="N361" s="152">
        <f>K361-L361-M361</f>
        <v/>
      </c>
      <c r="O361" s="152">
        <f>IF(R360&lt;=0.005,0,R360*(1+O$6))</f>
        <v/>
      </c>
      <c r="P361" s="152">
        <f>MIN(O361,O$7)</f>
        <v/>
      </c>
      <c r="Q361" s="152">
        <f>MAX(0,MIN(O361-P361,AQ361-(E361+I361+M361)))</f>
        <v/>
      </c>
      <c r="R361" s="152">
        <f>O361-P361-Q361</f>
        <v/>
      </c>
      <c r="S361" s="152">
        <f>IF(V360&lt;=0.005,0,V360*(1+S$6))</f>
        <v/>
      </c>
      <c r="T361" s="152">
        <f>MIN(S361,S$7)</f>
        <v/>
      </c>
      <c r="U361" s="152">
        <f>MAX(0,MIN(S361-T361,AQ361-(E361+I361+M361+Q361)))</f>
        <v/>
      </c>
      <c r="V361" s="152">
        <f>S361-T361-U361</f>
        <v/>
      </c>
      <c r="W361" s="152">
        <f>IF(Z360&lt;=0.005,0,Z360*(1+W$6))</f>
        <v/>
      </c>
      <c r="X361" s="152">
        <f>MIN(W361,W$7)</f>
        <v/>
      </c>
      <c r="Y361" s="152">
        <f>MAX(0,MIN(W361-X361,AQ361-(E361+I361+M361+Q361+U361)))</f>
        <v/>
      </c>
      <c r="Z361" s="152">
        <f>W361-X361-Y361</f>
        <v/>
      </c>
      <c r="AA361" s="152">
        <f>IF(AD360&lt;=0.005,0,AD360*(1+AA$6))</f>
        <v/>
      </c>
      <c r="AB361" s="152">
        <f>MIN(AA361,AA$7)</f>
        <v/>
      </c>
      <c r="AC361" s="152">
        <f>MAX(0,MIN(AA361-AB361,AQ361-(E361+I361+M361+Q361+U361+Y361)))</f>
        <v/>
      </c>
      <c r="AD361" s="152">
        <f>AA361-AB361-AC361</f>
        <v/>
      </c>
      <c r="AE361" s="152">
        <f>IF(AH360&lt;=0.005,0,AH360*(1+AE$6))</f>
        <v/>
      </c>
      <c r="AF361" s="152">
        <f>MIN(AE361,AE$7)</f>
        <v/>
      </c>
      <c r="AG361" s="152">
        <f>MAX(0,MIN(AE361-AF361,AQ361-(E361+I361+M361+Q361+U361+Y361+AC361)))</f>
        <v/>
      </c>
      <c r="AH361" s="152">
        <f>AE361-AF361-AG361</f>
        <v/>
      </c>
      <c r="AI361" s="152">
        <f>IF(AL360&lt;=0.005,0,AL360*(1+AI$6))</f>
        <v/>
      </c>
      <c r="AJ361" s="152">
        <f>MIN(AI361,AI$7)</f>
        <v/>
      </c>
      <c r="AK361" s="152">
        <f>MAX(0,MIN(AI361-AJ361,AQ361-(E361+I361+M361+Q361+U361+Y361+AC361+AG361)))</f>
        <v/>
      </c>
      <c r="AL361" s="152">
        <f>AI361-AJ361-AK361</f>
        <v/>
      </c>
      <c r="AM361" s="152">
        <f>IF(AP360&lt;=0.005,0,AP360*(1+AM$6))</f>
        <v/>
      </c>
      <c r="AN361" s="152">
        <f>MIN(AM361,AM$7)</f>
        <v/>
      </c>
      <c r="AO361" s="152">
        <f>MAX(0,MIN(AM361-AN361,AQ361-(E361+I361+M361+Q361+U361+Y361+AC361+AG361+AK361)))</f>
        <v/>
      </c>
      <c r="AP361" s="152">
        <f>AM361-AN361-AO361</f>
        <v/>
      </c>
      <c r="AQ361" s="152">
        <f>'Debt Payoff'!$C$8-SUM(D361,H361,L361,P361,T361,X361,AB361,AF361,AJ361,AN361)</f>
        <v/>
      </c>
      <c r="AR361" s="152">
        <f>SUM(D361,H361,L361,P361,T361,X361,AB361,AF361,AJ361,AN361)+SUM(E361,I361,M361,Q361,U361,Y361,AC361,AG361,AK361,AO361)</f>
        <v/>
      </c>
      <c r="AS361" s="152">
        <f>SUM(F361,J361,N361,R361,V361,Z361,AD361,AH361,AL361,AP361)</f>
        <v/>
      </c>
      <c r="AT361" s="152">
        <f>IF(B361&gt;AS$6,NA(),B361)</f>
        <v/>
      </c>
      <c r="AU361" s="152">
        <f>IF(B361&gt;AS$6,NA(),AS361)</f>
        <v/>
      </c>
      <c r="AV361" s="152" t="n"/>
      <c r="AW361" s="152" t="n">
        <v>350</v>
      </c>
      <c r="AX361" s="152">
        <f>IF(BA360&lt;=0.005,0,BA360*(1+AX$6))</f>
        <v/>
      </c>
      <c r="AY361" s="152">
        <f>MIN(AX361,AX$7)</f>
        <v/>
      </c>
      <c r="AZ361" s="152">
        <f>MAX(0,MIN(AX361-AY361,CL361))</f>
        <v/>
      </c>
      <c r="BA361" s="152">
        <f>AX361-AY361-AZ361</f>
        <v/>
      </c>
      <c r="BB361" s="152">
        <f>IF(BE360&lt;=0.005,0,BE360*(1+BB$6))</f>
        <v/>
      </c>
      <c r="BC361" s="152">
        <f>MIN(BB361,BB$7)</f>
        <v/>
      </c>
      <c r="BD361" s="152">
        <f>MAX(0,MIN(BB361-BC361,CL361-(AZ361)))</f>
        <v/>
      </c>
      <c r="BE361" s="152">
        <f>BB361-BC361-BD361</f>
        <v/>
      </c>
      <c r="BF361" s="152">
        <f>IF(BI360&lt;=0.005,0,BI360*(1+BF$6))</f>
        <v/>
      </c>
      <c r="BG361" s="152">
        <f>MIN(BF361,BF$7)</f>
        <v/>
      </c>
      <c r="BH361" s="152">
        <f>MAX(0,MIN(BF361-BG361,CL361-(AZ361+BD361)))</f>
        <v/>
      </c>
      <c r="BI361" s="152">
        <f>BF361-BG361-BH361</f>
        <v/>
      </c>
      <c r="BJ361" s="152">
        <f>IF(BM360&lt;=0.005,0,BM360*(1+BJ$6))</f>
        <v/>
      </c>
      <c r="BK361" s="152">
        <f>MIN(BJ361,BJ$7)</f>
        <v/>
      </c>
      <c r="BL361" s="152">
        <f>MAX(0,MIN(BJ361-BK361,CL361-(AZ361+BD361+BH361)))</f>
        <v/>
      </c>
      <c r="BM361" s="152">
        <f>BJ361-BK361-BL361</f>
        <v/>
      </c>
      <c r="BN361" s="152">
        <f>IF(BQ360&lt;=0.005,0,BQ360*(1+BN$6))</f>
        <v/>
      </c>
      <c r="BO361" s="152">
        <f>MIN(BN361,BN$7)</f>
        <v/>
      </c>
      <c r="BP361" s="152">
        <f>MAX(0,MIN(BN361-BO361,CL361-(AZ361+BD361+BH361+BL361)))</f>
        <v/>
      </c>
      <c r="BQ361" s="152">
        <f>BN361-BO361-BP361</f>
        <v/>
      </c>
      <c r="BR361" s="152">
        <f>IF(BU360&lt;=0.005,0,BU360*(1+BR$6))</f>
        <v/>
      </c>
      <c r="BS361" s="152">
        <f>MIN(BR361,BR$7)</f>
        <v/>
      </c>
      <c r="BT361" s="152">
        <f>MAX(0,MIN(BR361-BS361,CL361-(AZ361+BD361+BH361+BL361+BP361)))</f>
        <v/>
      </c>
      <c r="BU361" s="152">
        <f>BR361-BS361-BT361</f>
        <v/>
      </c>
      <c r="BV361" s="152">
        <f>IF(BY360&lt;=0.005,0,BY360*(1+BV$6))</f>
        <v/>
      </c>
      <c r="BW361" s="152">
        <f>MIN(BV361,BV$7)</f>
        <v/>
      </c>
      <c r="BX361" s="152">
        <f>MAX(0,MIN(BV361-BW361,CL361-(AZ361+BD361+BH361+BL361+BP361+BT361)))</f>
        <v/>
      </c>
      <c r="BY361" s="152">
        <f>BV361-BW361-BX361</f>
        <v/>
      </c>
      <c r="BZ361" s="152">
        <f>IF(CC360&lt;=0.005,0,CC360*(1+BZ$6))</f>
        <v/>
      </c>
      <c r="CA361" s="152">
        <f>MIN(BZ361,BZ$7)</f>
        <v/>
      </c>
      <c r="CB361" s="152">
        <f>MAX(0,MIN(BZ361-CA361,CL361-(AZ361+BD361+BH361+BL361+BP361+BT361+BX361)))</f>
        <v/>
      </c>
      <c r="CC361" s="152">
        <f>BZ361-CA361-CB361</f>
        <v/>
      </c>
      <c r="CD361" s="152">
        <f>IF(CG360&lt;=0.005,0,CG360*(1+CD$6))</f>
        <v/>
      </c>
      <c r="CE361" s="152">
        <f>MIN(CD361,CD$7)</f>
        <v/>
      </c>
      <c r="CF361" s="152">
        <f>MAX(0,MIN(CD361-CE361,CL361-(AZ361+BD361+BH361+BL361+BP361+BT361+BX361+CB361)))</f>
        <v/>
      </c>
      <c r="CG361" s="152">
        <f>CD361-CE361-CF361</f>
        <v/>
      </c>
      <c r="CH361" s="152">
        <f>IF(CK360&lt;=0.005,0,CK360*(1+CH$6))</f>
        <v/>
      </c>
      <c r="CI361" s="152">
        <f>MIN(CH361,CH$7)</f>
        <v/>
      </c>
      <c r="CJ361" s="152">
        <f>MAX(0,MIN(CH361-CI361,CL361-(AZ361+BD361+BH361+BL361+BP361+BT361+BX361+CB361+CF361)))</f>
        <v/>
      </c>
      <c r="CK361" s="152">
        <f>CH361-CI361-CJ361</f>
        <v/>
      </c>
      <c r="CL361" s="152">
        <f>'Debt Payoff'!$C$8-SUM(AY361,BC361,BG361,BK361,BO361,BS361,BW361,CA361,CE361,CI361)</f>
        <v/>
      </c>
      <c r="CM361" s="152">
        <f>SUM(AY361,BC361,BG361,BK361,BO361,BS361,BW361,CA361,CE361,CI361)+SUM(AZ361,BD361,BH361,BL361,BP361,BT361,BX361,CB361,CF361,CJ361)</f>
        <v/>
      </c>
      <c r="CN361" s="152">
        <f>SUM(BA361,BE361,BI361,BM361,BQ361,BU361,BY361,CC361,CG361,CK361)</f>
        <v/>
      </c>
      <c r="CO361" s="152">
        <f>IF(AW361&gt;CN$6,NA(),AW361)</f>
        <v/>
      </c>
      <c r="CP361" s="152">
        <f>IF(AW361&gt;CN$6,NA(),CN361)</f>
        <v/>
      </c>
    </row>
    <row r="362">
      <c r="B362" s="152" t="n">
        <v>351</v>
      </c>
      <c r="C362" s="152">
        <f>IF(F361&lt;=0.005,0,F361*(1+C$6))</f>
        <v/>
      </c>
      <c r="D362" s="152">
        <f>MIN(C362,C$7)</f>
        <v/>
      </c>
      <c r="E362" s="152">
        <f>MAX(0,MIN(C362-D362,AQ362))</f>
        <v/>
      </c>
      <c r="F362" s="152">
        <f>C362-D362-E362</f>
        <v/>
      </c>
      <c r="G362" s="152">
        <f>IF(J361&lt;=0.005,0,J361*(1+G$6))</f>
        <v/>
      </c>
      <c r="H362" s="152">
        <f>MIN(G362,G$7)</f>
        <v/>
      </c>
      <c r="I362" s="152">
        <f>MAX(0,MIN(G362-H362,AQ362-(E362)))</f>
        <v/>
      </c>
      <c r="J362" s="152">
        <f>G362-H362-I362</f>
        <v/>
      </c>
      <c r="K362" s="152">
        <f>IF(N361&lt;=0.005,0,N361*(1+K$6))</f>
        <v/>
      </c>
      <c r="L362" s="152">
        <f>MIN(K362,K$7)</f>
        <v/>
      </c>
      <c r="M362" s="152">
        <f>MAX(0,MIN(K362-L362,AQ362-(E362+I362)))</f>
        <v/>
      </c>
      <c r="N362" s="152">
        <f>K362-L362-M362</f>
        <v/>
      </c>
      <c r="O362" s="152">
        <f>IF(R361&lt;=0.005,0,R361*(1+O$6))</f>
        <v/>
      </c>
      <c r="P362" s="152">
        <f>MIN(O362,O$7)</f>
        <v/>
      </c>
      <c r="Q362" s="152">
        <f>MAX(0,MIN(O362-P362,AQ362-(E362+I362+M362)))</f>
        <v/>
      </c>
      <c r="R362" s="152">
        <f>O362-P362-Q362</f>
        <v/>
      </c>
      <c r="S362" s="152">
        <f>IF(V361&lt;=0.005,0,V361*(1+S$6))</f>
        <v/>
      </c>
      <c r="T362" s="152">
        <f>MIN(S362,S$7)</f>
        <v/>
      </c>
      <c r="U362" s="152">
        <f>MAX(0,MIN(S362-T362,AQ362-(E362+I362+M362+Q362)))</f>
        <v/>
      </c>
      <c r="V362" s="152">
        <f>S362-T362-U362</f>
        <v/>
      </c>
      <c r="W362" s="152">
        <f>IF(Z361&lt;=0.005,0,Z361*(1+W$6))</f>
        <v/>
      </c>
      <c r="X362" s="152">
        <f>MIN(W362,W$7)</f>
        <v/>
      </c>
      <c r="Y362" s="152">
        <f>MAX(0,MIN(W362-X362,AQ362-(E362+I362+M362+Q362+U362)))</f>
        <v/>
      </c>
      <c r="Z362" s="152">
        <f>W362-X362-Y362</f>
        <v/>
      </c>
      <c r="AA362" s="152">
        <f>IF(AD361&lt;=0.005,0,AD361*(1+AA$6))</f>
        <v/>
      </c>
      <c r="AB362" s="152">
        <f>MIN(AA362,AA$7)</f>
        <v/>
      </c>
      <c r="AC362" s="152">
        <f>MAX(0,MIN(AA362-AB362,AQ362-(E362+I362+M362+Q362+U362+Y362)))</f>
        <v/>
      </c>
      <c r="AD362" s="152">
        <f>AA362-AB362-AC362</f>
        <v/>
      </c>
      <c r="AE362" s="152">
        <f>IF(AH361&lt;=0.005,0,AH361*(1+AE$6))</f>
        <v/>
      </c>
      <c r="AF362" s="152">
        <f>MIN(AE362,AE$7)</f>
        <v/>
      </c>
      <c r="AG362" s="152">
        <f>MAX(0,MIN(AE362-AF362,AQ362-(E362+I362+M362+Q362+U362+Y362+AC362)))</f>
        <v/>
      </c>
      <c r="AH362" s="152">
        <f>AE362-AF362-AG362</f>
        <v/>
      </c>
      <c r="AI362" s="152">
        <f>IF(AL361&lt;=0.005,0,AL361*(1+AI$6))</f>
        <v/>
      </c>
      <c r="AJ362" s="152">
        <f>MIN(AI362,AI$7)</f>
        <v/>
      </c>
      <c r="AK362" s="152">
        <f>MAX(0,MIN(AI362-AJ362,AQ362-(E362+I362+M362+Q362+U362+Y362+AC362+AG362)))</f>
        <v/>
      </c>
      <c r="AL362" s="152">
        <f>AI362-AJ362-AK362</f>
        <v/>
      </c>
      <c r="AM362" s="152">
        <f>IF(AP361&lt;=0.005,0,AP361*(1+AM$6))</f>
        <v/>
      </c>
      <c r="AN362" s="152">
        <f>MIN(AM362,AM$7)</f>
        <v/>
      </c>
      <c r="AO362" s="152">
        <f>MAX(0,MIN(AM362-AN362,AQ362-(E362+I362+M362+Q362+U362+Y362+AC362+AG362+AK362)))</f>
        <v/>
      </c>
      <c r="AP362" s="152">
        <f>AM362-AN362-AO362</f>
        <v/>
      </c>
      <c r="AQ362" s="152">
        <f>'Debt Payoff'!$C$8-SUM(D362,H362,L362,P362,T362,X362,AB362,AF362,AJ362,AN362)</f>
        <v/>
      </c>
      <c r="AR362" s="152">
        <f>SUM(D362,H362,L362,P362,T362,X362,AB362,AF362,AJ362,AN362)+SUM(E362,I362,M362,Q362,U362,Y362,AC362,AG362,AK362,AO362)</f>
        <v/>
      </c>
      <c r="AS362" s="152">
        <f>SUM(F362,J362,N362,R362,V362,Z362,AD362,AH362,AL362,AP362)</f>
        <v/>
      </c>
      <c r="AT362" s="152">
        <f>IF(B362&gt;AS$6,NA(),B362)</f>
        <v/>
      </c>
      <c r="AU362" s="152">
        <f>IF(B362&gt;AS$6,NA(),AS362)</f>
        <v/>
      </c>
      <c r="AV362" s="152" t="n"/>
      <c r="AW362" s="152" t="n">
        <v>351</v>
      </c>
      <c r="AX362" s="152">
        <f>IF(BA361&lt;=0.005,0,BA361*(1+AX$6))</f>
        <v/>
      </c>
      <c r="AY362" s="152">
        <f>MIN(AX362,AX$7)</f>
        <v/>
      </c>
      <c r="AZ362" s="152">
        <f>MAX(0,MIN(AX362-AY362,CL362))</f>
        <v/>
      </c>
      <c r="BA362" s="152">
        <f>AX362-AY362-AZ362</f>
        <v/>
      </c>
      <c r="BB362" s="152">
        <f>IF(BE361&lt;=0.005,0,BE361*(1+BB$6))</f>
        <v/>
      </c>
      <c r="BC362" s="152">
        <f>MIN(BB362,BB$7)</f>
        <v/>
      </c>
      <c r="BD362" s="152">
        <f>MAX(0,MIN(BB362-BC362,CL362-(AZ362)))</f>
        <v/>
      </c>
      <c r="BE362" s="152">
        <f>BB362-BC362-BD362</f>
        <v/>
      </c>
      <c r="BF362" s="152">
        <f>IF(BI361&lt;=0.005,0,BI361*(1+BF$6))</f>
        <v/>
      </c>
      <c r="BG362" s="152">
        <f>MIN(BF362,BF$7)</f>
        <v/>
      </c>
      <c r="BH362" s="152">
        <f>MAX(0,MIN(BF362-BG362,CL362-(AZ362+BD362)))</f>
        <v/>
      </c>
      <c r="BI362" s="152">
        <f>BF362-BG362-BH362</f>
        <v/>
      </c>
      <c r="BJ362" s="152">
        <f>IF(BM361&lt;=0.005,0,BM361*(1+BJ$6))</f>
        <v/>
      </c>
      <c r="BK362" s="152">
        <f>MIN(BJ362,BJ$7)</f>
        <v/>
      </c>
      <c r="BL362" s="152">
        <f>MAX(0,MIN(BJ362-BK362,CL362-(AZ362+BD362+BH362)))</f>
        <v/>
      </c>
      <c r="BM362" s="152">
        <f>BJ362-BK362-BL362</f>
        <v/>
      </c>
      <c r="BN362" s="152">
        <f>IF(BQ361&lt;=0.005,0,BQ361*(1+BN$6))</f>
        <v/>
      </c>
      <c r="BO362" s="152">
        <f>MIN(BN362,BN$7)</f>
        <v/>
      </c>
      <c r="BP362" s="152">
        <f>MAX(0,MIN(BN362-BO362,CL362-(AZ362+BD362+BH362+BL362)))</f>
        <v/>
      </c>
      <c r="BQ362" s="152">
        <f>BN362-BO362-BP362</f>
        <v/>
      </c>
      <c r="BR362" s="152">
        <f>IF(BU361&lt;=0.005,0,BU361*(1+BR$6))</f>
        <v/>
      </c>
      <c r="BS362" s="152">
        <f>MIN(BR362,BR$7)</f>
        <v/>
      </c>
      <c r="BT362" s="152">
        <f>MAX(0,MIN(BR362-BS362,CL362-(AZ362+BD362+BH362+BL362+BP362)))</f>
        <v/>
      </c>
      <c r="BU362" s="152">
        <f>BR362-BS362-BT362</f>
        <v/>
      </c>
      <c r="BV362" s="152">
        <f>IF(BY361&lt;=0.005,0,BY361*(1+BV$6))</f>
        <v/>
      </c>
      <c r="BW362" s="152">
        <f>MIN(BV362,BV$7)</f>
        <v/>
      </c>
      <c r="BX362" s="152">
        <f>MAX(0,MIN(BV362-BW362,CL362-(AZ362+BD362+BH362+BL362+BP362+BT362)))</f>
        <v/>
      </c>
      <c r="BY362" s="152">
        <f>BV362-BW362-BX362</f>
        <v/>
      </c>
      <c r="BZ362" s="152">
        <f>IF(CC361&lt;=0.005,0,CC361*(1+BZ$6))</f>
        <v/>
      </c>
      <c r="CA362" s="152">
        <f>MIN(BZ362,BZ$7)</f>
        <v/>
      </c>
      <c r="CB362" s="152">
        <f>MAX(0,MIN(BZ362-CA362,CL362-(AZ362+BD362+BH362+BL362+BP362+BT362+BX362)))</f>
        <v/>
      </c>
      <c r="CC362" s="152">
        <f>BZ362-CA362-CB362</f>
        <v/>
      </c>
      <c r="CD362" s="152">
        <f>IF(CG361&lt;=0.005,0,CG361*(1+CD$6))</f>
        <v/>
      </c>
      <c r="CE362" s="152">
        <f>MIN(CD362,CD$7)</f>
        <v/>
      </c>
      <c r="CF362" s="152">
        <f>MAX(0,MIN(CD362-CE362,CL362-(AZ362+BD362+BH362+BL362+BP362+BT362+BX362+CB362)))</f>
        <v/>
      </c>
      <c r="CG362" s="152">
        <f>CD362-CE362-CF362</f>
        <v/>
      </c>
      <c r="CH362" s="152">
        <f>IF(CK361&lt;=0.005,0,CK361*(1+CH$6))</f>
        <v/>
      </c>
      <c r="CI362" s="152">
        <f>MIN(CH362,CH$7)</f>
        <v/>
      </c>
      <c r="CJ362" s="152">
        <f>MAX(0,MIN(CH362-CI362,CL362-(AZ362+BD362+BH362+BL362+BP362+BT362+BX362+CB362+CF362)))</f>
        <v/>
      </c>
      <c r="CK362" s="152">
        <f>CH362-CI362-CJ362</f>
        <v/>
      </c>
      <c r="CL362" s="152">
        <f>'Debt Payoff'!$C$8-SUM(AY362,BC362,BG362,BK362,BO362,BS362,BW362,CA362,CE362,CI362)</f>
        <v/>
      </c>
      <c r="CM362" s="152">
        <f>SUM(AY362,BC362,BG362,BK362,BO362,BS362,BW362,CA362,CE362,CI362)+SUM(AZ362,BD362,BH362,BL362,BP362,BT362,BX362,CB362,CF362,CJ362)</f>
        <v/>
      </c>
      <c r="CN362" s="152">
        <f>SUM(BA362,BE362,BI362,BM362,BQ362,BU362,BY362,CC362,CG362,CK362)</f>
        <v/>
      </c>
      <c r="CO362" s="152">
        <f>IF(AW362&gt;CN$6,NA(),AW362)</f>
        <v/>
      </c>
      <c r="CP362" s="152">
        <f>IF(AW362&gt;CN$6,NA(),CN362)</f>
        <v/>
      </c>
    </row>
    <row r="363">
      <c r="B363" s="152" t="n">
        <v>352</v>
      </c>
      <c r="C363" s="152">
        <f>IF(F362&lt;=0.005,0,F362*(1+C$6))</f>
        <v/>
      </c>
      <c r="D363" s="152">
        <f>MIN(C363,C$7)</f>
        <v/>
      </c>
      <c r="E363" s="152">
        <f>MAX(0,MIN(C363-D363,AQ363))</f>
        <v/>
      </c>
      <c r="F363" s="152">
        <f>C363-D363-E363</f>
        <v/>
      </c>
      <c r="G363" s="152">
        <f>IF(J362&lt;=0.005,0,J362*(1+G$6))</f>
        <v/>
      </c>
      <c r="H363" s="152">
        <f>MIN(G363,G$7)</f>
        <v/>
      </c>
      <c r="I363" s="152">
        <f>MAX(0,MIN(G363-H363,AQ363-(E363)))</f>
        <v/>
      </c>
      <c r="J363" s="152">
        <f>G363-H363-I363</f>
        <v/>
      </c>
      <c r="K363" s="152">
        <f>IF(N362&lt;=0.005,0,N362*(1+K$6))</f>
        <v/>
      </c>
      <c r="L363" s="152">
        <f>MIN(K363,K$7)</f>
        <v/>
      </c>
      <c r="M363" s="152">
        <f>MAX(0,MIN(K363-L363,AQ363-(E363+I363)))</f>
        <v/>
      </c>
      <c r="N363" s="152">
        <f>K363-L363-M363</f>
        <v/>
      </c>
      <c r="O363" s="152">
        <f>IF(R362&lt;=0.005,0,R362*(1+O$6))</f>
        <v/>
      </c>
      <c r="P363" s="152">
        <f>MIN(O363,O$7)</f>
        <v/>
      </c>
      <c r="Q363" s="152">
        <f>MAX(0,MIN(O363-P363,AQ363-(E363+I363+M363)))</f>
        <v/>
      </c>
      <c r="R363" s="152">
        <f>O363-P363-Q363</f>
        <v/>
      </c>
      <c r="S363" s="152">
        <f>IF(V362&lt;=0.005,0,V362*(1+S$6))</f>
        <v/>
      </c>
      <c r="T363" s="152">
        <f>MIN(S363,S$7)</f>
        <v/>
      </c>
      <c r="U363" s="152">
        <f>MAX(0,MIN(S363-T363,AQ363-(E363+I363+M363+Q363)))</f>
        <v/>
      </c>
      <c r="V363" s="152">
        <f>S363-T363-U363</f>
        <v/>
      </c>
      <c r="W363" s="152">
        <f>IF(Z362&lt;=0.005,0,Z362*(1+W$6))</f>
        <v/>
      </c>
      <c r="X363" s="152">
        <f>MIN(W363,W$7)</f>
        <v/>
      </c>
      <c r="Y363" s="152">
        <f>MAX(0,MIN(W363-X363,AQ363-(E363+I363+M363+Q363+U363)))</f>
        <v/>
      </c>
      <c r="Z363" s="152">
        <f>W363-X363-Y363</f>
        <v/>
      </c>
      <c r="AA363" s="152">
        <f>IF(AD362&lt;=0.005,0,AD362*(1+AA$6))</f>
        <v/>
      </c>
      <c r="AB363" s="152">
        <f>MIN(AA363,AA$7)</f>
        <v/>
      </c>
      <c r="AC363" s="152">
        <f>MAX(0,MIN(AA363-AB363,AQ363-(E363+I363+M363+Q363+U363+Y363)))</f>
        <v/>
      </c>
      <c r="AD363" s="152">
        <f>AA363-AB363-AC363</f>
        <v/>
      </c>
      <c r="AE363" s="152">
        <f>IF(AH362&lt;=0.005,0,AH362*(1+AE$6))</f>
        <v/>
      </c>
      <c r="AF363" s="152">
        <f>MIN(AE363,AE$7)</f>
        <v/>
      </c>
      <c r="AG363" s="152">
        <f>MAX(0,MIN(AE363-AF363,AQ363-(E363+I363+M363+Q363+U363+Y363+AC363)))</f>
        <v/>
      </c>
      <c r="AH363" s="152">
        <f>AE363-AF363-AG363</f>
        <v/>
      </c>
      <c r="AI363" s="152">
        <f>IF(AL362&lt;=0.005,0,AL362*(1+AI$6))</f>
        <v/>
      </c>
      <c r="AJ363" s="152">
        <f>MIN(AI363,AI$7)</f>
        <v/>
      </c>
      <c r="AK363" s="152">
        <f>MAX(0,MIN(AI363-AJ363,AQ363-(E363+I363+M363+Q363+U363+Y363+AC363+AG363)))</f>
        <v/>
      </c>
      <c r="AL363" s="152">
        <f>AI363-AJ363-AK363</f>
        <v/>
      </c>
      <c r="AM363" s="152">
        <f>IF(AP362&lt;=0.005,0,AP362*(1+AM$6))</f>
        <v/>
      </c>
      <c r="AN363" s="152">
        <f>MIN(AM363,AM$7)</f>
        <v/>
      </c>
      <c r="AO363" s="152">
        <f>MAX(0,MIN(AM363-AN363,AQ363-(E363+I363+M363+Q363+U363+Y363+AC363+AG363+AK363)))</f>
        <v/>
      </c>
      <c r="AP363" s="152">
        <f>AM363-AN363-AO363</f>
        <v/>
      </c>
      <c r="AQ363" s="152">
        <f>'Debt Payoff'!$C$8-SUM(D363,H363,L363,P363,T363,X363,AB363,AF363,AJ363,AN363)</f>
        <v/>
      </c>
      <c r="AR363" s="152">
        <f>SUM(D363,H363,L363,P363,T363,X363,AB363,AF363,AJ363,AN363)+SUM(E363,I363,M363,Q363,U363,Y363,AC363,AG363,AK363,AO363)</f>
        <v/>
      </c>
      <c r="AS363" s="152">
        <f>SUM(F363,J363,N363,R363,V363,Z363,AD363,AH363,AL363,AP363)</f>
        <v/>
      </c>
      <c r="AT363" s="152">
        <f>IF(B363&gt;AS$6,NA(),B363)</f>
        <v/>
      </c>
      <c r="AU363" s="152">
        <f>IF(B363&gt;AS$6,NA(),AS363)</f>
        <v/>
      </c>
      <c r="AV363" s="152" t="n"/>
      <c r="AW363" s="152" t="n">
        <v>352</v>
      </c>
      <c r="AX363" s="152">
        <f>IF(BA362&lt;=0.005,0,BA362*(1+AX$6))</f>
        <v/>
      </c>
      <c r="AY363" s="152">
        <f>MIN(AX363,AX$7)</f>
        <v/>
      </c>
      <c r="AZ363" s="152">
        <f>MAX(0,MIN(AX363-AY363,CL363))</f>
        <v/>
      </c>
      <c r="BA363" s="152">
        <f>AX363-AY363-AZ363</f>
        <v/>
      </c>
      <c r="BB363" s="152">
        <f>IF(BE362&lt;=0.005,0,BE362*(1+BB$6))</f>
        <v/>
      </c>
      <c r="BC363" s="152">
        <f>MIN(BB363,BB$7)</f>
        <v/>
      </c>
      <c r="BD363" s="152">
        <f>MAX(0,MIN(BB363-BC363,CL363-(AZ363)))</f>
        <v/>
      </c>
      <c r="BE363" s="152">
        <f>BB363-BC363-BD363</f>
        <v/>
      </c>
      <c r="BF363" s="152">
        <f>IF(BI362&lt;=0.005,0,BI362*(1+BF$6))</f>
        <v/>
      </c>
      <c r="BG363" s="152">
        <f>MIN(BF363,BF$7)</f>
        <v/>
      </c>
      <c r="BH363" s="152">
        <f>MAX(0,MIN(BF363-BG363,CL363-(AZ363+BD363)))</f>
        <v/>
      </c>
      <c r="BI363" s="152">
        <f>BF363-BG363-BH363</f>
        <v/>
      </c>
      <c r="BJ363" s="152">
        <f>IF(BM362&lt;=0.005,0,BM362*(1+BJ$6))</f>
        <v/>
      </c>
      <c r="BK363" s="152">
        <f>MIN(BJ363,BJ$7)</f>
        <v/>
      </c>
      <c r="BL363" s="152">
        <f>MAX(0,MIN(BJ363-BK363,CL363-(AZ363+BD363+BH363)))</f>
        <v/>
      </c>
      <c r="BM363" s="152">
        <f>BJ363-BK363-BL363</f>
        <v/>
      </c>
      <c r="BN363" s="152">
        <f>IF(BQ362&lt;=0.005,0,BQ362*(1+BN$6))</f>
        <v/>
      </c>
      <c r="BO363" s="152">
        <f>MIN(BN363,BN$7)</f>
        <v/>
      </c>
      <c r="BP363" s="152">
        <f>MAX(0,MIN(BN363-BO363,CL363-(AZ363+BD363+BH363+BL363)))</f>
        <v/>
      </c>
      <c r="BQ363" s="152">
        <f>BN363-BO363-BP363</f>
        <v/>
      </c>
      <c r="BR363" s="152">
        <f>IF(BU362&lt;=0.005,0,BU362*(1+BR$6))</f>
        <v/>
      </c>
      <c r="BS363" s="152">
        <f>MIN(BR363,BR$7)</f>
        <v/>
      </c>
      <c r="BT363" s="152">
        <f>MAX(0,MIN(BR363-BS363,CL363-(AZ363+BD363+BH363+BL363+BP363)))</f>
        <v/>
      </c>
      <c r="BU363" s="152">
        <f>BR363-BS363-BT363</f>
        <v/>
      </c>
      <c r="BV363" s="152">
        <f>IF(BY362&lt;=0.005,0,BY362*(1+BV$6))</f>
        <v/>
      </c>
      <c r="BW363" s="152">
        <f>MIN(BV363,BV$7)</f>
        <v/>
      </c>
      <c r="BX363" s="152">
        <f>MAX(0,MIN(BV363-BW363,CL363-(AZ363+BD363+BH363+BL363+BP363+BT363)))</f>
        <v/>
      </c>
      <c r="BY363" s="152">
        <f>BV363-BW363-BX363</f>
        <v/>
      </c>
      <c r="BZ363" s="152">
        <f>IF(CC362&lt;=0.005,0,CC362*(1+BZ$6))</f>
        <v/>
      </c>
      <c r="CA363" s="152">
        <f>MIN(BZ363,BZ$7)</f>
        <v/>
      </c>
      <c r="CB363" s="152">
        <f>MAX(0,MIN(BZ363-CA363,CL363-(AZ363+BD363+BH363+BL363+BP363+BT363+BX363)))</f>
        <v/>
      </c>
      <c r="CC363" s="152">
        <f>BZ363-CA363-CB363</f>
        <v/>
      </c>
      <c r="CD363" s="152">
        <f>IF(CG362&lt;=0.005,0,CG362*(1+CD$6))</f>
        <v/>
      </c>
      <c r="CE363" s="152">
        <f>MIN(CD363,CD$7)</f>
        <v/>
      </c>
      <c r="CF363" s="152">
        <f>MAX(0,MIN(CD363-CE363,CL363-(AZ363+BD363+BH363+BL363+BP363+BT363+BX363+CB363)))</f>
        <v/>
      </c>
      <c r="CG363" s="152">
        <f>CD363-CE363-CF363</f>
        <v/>
      </c>
      <c r="CH363" s="152">
        <f>IF(CK362&lt;=0.005,0,CK362*(1+CH$6))</f>
        <v/>
      </c>
      <c r="CI363" s="152">
        <f>MIN(CH363,CH$7)</f>
        <v/>
      </c>
      <c r="CJ363" s="152">
        <f>MAX(0,MIN(CH363-CI363,CL363-(AZ363+BD363+BH363+BL363+BP363+BT363+BX363+CB363+CF363)))</f>
        <v/>
      </c>
      <c r="CK363" s="152">
        <f>CH363-CI363-CJ363</f>
        <v/>
      </c>
      <c r="CL363" s="152">
        <f>'Debt Payoff'!$C$8-SUM(AY363,BC363,BG363,BK363,BO363,BS363,BW363,CA363,CE363,CI363)</f>
        <v/>
      </c>
      <c r="CM363" s="152">
        <f>SUM(AY363,BC363,BG363,BK363,BO363,BS363,BW363,CA363,CE363,CI363)+SUM(AZ363,BD363,BH363,BL363,BP363,BT363,BX363,CB363,CF363,CJ363)</f>
        <v/>
      </c>
      <c r="CN363" s="152">
        <f>SUM(BA363,BE363,BI363,BM363,BQ363,BU363,BY363,CC363,CG363,CK363)</f>
        <v/>
      </c>
      <c r="CO363" s="152">
        <f>IF(AW363&gt;CN$6,NA(),AW363)</f>
        <v/>
      </c>
      <c r="CP363" s="152">
        <f>IF(AW363&gt;CN$6,NA(),CN363)</f>
        <v/>
      </c>
    </row>
    <row r="364">
      <c r="B364" s="152" t="n">
        <v>353</v>
      </c>
      <c r="C364" s="152">
        <f>IF(F363&lt;=0.005,0,F363*(1+C$6))</f>
        <v/>
      </c>
      <c r="D364" s="152">
        <f>MIN(C364,C$7)</f>
        <v/>
      </c>
      <c r="E364" s="152">
        <f>MAX(0,MIN(C364-D364,AQ364))</f>
        <v/>
      </c>
      <c r="F364" s="152">
        <f>C364-D364-E364</f>
        <v/>
      </c>
      <c r="G364" s="152">
        <f>IF(J363&lt;=0.005,0,J363*(1+G$6))</f>
        <v/>
      </c>
      <c r="H364" s="152">
        <f>MIN(G364,G$7)</f>
        <v/>
      </c>
      <c r="I364" s="152">
        <f>MAX(0,MIN(G364-H364,AQ364-(E364)))</f>
        <v/>
      </c>
      <c r="J364" s="152">
        <f>G364-H364-I364</f>
        <v/>
      </c>
      <c r="K364" s="152">
        <f>IF(N363&lt;=0.005,0,N363*(1+K$6))</f>
        <v/>
      </c>
      <c r="L364" s="152">
        <f>MIN(K364,K$7)</f>
        <v/>
      </c>
      <c r="M364" s="152">
        <f>MAX(0,MIN(K364-L364,AQ364-(E364+I364)))</f>
        <v/>
      </c>
      <c r="N364" s="152">
        <f>K364-L364-M364</f>
        <v/>
      </c>
      <c r="O364" s="152">
        <f>IF(R363&lt;=0.005,0,R363*(1+O$6))</f>
        <v/>
      </c>
      <c r="P364" s="152">
        <f>MIN(O364,O$7)</f>
        <v/>
      </c>
      <c r="Q364" s="152">
        <f>MAX(0,MIN(O364-P364,AQ364-(E364+I364+M364)))</f>
        <v/>
      </c>
      <c r="R364" s="152">
        <f>O364-P364-Q364</f>
        <v/>
      </c>
      <c r="S364" s="152">
        <f>IF(V363&lt;=0.005,0,V363*(1+S$6))</f>
        <v/>
      </c>
      <c r="T364" s="152">
        <f>MIN(S364,S$7)</f>
        <v/>
      </c>
      <c r="U364" s="152">
        <f>MAX(0,MIN(S364-T364,AQ364-(E364+I364+M364+Q364)))</f>
        <v/>
      </c>
      <c r="V364" s="152">
        <f>S364-T364-U364</f>
        <v/>
      </c>
      <c r="W364" s="152">
        <f>IF(Z363&lt;=0.005,0,Z363*(1+W$6))</f>
        <v/>
      </c>
      <c r="X364" s="152">
        <f>MIN(W364,W$7)</f>
        <v/>
      </c>
      <c r="Y364" s="152">
        <f>MAX(0,MIN(W364-X364,AQ364-(E364+I364+M364+Q364+U364)))</f>
        <v/>
      </c>
      <c r="Z364" s="152">
        <f>W364-X364-Y364</f>
        <v/>
      </c>
      <c r="AA364" s="152">
        <f>IF(AD363&lt;=0.005,0,AD363*(1+AA$6))</f>
        <v/>
      </c>
      <c r="AB364" s="152">
        <f>MIN(AA364,AA$7)</f>
        <v/>
      </c>
      <c r="AC364" s="152">
        <f>MAX(0,MIN(AA364-AB364,AQ364-(E364+I364+M364+Q364+U364+Y364)))</f>
        <v/>
      </c>
      <c r="AD364" s="152">
        <f>AA364-AB364-AC364</f>
        <v/>
      </c>
      <c r="AE364" s="152">
        <f>IF(AH363&lt;=0.005,0,AH363*(1+AE$6))</f>
        <v/>
      </c>
      <c r="AF364" s="152">
        <f>MIN(AE364,AE$7)</f>
        <v/>
      </c>
      <c r="AG364" s="152">
        <f>MAX(0,MIN(AE364-AF364,AQ364-(E364+I364+M364+Q364+U364+Y364+AC364)))</f>
        <v/>
      </c>
      <c r="AH364" s="152">
        <f>AE364-AF364-AG364</f>
        <v/>
      </c>
      <c r="AI364" s="152">
        <f>IF(AL363&lt;=0.005,0,AL363*(1+AI$6))</f>
        <v/>
      </c>
      <c r="AJ364" s="152">
        <f>MIN(AI364,AI$7)</f>
        <v/>
      </c>
      <c r="AK364" s="152">
        <f>MAX(0,MIN(AI364-AJ364,AQ364-(E364+I364+M364+Q364+U364+Y364+AC364+AG364)))</f>
        <v/>
      </c>
      <c r="AL364" s="152">
        <f>AI364-AJ364-AK364</f>
        <v/>
      </c>
      <c r="AM364" s="152">
        <f>IF(AP363&lt;=0.005,0,AP363*(1+AM$6))</f>
        <v/>
      </c>
      <c r="AN364" s="152">
        <f>MIN(AM364,AM$7)</f>
        <v/>
      </c>
      <c r="AO364" s="152">
        <f>MAX(0,MIN(AM364-AN364,AQ364-(E364+I364+M364+Q364+U364+Y364+AC364+AG364+AK364)))</f>
        <v/>
      </c>
      <c r="AP364" s="152">
        <f>AM364-AN364-AO364</f>
        <v/>
      </c>
      <c r="AQ364" s="152">
        <f>'Debt Payoff'!$C$8-SUM(D364,H364,L364,P364,T364,X364,AB364,AF364,AJ364,AN364)</f>
        <v/>
      </c>
      <c r="AR364" s="152">
        <f>SUM(D364,H364,L364,P364,T364,X364,AB364,AF364,AJ364,AN364)+SUM(E364,I364,M364,Q364,U364,Y364,AC364,AG364,AK364,AO364)</f>
        <v/>
      </c>
      <c r="AS364" s="152">
        <f>SUM(F364,J364,N364,R364,V364,Z364,AD364,AH364,AL364,AP364)</f>
        <v/>
      </c>
      <c r="AT364" s="152">
        <f>IF(B364&gt;AS$6,NA(),B364)</f>
        <v/>
      </c>
      <c r="AU364" s="152">
        <f>IF(B364&gt;AS$6,NA(),AS364)</f>
        <v/>
      </c>
      <c r="AV364" s="152" t="n"/>
      <c r="AW364" s="152" t="n">
        <v>353</v>
      </c>
      <c r="AX364" s="152">
        <f>IF(BA363&lt;=0.005,0,BA363*(1+AX$6))</f>
        <v/>
      </c>
      <c r="AY364" s="152">
        <f>MIN(AX364,AX$7)</f>
        <v/>
      </c>
      <c r="AZ364" s="152">
        <f>MAX(0,MIN(AX364-AY364,CL364))</f>
        <v/>
      </c>
      <c r="BA364" s="152">
        <f>AX364-AY364-AZ364</f>
        <v/>
      </c>
      <c r="BB364" s="152">
        <f>IF(BE363&lt;=0.005,0,BE363*(1+BB$6))</f>
        <v/>
      </c>
      <c r="BC364" s="152">
        <f>MIN(BB364,BB$7)</f>
        <v/>
      </c>
      <c r="BD364" s="152">
        <f>MAX(0,MIN(BB364-BC364,CL364-(AZ364)))</f>
        <v/>
      </c>
      <c r="BE364" s="152">
        <f>BB364-BC364-BD364</f>
        <v/>
      </c>
      <c r="BF364" s="152">
        <f>IF(BI363&lt;=0.005,0,BI363*(1+BF$6))</f>
        <v/>
      </c>
      <c r="BG364" s="152">
        <f>MIN(BF364,BF$7)</f>
        <v/>
      </c>
      <c r="BH364" s="152">
        <f>MAX(0,MIN(BF364-BG364,CL364-(AZ364+BD364)))</f>
        <v/>
      </c>
      <c r="BI364" s="152">
        <f>BF364-BG364-BH364</f>
        <v/>
      </c>
      <c r="BJ364" s="152">
        <f>IF(BM363&lt;=0.005,0,BM363*(1+BJ$6))</f>
        <v/>
      </c>
      <c r="BK364" s="152">
        <f>MIN(BJ364,BJ$7)</f>
        <v/>
      </c>
      <c r="BL364" s="152">
        <f>MAX(0,MIN(BJ364-BK364,CL364-(AZ364+BD364+BH364)))</f>
        <v/>
      </c>
      <c r="BM364" s="152">
        <f>BJ364-BK364-BL364</f>
        <v/>
      </c>
      <c r="BN364" s="152">
        <f>IF(BQ363&lt;=0.005,0,BQ363*(1+BN$6))</f>
        <v/>
      </c>
      <c r="BO364" s="152">
        <f>MIN(BN364,BN$7)</f>
        <v/>
      </c>
      <c r="BP364" s="152">
        <f>MAX(0,MIN(BN364-BO364,CL364-(AZ364+BD364+BH364+BL364)))</f>
        <v/>
      </c>
      <c r="BQ364" s="152">
        <f>BN364-BO364-BP364</f>
        <v/>
      </c>
      <c r="BR364" s="152">
        <f>IF(BU363&lt;=0.005,0,BU363*(1+BR$6))</f>
        <v/>
      </c>
      <c r="BS364" s="152">
        <f>MIN(BR364,BR$7)</f>
        <v/>
      </c>
      <c r="BT364" s="152">
        <f>MAX(0,MIN(BR364-BS364,CL364-(AZ364+BD364+BH364+BL364+BP364)))</f>
        <v/>
      </c>
      <c r="BU364" s="152">
        <f>BR364-BS364-BT364</f>
        <v/>
      </c>
      <c r="BV364" s="152">
        <f>IF(BY363&lt;=0.005,0,BY363*(1+BV$6))</f>
        <v/>
      </c>
      <c r="BW364" s="152">
        <f>MIN(BV364,BV$7)</f>
        <v/>
      </c>
      <c r="BX364" s="152">
        <f>MAX(0,MIN(BV364-BW364,CL364-(AZ364+BD364+BH364+BL364+BP364+BT364)))</f>
        <v/>
      </c>
      <c r="BY364" s="152">
        <f>BV364-BW364-BX364</f>
        <v/>
      </c>
      <c r="BZ364" s="152">
        <f>IF(CC363&lt;=0.005,0,CC363*(1+BZ$6))</f>
        <v/>
      </c>
      <c r="CA364" s="152">
        <f>MIN(BZ364,BZ$7)</f>
        <v/>
      </c>
      <c r="CB364" s="152">
        <f>MAX(0,MIN(BZ364-CA364,CL364-(AZ364+BD364+BH364+BL364+BP364+BT364+BX364)))</f>
        <v/>
      </c>
      <c r="CC364" s="152">
        <f>BZ364-CA364-CB364</f>
        <v/>
      </c>
      <c r="CD364" s="152">
        <f>IF(CG363&lt;=0.005,0,CG363*(1+CD$6))</f>
        <v/>
      </c>
      <c r="CE364" s="152">
        <f>MIN(CD364,CD$7)</f>
        <v/>
      </c>
      <c r="CF364" s="152">
        <f>MAX(0,MIN(CD364-CE364,CL364-(AZ364+BD364+BH364+BL364+BP364+BT364+BX364+CB364)))</f>
        <v/>
      </c>
      <c r="CG364" s="152">
        <f>CD364-CE364-CF364</f>
        <v/>
      </c>
      <c r="CH364" s="152">
        <f>IF(CK363&lt;=0.005,0,CK363*(1+CH$6))</f>
        <v/>
      </c>
      <c r="CI364" s="152">
        <f>MIN(CH364,CH$7)</f>
        <v/>
      </c>
      <c r="CJ364" s="152">
        <f>MAX(0,MIN(CH364-CI364,CL364-(AZ364+BD364+BH364+BL364+BP364+BT364+BX364+CB364+CF364)))</f>
        <v/>
      </c>
      <c r="CK364" s="152">
        <f>CH364-CI364-CJ364</f>
        <v/>
      </c>
      <c r="CL364" s="152">
        <f>'Debt Payoff'!$C$8-SUM(AY364,BC364,BG364,BK364,BO364,BS364,BW364,CA364,CE364,CI364)</f>
        <v/>
      </c>
      <c r="CM364" s="152">
        <f>SUM(AY364,BC364,BG364,BK364,BO364,BS364,BW364,CA364,CE364,CI364)+SUM(AZ364,BD364,BH364,BL364,BP364,BT364,BX364,CB364,CF364,CJ364)</f>
        <v/>
      </c>
      <c r="CN364" s="152">
        <f>SUM(BA364,BE364,BI364,BM364,BQ364,BU364,BY364,CC364,CG364,CK364)</f>
        <v/>
      </c>
      <c r="CO364" s="152">
        <f>IF(AW364&gt;CN$6,NA(),AW364)</f>
        <v/>
      </c>
      <c r="CP364" s="152">
        <f>IF(AW364&gt;CN$6,NA(),CN364)</f>
        <v/>
      </c>
    </row>
    <row r="365">
      <c r="B365" s="152" t="n">
        <v>354</v>
      </c>
      <c r="C365" s="152">
        <f>IF(F364&lt;=0.005,0,F364*(1+C$6))</f>
        <v/>
      </c>
      <c r="D365" s="152">
        <f>MIN(C365,C$7)</f>
        <v/>
      </c>
      <c r="E365" s="152">
        <f>MAX(0,MIN(C365-D365,AQ365))</f>
        <v/>
      </c>
      <c r="F365" s="152">
        <f>C365-D365-E365</f>
        <v/>
      </c>
      <c r="G365" s="152">
        <f>IF(J364&lt;=0.005,0,J364*(1+G$6))</f>
        <v/>
      </c>
      <c r="H365" s="152">
        <f>MIN(G365,G$7)</f>
        <v/>
      </c>
      <c r="I365" s="152">
        <f>MAX(0,MIN(G365-H365,AQ365-(E365)))</f>
        <v/>
      </c>
      <c r="J365" s="152">
        <f>G365-H365-I365</f>
        <v/>
      </c>
      <c r="K365" s="152">
        <f>IF(N364&lt;=0.005,0,N364*(1+K$6))</f>
        <v/>
      </c>
      <c r="L365" s="152">
        <f>MIN(K365,K$7)</f>
        <v/>
      </c>
      <c r="M365" s="152">
        <f>MAX(0,MIN(K365-L365,AQ365-(E365+I365)))</f>
        <v/>
      </c>
      <c r="N365" s="152">
        <f>K365-L365-M365</f>
        <v/>
      </c>
      <c r="O365" s="152">
        <f>IF(R364&lt;=0.005,0,R364*(1+O$6))</f>
        <v/>
      </c>
      <c r="P365" s="152">
        <f>MIN(O365,O$7)</f>
        <v/>
      </c>
      <c r="Q365" s="152">
        <f>MAX(0,MIN(O365-P365,AQ365-(E365+I365+M365)))</f>
        <v/>
      </c>
      <c r="R365" s="152">
        <f>O365-P365-Q365</f>
        <v/>
      </c>
      <c r="S365" s="152">
        <f>IF(V364&lt;=0.005,0,V364*(1+S$6))</f>
        <v/>
      </c>
      <c r="T365" s="152">
        <f>MIN(S365,S$7)</f>
        <v/>
      </c>
      <c r="U365" s="152">
        <f>MAX(0,MIN(S365-T365,AQ365-(E365+I365+M365+Q365)))</f>
        <v/>
      </c>
      <c r="V365" s="152">
        <f>S365-T365-U365</f>
        <v/>
      </c>
      <c r="W365" s="152">
        <f>IF(Z364&lt;=0.005,0,Z364*(1+W$6))</f>
        <v/>
      </c>
      <c r="X365" s="152">
        <f>MIN(W365,W$7)</f>
        <v/>
      </c>
      <c r="Y365" s="152">
        <f>MAX(0,MIN(W365-X365,AQ365-(E365+I365+M365+Q365+U365)))</f>
        <v/>
      </c>
      <c r="Z365" s="152">
        <f>W365-X365-Y365</f>
        <v/>
      </c>
      <c r="AA365" s="152">
        <f>IF(AD364&lt;=0.005,0,AD364*(1+AA$6))</f>
        <v/>
      </c>
      <c r="AB365" s="152">
        <f>MIN(AA365,AA$7)</f>
        <v/>
      </c>
      <c r="AC365" s="152">
        <f>MAX(0,MIN(AA365-AB365,AQ365-(E365+I365+M365+Q365+U365+Y365)))</f>
        <v/>
      </c>
      <c r="AD365" s="152">
        <f>AA365-AB365-AC365</f>
        <v/>
      </c>
      <c r="AE365" s="152">
        <f>IF(AH364&lt;=0.005,0,AH364*(1+AE$6))</f>
        <v/>
      </c>
      <c r="AF365" s="152">
        <f>MIN(AE365,AE$7)</f>
        <v/>
      </c>
      <c r="AG365" s="152">
        <f>MAX(0,MIN(AE365-AF365,AQ365-(E365+I365+M365+Q365+U365+Y365+AC365)))</f>
        <v/>
      </c>
      <c r="AH365" s="152">
        <f>AE365-AF365-AG365</f>
        <v/>
      </c>
      <c r="AI365" s="152">
        <f>IF(AL364&lt;=0.005,0,AL364*(1+AI$6))</f>
        <v/>
      </c>
      <c r="AJ365" s="152">
        <f>MIN(AI365,AI$7)</f>
        <v/>
      </c>
      <c r="AK365" s="152">
        <f>MAX(0,MIN(AI365-AJ365,AQ365-(E365+I365+M365+Q365+U365+Y365+AC365+AG365)))</f>
        <v/>
      </c>
      <c r="AL365" s="152">
        <f>AI365-AJ365-AK365</f>
        <v/>
      </c>
      <c r="AM365" s="152">
        <f>IF(AP364&lt;=0.005,0,AP364*(1+AM$6))</f>
        <v/>
      </c>
      <c r="AN365" s="152">
        <f>MIN(AM365,AM$7)</f>
        <v/>
      </c>
      <c r="AO365" s="152">
        <f>MAX(0,MIN(AM365-AN365,AQ365-(E365+I365+M365+Q365+U365+Y365+AC365+AG365+AK365)))</f>
        <v/>
      </c>
      <c r="AP365" s="152">
        <f>AM365-AN365-AO365</f>
        <v/>
      </c>
      <c r="AQ365" s="152">
        <f>'Debt Payoff'!$C$8-SUM(D365,H365,L365,P365,T365,X365,AB365,AF365,AJ365,AN365)</f>
        <v/>
      </c>
      <c r="AR365" s="152">
        <f>SUM(D365,H365,L365,P365,T365,X365,AB365,AF365,AJ365,AN365)+SUM(E365,I365,M365,Q365,U365,Y365,AC365,AG365,AK365,AO365)</f>
        <v/>
      </c>
      <c r="AS365" s="152">
        <f>SUM(F365,J365,N365,R365,V365,Z365,AD365,AH365,AL365,AP365)</f>
        <v/>
      </c>
      <c r="AT365" s="152">
        <f>IF(B365&gt;AS$6,NA(),B365)</f>
        <v/>
      </c>
      <c r="AU365" s="152">
        <f>IF(B365&gt;AS$6,NA(),AS365)</f>
        <v/>
      </c>
      <c r="AV365" s="152" t="n"/>
      <c r="AW365" s="152" t="n">
        <v>354</v>
      </c>
      <c r="AX365" s="152">
        <f>IF(BA364&lt;=0.005,0,BA364*(1+AX$6))</f>
        <v/>
      </c>
      <c r="AY365" s="152">
        <f>MIN(AX365,AX$7)</f>
        <v/>
      </c>
      <c r="AZ365" s="152">
        <f>MAX(0,MIN(AX365-AY365,CL365))</f>
        <v/>
      </c>
      <c r="BA365" s="152">
        <f>AX365-AY365-AZ365</f>
        <v/>
      </c>
      <c r="BB365" s="152">
        <f>IF(BE364&lt;=0.005,0,BE364*(1+BB$6))</f>
        <v/>
      </c>
      <c r="BC365" s="152">
        <f>MIN(BB365,BB$7)</f>
        <v/>
      </c>
      <c r="BD365" s="152">
        <f>MAX(0,MIN(BB365-BC365,CL365-(AZ365)))</f>
        <v/>
      </c>
      <c r="BE365" s="152">
        <f>BB365-BC365-BD365</f>
        <v/>
      </c>
      <c r="BF365" s="152">
        <f>IF(BI364&lt;=0.005,0,BI364*(1+BF$6))</f>
        <v/>
      </c>
      <c r="BG365" s="152">
        <f>MIN(BF365,BF$7)</f>
        <v/>
      </c>
      <c r="BH365" s="152">
        <f>MAX(0,MIN(BF365-BG365,CL365-(AZ365+BD365)))</f>
        <v/>
      </c>
      <c r="BI365" s="152">
        <f>BF365-BG365-BH365</f>
        <v/>
      </c>
      <c r="BJ365" s="152">
        <f>IF(BM364&lt;=0.005,0,BM364*(1+BJ$6))</f>
        <v/>
      </c>
      <c r="BK365" s="152">
        <f>MIN(BJ365,BJ$7)</f>
        <v/>
      </c>
      <c r="BL365" s="152">
        <f>MAX(0,MIN(BJ365-BK365,CL365-(AZ365+BD365+BH365)))</f>
        <v/>
      </c>
      <c r="BM365" s="152">
        <f>BJ365-BK365-BL365</f>
        <v/>
      </c>
      <c r="BN365" s="152">
        <f>IF(BQ364&lt;=0.005,0,BQ364*(1+BN$6))</f>
        <v/>
      </c>
      <c r="BO365" s="152">
        <f>MIN(BN365,BN$7)</f>
        <v/>
      </c>
      <c r="BP365" s="152">
        <f>MAX(0,MIN(BN365-BO365,CL365-(AZ365+BD365+BH365+BL365)))</f>
        <v/>
      </c>
      <c r="BQ365" s="152">
        <f>BN365-BO365-BP365</f>
        <v/>
      </c>
      <c r="BR365" s="152">
        <f>IF(BU364&lt;=0.005,0,BU364*(1+BR$6))</f>
        <v/>
      </c>
      <c r="BS365" s="152">
        <f>MIN(BR365,BR$7)</f>
        <v/>
      </c>
      <c r="BT365" s="152">
        <f>MAX(0,MIN(BR365-BS365,CL365-(AZ365+BD365+BH365+BL365+BP365)))</f>
        <v/>
      </c>
      <c r="BU365" s="152">
        <f>BR365-BS365-BT365</f>
        <v/>
      </c>
      <c r="BV365" s="152">
        <f>IF(BY364&lt;=0.005,0,BY364*(1+BV$6))</f>
        <v/>
      </c>
      <c r="BW365" s="152">
        <f>MIN(BV365,BV$7)</f>
        <v/>
      </c>
      <c r="BX365" s="152">
        <f>MAX(0,MIN(BV365-BW365,CL365-(AZ365+BD365+BH365+BL365+BP365+BT365)))</f>
        <v/>
      </c>
      <c r="BY365" s="152">
        <f>BV365-BW365-BX365</f>
        <v/>
      </c>
      <c r="BZ365" s="152">
        <f>IF(CC364&lt;=0.005,0,CC364*(1+BZ$6))</f>
        <v/>
      </c>
      <c r="CA365" s="152">
        <f>MIN(BZ365,BZ$7)</f>
        <v/>
      </c>
      <c r="CB365" s="152">
        <f>MAX(0,MIN(BZ365-CA365,CL365-(AZ365+BD365+BH365+BL365+BP365+BT365+BX365)))</f>
        <v/>
      </c>
      <c r="CC365" s="152">
        <f>BZ365-CA365-CB365</f>
        <v/>
      </c>
      <c r="CD365" s="152">
        <f>IF(CG364&lt;=0.005,0,CG364*(1+CD$6))</f>
        <v/>
      </c>
      <c r="CE365" s="152">
        <f>MIN(CD365,CD$7)</f>
        <v/>
      </c>
      <c r="CF365" s="152">
        <f>MAX(0,MIN(CD365-CE365,CL365-(AZ365+BD365+BH365+BL365+BP365+BT365+BX365+CB365)))</f>
        <v/>
      </c>
      <c r="CG365" s="152">
        <f>CD365-CE365-CF365</f>
        <v/>
      </c>
      <c r="CH365" s="152">
        <f>IF(CK364&lt;=0.005,0,CK364*(1+CH$6))</f>
        <v/>
      </c>
      <c r="CI365" s="152">
        <f>MIN(CH365,CH$7)</f>
        <v/>
      </c>
      <c r="CJ365" s="152">
        <f>MAX(0,MIN(CH365-CI365,CL365-(AZ365+BD365+BH365+BL365+BP365+BT365+BX365+CB365+CF365)))</f>
        <v/>
      </c>
      <c r="CK365" s="152">
        <f>CH365-CI365-CJ365</f>
        <v/>
      </c>
      <c r="CL365" s="152">
        <f>'Debt Payoff'!$C$8-SUM(AY365,BC365,BG365,BK365,BO365,BS365,BW365,CA365,CE365,CI365)</f>
        <v/>
      </c>
      <c r="CM365" s="152">
        <f>SUM(AY365,BC365,BG365,BK365,BO365,BS365,BW365,CA365,CE365,CI365)+SUM(AZ365,BD365,BH365,BL365,BP365,BT365,BX365,CB365,CF365,CJ365)</f>
        <v/>
      </c>
      <c r="CN365" s="152">
        <f>SUM(BA365,BE365,BI365,BM365,BQ365,BU365,BY365,CC365,CG365,CK365)</f>
        <v/>
      </c>
      <c r="CO365" s="152">
        <f>IF(AW365&gt;CN$6,NA(),AW365)</f>
        <v/>
      </c>
      <c r="CP365" s="152">
        <f>IF(AW365&gt;CN$6,NA(),CN365)</f>
        <v/>
      </c>
    </row>
    <row r="366">
      <c r="B366" s="152" t="n">
        <v>355</v>
      </c>
      <c r="C366" s="152">
        <f>IF(F365&lt;=0.005,0,F365*(1+C$6))</f>
        <v/>
      </c>
      <c r="D366" s="152">
        <f>MIN(C366,C$7)</f>
        <v/>
      </c>
      <c r="E366" s="152">
        <f>MAX(0,MIN(C366-D366,AQ366))</f>
        <v/>
      </c>
      <c r="F366" s="152">
        <f>C366-D366-E366</f>
        <v/>
      </c>
      <c r="G366" s="152">
        <f>IF(J365&lt;=0.005,0,J365*(1+G$6))</f>
        <v/>
      </c>
      <c r="H366" s="152">
        <f>MIN(G366,G$7)</f>
        <v/>
      </c>
      <c r="I366" s="152">
        <f>MAX(0,MIN(G366-H366,AQ366-(E366)))</f>
        <v/>
      </c>
      <c r="J366" s="152">
        <f>G366-H366-I366</f>
        <v/>
      </c>
      <c r="K366" s="152">
        <f>IF(N365&lt;=0.005,0,N365*(1+K$6))</f>
        <v/>
      </c>
      <c r="L366" s="152">
        <f>MIN(K366,K$7)</f>
        <v/>
      </c>
      <c r="M366" s="152">
        <f>MAX(0,MIN(K366-L366,AQ366-(E366+I366)))</f>
        <v/>
      </c>
      <c r="N366" s="152">
        <f>K366-L366-M366</f>
        <v/>
      </c>
      <c r="O366" s="152">
        <f>IF(R365&lt;=0.005,0,R365*(1+O$6))</f>
        <v/>
      </c>
      <c r="P366" s="152">
        <f>MIN(O366,O$7)</f>
        <v/>
      </c>
      <c r="Q366" s="152">
        <f>MAX(0,MIN(O366-P366,AQ366-(E366+I366+M366)))</f>
        <v/>
      </c>
      <c r="R366" s="152">
        <f>O366-P366-Q366</f>
        <v/>
      </c>
      <c r="S366" s="152">
        <f>IF(V365&lt;=0.005,0,V365*(1+S$6))</f>
        <v/>
      </c>
      <c r="T366" s="152">
        <f>MIN(S366,S$7)</f>
        <v/>
      </c>
      <c r="U366" s="152">
        <f>MAX(0,MIN(S366-T366,AQ366-(E366+I366+M366+Q366)))</f>
        <v/>
      </c>
      <c r="V366" s="152">
        <f>S366-T366-U366</f>
        <v/>
      </c>
      <c r="W366" s="152">
        <f>IF(Z365&lt;=0.005,0,Z365*(1+W$6))</f>
        <v/>
      </c>
      <c r="X366" s="152">
        <f>MIN(W366,W$7)</f>
        <v/>
      </c>
      <c r="Y366" s="152">
        <f>MAX(0,MIN(W366-X366,AQ366-(E366+I366+M366+Q366+U366)))</f>
        <v/>
      </c>
      <c r="Z366" s="152">
        <f>W366-X366-Y366</f>
        <v/>
      </c>
      <c r="AA366" s="152">
        <f>IF(AD365&lt;=0.005,0,AD365*(1+AA$6))</f>
        <v/>
      </c>
      <c r="AB366" s="152">
        <f>MIN(AA366,AA$7)</f>
        <v/>
      </c>
      <c r="AC366" s="152">
        <f>MAX(0,MIN(AA366-AB366,AQ366-(E366+I366+M366+Q366+U366+Y366)))</f>
        <v/>
      </c>
      <c r="AD366" s="152">
        <f>AA366-AB366-AC366</f>
        <v/>
      </c>
      <c r="AE366" s="152">
        <f>IF(AH365&lt;=0.005,0,AH365*(1+AE$6))</f>
        <v/>
      </c>
      <c r="AF366" s="152">
        <f>MIN(AE366,AE$7)</f>
        <v/>
      </c>
      <c r="AG366" s="152">
        <f>MAX(0,MIN(AE366-AF366,AQ366-(E366+I366+M366+Q366+U366+Y366+AC366)))</f>
        <v/>
      </c>
      <c r="AH366" s="152">
        <f>AE366-AF366-AG366</f>
        <v/>
      </c>
      <c r="AI366" s="152">
        <f>IF(AL365&lt;=0.005,0,AL365*(1+AI$6))</f>
        <v/>
      </c>
      <c r="AJ366" s="152">
        <f>MIN(AI366,AI$7)</f>
        <v/>
      </c>
      <c r="AK366" s="152">
        <f>MAX(0,MIN(AI366-AJ366,AQ366-(E366+I366+M366+Q366+U366+Y366+AC366+AG366)))</f>
        <v/>
      </c>
      <c r="AL366" s="152">
        <f>AI366-AJ366-AK366</f>
        <v/>
      </c>
      <c r="AM366" s="152">
        <f>IF(AP365&lt;=0.005,0,AP365*(1+AM$6))</f>
        <v/>
      </c>
      <c r="AN366" s="152">
        <f>MIN(AM366,AM$7)</f>
        <v/>
      </c>
      <c r="AO366" s="152">
        <f>MAX(0,MIN(AM366-AN366,AQ366-(E366+I366+M366+Q366+U366+Y366+AC366+AG366+AK366)))</f>
        <v/>
      </c>
      <c r="AP366" s="152">
        <f>AM366-AN366-AO366</f>
        <v/>
      </c>
      <c r="AQ366" s="152">
        <f>'Debt Payoff'!$C$8-SUM(D366,H366,L366,P366,T366,X366,AB366,AF366,AJ366,AN366)</f>
        <v/>
      </c>
      <c r="AR366" s="152">
        <f>SUM(D366,H366,L366,P366,T366,X366,AB366,AF366,AJ366,AN366)+SUM(E366,I366,M366,Q366,U366,Y366,AC366,AG366,AK366,AO366)</f>
        <v/>
      </c>
      <c r="AS366" s="152">
        <f>SUM(F366,J366,N366,R366,V366,Z366,AD366,AH366,AL366,AP366)</f>
        <v/>
      </c>
      <c r="AT366" s="152">
        <f>IF(B366&gt;AS$6,NA(),B366)</f>
        <v/>
      </c>
      <c r="AU366" s="152">
        <f>IF(B366&gt;AS$6,NA(),AS366)</f>
        <v/>
      </c>
      <c r="AV366" s="152" t="n"/>
      <c r="AW366" s="152" t="n">
        <v>355</v>
      </c>
      <c r="AX366" s="152">
        <f>IF(BA365&lt;=0.005,0,BA365*(1+AX$6))</f>
        <v/>
      </c>
      <c r="AY366" s="152">
        <f>MIN(AX366,AX$7)</f>
        <v/>
      </c>
      <c r="AZ366" s="152">
        <f>MAX(0,MIN(AX366-AY366,CL366))</f>
        <v/>
      </c>
      <c r="BA366" s="152">
        <f>AX366-AY366-AZ366</f>
        <v/>
      </c>
      <c r="BB366" s="152">
        <f>IF(BE365&lt;=0.005,0,BE365*(1+BB$6))</f>
        <v/>
      </c>
      <c r="BC366" s="152">
        <f>MIN(BB366,BB$7)</f>
        <v/>
      </c>
      <c r="BD366" s="152">
        <f>MAX(0,MIN(BB366-BC366,CL366-(AZ366)))</f>
        <v/>
      </c>
      <c r="BE366" s="152">
        <f>BB366-BC366-BD366</f>
        <v/>
      </c>
      <c r="BF366" s="152">
        <f>IF(BI365&lt;=0.005,0,BI365*(1+BF$6))</f>
        <v/>
      </c>
      <c r="BG366" s="152">
        <f>MIN(BF366,BF$7)</f>
        <v/>
      </c>
      <c r="BH366" s="152">
        <f>MAX(0,MIN(BF366-BG366,CL366-(AZ366+BD366)))</f>
        <v/>
      </c>
      <c r="BI366" s="152">
        <f>BF366-BG366-BH366</f>
        <v/>
      </c>
      <c r="BJ366" s="152">
        <f>IF(BM365&lt;=0.005,0,BM365*(1+BJ$6))</f>
        <v/>
      </c>
      <c r="BK366" s="152">
        <f>MIN(BJ366,BJ$7)</f>
        <v/>
      </c>
      <c r="BL366" s="152">
        <f>MAX(0,MIN(BJ366-BK366,CL366-(AZ366+BD366+BH366)))</f>
        <v/>
      </c>
      <c r="BM366" s="152">
        <f>BJ366-BK366-BL366</f>
        <v/>
      </c>
      <c r="BN366" s="152">
        <f>IF(BQ365&lt;=0.005,0,BQ365*(1+BN$6))</f>
        <v/>
      </c>
      <c r="BO366" s="152">
        <f>MIN(BN366,BN$7)</f>
        <v/>
      </c>
      <c r="BP366" s="152">
        <f>MAX(0,MIN(BN366-BO366,CL366-(AZ366+BD366+BH366+BL366)))</f>
        <v/>
      </c>
      <c r="BQ366" s="152">
        <f>BN366-BO366-BP366</f>
        <v/>
      </c>
      <c r="BR366" s="152">
        <f>IF(BU365&lt;=0.005,0,BU365*(1+BR$6))</f>
        <v/>
      </c>
      <c r="BS366" s="152">
        <f>MIN(BR366,BR$7)</f>
        <v/>
      </c>
      <c r="BT366" s="152">
        <f>MAX(0,MIN(BR366-BS366,CL366-(AZ366+BD366+BH366+BL366+BP366)))</f>
        <v/>
      </c>
      <c r="BU366" s="152">
        <f>BR366-BS366-BT366</f>
        <v/>
      </c>
      <c r="BV366" s="152">
        <f>IF(BY365&lt;=0.005,0,BY365*(1+BV$6))</f>
        <v/>
      </c>
      <c r="BW366" s="152">
        <f>MIN(BV366,BV$7)</f>
        <v/>
      </c>
      <c r="BX366" s="152">
        <f>MAX(0,MIN(BV366-BW366,CL366-(AZ366+BD366+BH366+BL366+BP366+BT366)))</f>
        <v/>
      </c>
      <c r="BY366" s="152">
        <f>BV366-BW366-BX366</f>
        <v/>
      </c>
      <c r="BZ366" s="152">
        <f>IF(CC365&lt;=0.005,0,CC365*(1+BZ$6))</f>
        <v/>
      </c>
      <c r="CA366" s="152">
        <f>MIN(BZ366,BZ$7)</f>
        <v/>
      </c>
      <c r="CB366" s="152">
        <f>MAX(0,MIN(BZ366-CA366,CL366-(AZ366+BD366+BH366+BL366+BP366+BT366+BX366)))</f>
        <v/>
      </c>
      <c r="CC366" s="152">
        <f>BZ366-CA366-CB366</f>
        <v/>
      </c>
      <c r="CD366" s="152">
        <f>IF(CG365&lt;=0.005,0,CG365*(1+CD$6))</f>
        <v/>
      </c>
      <c r="CE366" s="152">
        <f>MIN(CD366,CD$7)</f>
        <v/>
      </c>
      <c r="CF366" s="152">
        <f>MAX(0,MIN(CD366-CE366,CL366-(AZ366+BD366+BH366+BL366+BP366+BT366+BX366+CB366)))</f>
        <v/>
      </c>
      <c r="CG366" s="152">
        <f>CD366-CE366-CF366</f>
        <v/>
      </c>
      <c r="CH366" s="152">
        <f>IF(CK365&lt;=0.005,0,CK365*(1+CH$6))</f>
        <v/>
      </c>
      <c r="CI366" s="152">
        <f>MIN(CH366,CH$7)</f>
        <v/>
      </c>
      <c r="CJ366" s="152">
        <f>MAX(0,MIN(CH366-CI366,CL366-(AZ366+BD366+BH366+BL366+BP366+BT366+BX366+CB366+CF366)))</f>
        <v/>
      </c>
      <c r="CK366" s="152">
        <f>CH366-CI366-CJ366</f>
        <v/>
      </c>
      <c r="CL366" s="152">
        <f>'Debt Payoff'!$C$8-SUM(AY366,BC366,BG366,BK366,BO366,BS366,BW366,CA366,CE366,CI366)</f>
        <v/>
      </c>
      <c r="CM366" s="152">
        <f>SUM(AY366,BC366,BG366,BK366,BO366,BS366,BW366,CA366,CE366,CI366)+SUM(AZ366,BD366,BH366,BL366,BP366,BT366,BX366,CB366,CF366,CJ366)</f>
        <v/>
      </c>
      <c r="CN366" s="152">
        <f>SUM(BA366,BE366,BI366,BM366,BQ366,BU366,BY366,CC366,CG366,CK366)</f>
        <v/>
      </c>
      <c r="CO366" s="152">
        <f>IF(AW366&gt;CN$6,NA(),AW366)</f>
        <v/>
      </c>
      <c r="CP366" s="152">
        <f>IF(AW366&gt;CN$6,NA(),CN366)</f>
        <v/>
      </c>
    </row>
    <row r="367">
      <c r="B367" s="152" t="n">
        <v>356</v>
      </c>
      <c r="C367" s="152">
        <f>IF(F366&lt;=0.005,0,F366*(1+C$6))</f>
        <v/>
      </c>
      <c r="D367" s="152">
        <f>MIN(C367,C$7)</f>
        <v/>
      </c>
      <c r="E367" s="152">
        <f>MAX(0,MIN(C367-D367,AQ367))</f>
        <v/>
      </c>
      <c r="F367" s="152">
        <f>C367-D367-E367</f>
        <v/>
      </c>
      <c r="G367" s="152">
        <f>IF(J366&lt;=0.005,0,J366*(1+G$6))</f>
        <v/>
      </c>
      <c r="H367" s="152">
        <f>MIN(G367,G$7)</f>
        <v/>
      </c>
      <c r="I367" s="152">
        <f>MAX(0,MIN(G367-H367,AQ367-(E367)))</f>
        <v/>
      </c>
      <c r="J367" s="152">
        <f>G367-H367-I367</f>
        <v/>
      </c>
      <c r="K367" s="152">
        <f>IF(N366&lt;=0.005,0,N366*(1+K$6))</f>
        <v/>
      </c>
      <c r="L367" s="152">
        <f>MIN(K367,K$7)</f>
        <v/>
      </c>
      <c r="M367" s="152">
        <f>MAX(0,MIN(K367-L367,AQ367-(E367+I367)))</f>
        <v/>
      </c>
      <c r="N367" s="152">
        <f>K367-L367-M367</f>
        <v/>
      </c>
      <c r="O367" s="152">
        <f>IF(R366&lt;=0.005,0,R366*(1+O$6))</f>
        <v/>
      </c>
      <c r="P367" s="152">
        <f>MIN(O367,O$7)</f>
        <v/>
      </c>
      <c r="Q367" s="152">
        <f>MAX(0,MIN(O367-P367,AQ367-(E367+I367+M367)))</f>
        <v/>
      </c>
      <c r="R367" s="152">
        <f>O367-P367-Q367</f>
        <v/>
      </c>
      <c r="S367" s="152">
        <f>IF(V366&lt;=0.005,0,V366*(1+S$6))</f>
        <v/>
      </c>
      <c r="T367" s="152">
        <f>MIN(S367,S$7)</f>
        <v/>
      </c>
      <c r="U367" s="152">
        <f>MAX(0,MIN(S367-T367,AQ367-(E367+I367+M367+Q367)))</f>
        <v/>
      </c>
      <c r="V367" s="152">
        <f>S367-T367-U367</f>
        <v/>
      </c>
      <c r="W367" s="152">
        <f>IF(Z366&lt;=0.005,0,Z366*(1+W$6))</f>
        <v/>
      </c>
      <c r="X367" s="152">
        <f>MIN(W367,W$7)</f>
        <v/>
      </c>
      <c r="Y367" s="152">
        <f>MAX(0,MIN(W367-X367,AQ367-(E367+I367+M367+Q367+U367)))</f>
        <v/>
      </c>
      <c r="Z367" s="152">
        <f>W367-X367-Y367</f>
        <v/>
      </c>
      <c r="AA367" s="152">
        <f>IF(AD366&lt;=0.005,0,AD366*(1+AA$6))</f>
        <v/>
      </c>
      <c r="AB367" s="152">
        <f>MIN(AA367,AA$7)</f>
        <v/>
      </c>
      <c r="AC367" s="152">
        <f>MAX(0,MIN(AA367-AB367,AQ367-(E367+I367+M367+Q367+U367+Y367)))</f>
        <v/>
      </c>
      <c r="AD367" s="152">
        <f>AA367-AB367-AC367</f>
        <v/>
      </c>
      <c r="AE367" s="152">
        <f>IF(AH366&lt;=0.005,0,AH366*(1+AE$6))</f>
        <v/>
      </c>
      <c r="AF367" s="152">
        <f>MIN(AE367,AE$7)</f>
        <v/>
      </c>
      <c r="AG367" s="152">
        <f>MAX(0,MIN(AE367-AF367,AQ367-(E367+I367+M367+Q367+U367+Y367+AC367)))</f>
        <v/>
      </c>
      <c r="AH367" s="152">
        <f>AE367-AF367-AG367</f>
        <v/>
      </c>
      <c r="AI367" s="152">
        <f>IF(AL366&lt;=0.005,0,AL366*(1+AI$6))</f>
        <v/>
      </c>
      <c r="AJ367" s="152">
        <f>MIN(AI367,AI$7)</f>
        <v/>
      </c>
      <c r="AK367" s="152">
        <f>MAX(0,MIN(AI367-AJ367,AQ367-(E367+I367+M367+Q367+U367+Y367+AC367+AG367)))</f>
        <v/>
      </c>
      <c r="AL367" s="152">
        <f>AI367-AJ367-AK367</f>
        <v/>
      </c>
      <c r="AM367" s="152">
        <f>IF(AP366&lt;=0.005,0,AP366*(1+AM$6))</f>
        <v/>
      </c>
      <c r="AN367" s="152">
        <f>MIN(AM367,AM$7)</f>
        <v/>
      </c>
      <c r="AO367" s="152">
        <f>MAX(0,MIN(AM367-AN367,AQ367-(E367+I367+M367+Q367+U367+Y367+AC367+AG367+AK367)))</f>
        <v/>
      </c>
      <c r="AP367" s="152">
        <f>AM367-AN367-AO367</f>
        <v/>
      </c>
      <c r="AQ367" s="152">
        <f>'Debt Payoff'!$C$8-SUM(D367,H367,L367,P367,T367,X367,AB367,AF367,AJ367,AN367)</f>
        <v/>
      </c>
      <c r="AR367" s="152">
        <f>SUM(D367,H367,L367,P367,T367,X367,AB367,AF367,AJ367,AN367)+SUM(E367,I367,M367,Q367,U367,Y367,AC367,AG367,AK367,AO367)</f>
        <v/>
      </c>
      <c r="AS367" s="152">
        <f>SUM(F367,J367,N367,R367,V367,Z367,AD367,AH367,AL367,AP367)</f>
        <v/>
      </c>
      <c r="AT367" s="152">
        <f>IF(B367&gt;AS$6,NA(),B367)</f>
        <v/>
      </c>
      <c r="AU367" s="152">
        <f>IF(B367&gt;AS$6,NA(),AS367)</f>
        <v/>
      </c>
      <c r="AV367" s="152" t="n"/>
      <c r="AW367" s="152" t="n">
        <v>356</v>
      </c>
      <c r="AX367" s="152">
        <f>IF(BA366&lt;=0.005,0,BA366*(1+AX$6))</f>
        <v/>
      </c>
      <c r="AY367" s="152">
        <f>MIN(AX367,AX$7)</f>
        <v/>
      </c>
      <c r="AZ367" s="152">
        <f>MAX(0,MIN(AX367-AY367,CL367))</f>
        <v/>
      </c>
      <c r="BA367" s="152">
        <f>AX367-AY367-AZ367</f>
        <v/>
      </c>
      <c r="BB367" s="152">
        <f>IF(BE366&lt;=0.005,0,BE366*(1+BB$6))</f>
        <v/>
      </c>
      <c r="BC367" s="152">
        <f>MIN(BB367,BB$7)</f>
        <v/>
      </c>
      <c r="BD367" s="152">
        <f>MAX(0,MIN(BB367-BC367,CL367-(AZ367)))</f>
        <v/>
      </c>
      <c r="BE367" s="152">
        <f>BB367-BC367-BD367</f>
        <v/>
      </c>
      <c r="BF367" s="152">
        <f>IF(BI366&lt;=0.005,0,BI366*(1+BF$6))</f>
        <v/>
      </c>
      <c r="BG367" s="152">
        <f>MIN(BF367,BF$7)</f>
        <v/>
      </c>
      <c r="BH367" s="152">
        <f>MAX(0,MIN(BF367-BG367,CL367-(AZ367+BD367)))</f>
        <v/>
      </c>
      <c r="BI367" s="152">
        <f>BF367-BG367-BH367</f>
        <v/>
      </c>
      <c r="BJ367" s="152">
        <f>IF(BM366&lt;=0.005,0,BM366*(1+BJ$6))</f>
        <v/>
      </c>
      <c r="BK367" s="152">
        <f>MIN(BJ367,BJ$7)</f>
        <v/>
      </c>
      <c r="BL367" s="152">
        <f>MAX(0,MIN(BJ367-BK367,CL367-(AZ367+BD367+BH367)))</f>
        <v/>
      </c>
      <c r="BM367" s="152">
        <f>BJ367-BK367-BL367</f>
        <v/>
      </c>
      <c r="BN367" s="152">
        <f>IF(BQ366&lt;=0.005,0,BQ366*(1+BN$6))</f>
        <v/>
      </c>
      <c r="BO367" s="152">
        <f>MIN(BN367,BN$7)</f>
        <v/>
      </c>
      <c r="BP367" s="152">
        <f>MAX(0,MIN(BN367-BO367,CL367-(AZ367+BD367+BH367+BL367)))</f>
        <v/>
      </c>
      <c r="BQ367" s="152">
        <f>BN367-BO367-BP367</f>
        <v/>
      </c>
      <c r="BR367" s="152">
        <f>IF(BU366&lt;=0.005,0,BU366*(1+BR$6))</f>
        <v/>
      </c>
      <c r="BS367" s="152">
        <f>MIN(BR367,BR$7)</f>
        <v/>
      </c>
      <c r="BT367" s="152">
        <f>MAX(0,MIN(BR367-BS367,CL367-(AZ367+BD367+BH367+BL367+BP367)))</f>
        <v/>
      </c>
      <c r="BU367" s="152">
        <f>BR367-BS367-BT367</f>
        <v/>
      </c>
      <c r="BV367" s="152">
        <f>IF(BY366&lt;=0.005,0,BY366*(1+BV$6))</f>
        <v/>
      </c>
      <c r="BW367" s="152">
        <f>MIN(BV367,BV$7)</f>
        <v/>
      </c>
      <c r="BX367" s="152">
        <f>MAX(0,MIN(BV367-BW367,CL367-(AZ367+BD367+BH367+BL367+BP367+BT367)))</f>
        <v/>
      </c>
      <c r="BY367" s="152">
        <f>BV367-BW367-BX367</f>
        <v/>
      </c>
      <c r="BZ367" s="152">
        <f>IF(CC366&lt;=0.005,0,CC366*(1+BZ$6))</f>
        <v/>
      </c>
      <c r="CA367" s="152">
        <f>MIN(BZ367,BZ$7)</f>
        <v/>
      </c>
      <c r="CB367" s="152">
        <f>MAX(0,MIN(BZ367-CA367,CL367-(AZ367+BD367+BH367+BL367+BP367+BT367+BX367)))</f>
        <v/>
      </c>
      <c r="CC367" s="152">
        <f>BZ367-CA367-CB367</f>
        <v/>
      </c>
      <c r="CD367" s="152">
        <f>IF(CG366&lt;=0.005,0,CG366*(1+CD$6))</f>
        <v/>
      </c>
      <c r="CE367" s="152">
        <f>MIN(CD367,CD$7)</f>
        <v/>
      </c>
      <c r="CF367" s="152">
        <f>MAX(0,MIN(CD367-CE367,CL367-(AZ367+BD367+BH367+BL367+BP367+BT367+BX367+CB367)))</f>
        <v/>
      </c>
      <c r="CG367" s="152">
        <f>CD367-CE367-CF367</f>
        <v/>
      </c>
      <c r="CH367" s="152">
        <f>IF(CK366&lt;=0.005,0,CK366*(1+CH$6))</f>
        <v/>
      </c>
      <c r="CI367" s="152">
        <f>MIN(CH367,CH$7)</f>
        <v/>
      </c>
      <c r="CJ367" s="152">
        <f>MAX(0,MIN(CH367-CI367,CL367-(AZ367+BD367+BH367+BL367+BP367+BT367+BX367+CB367+CF367)))</f>
        <v/>
      </c>
      <c r="CK367" s="152">
        <f>CH367-CI367-CJ367</f>
        <v/>
      </c>
      <c r="CL367" s="152">
        <f>'Debt Payoff'!$C$8-SUM(AY367,BC367,BG367,BK367,BO367,BS367,BW367,CA367,CE367,CI367)</f>
        <v/>
      </c>
      <c r="CM367" s="152">
        <f>SUM(AY367,BC367,BG367,BK367,BO367,BS367,BW367,CA367,CE367,CI367)+SUM(AZ367,BD367,BH367,BL367,BP367,BT367,BX367,CB367,CF367,CJ367)</f>
        <v/>
      </c>
      <c r="CN367" s="152">
        <f>SUM(BA367,BE367,BI367,BM367,BQ367,BU367,BY367,CC367,CG367,CK367)</f>
        <v/>
      </c>
      <c r="CO367" s="152">
        <f>IF(AW367&gt;CN$6,NA(),AW367)</f>
        <v/>
      </c>
      <c r="CP367" s="152">
        <f>IF(AW367&gt;CN$6,NA(),CN367)</f>
        <v/>
      </c>
    </row>
    <row r="368">
      <c r="B368" s="152" t="n">
        <v>357</v>
      </c>
      <c r="C368" s="152">
        <f>IF(F367&lt;=0.005,0,F367*(1+C$6))</f>
        <v/>
      </c>
      <c r="D368" s="152">
        <f>MIN(C368,C$7)</f>
        <v/>
      </c>
      <c r="E368" s="152">
        <f>MAX(0,MIN(C368-D368,AQ368))</f>
        <v/>
      </c>
      <c r="F368" s="152">
        <f>C368-D368-E368</f>
        <v/>
      </c>
      <c r="G368" s="152">
        <f>IF(J367&lt;=0.005,0,J367*(1+G$6))</f>
        <v/>
      </c>
      <c r="H368" s="152">
        <f>MIN(G368,G$7)</f>
        <v/>
      </c>
      <c r="I368" s="152">
        <f>MAX(0,MIN(G368-H368,AQ368-(E368)))</f>
        <v/>
      </c>
      <c r="J368" s="152">
        <f>G368-H368-I368</f>
        <v/>
      </c>
      <c r="K368" s="152">
        <f>IF(N367&lt;=0.005,0,N367*(1+K$6))</f>
        <v/>
      </c>
      <c r="L368" s="152">
        <f>MIN(K368,K$7)</f>
        <v/>
      </c>
      <c r="M368" s="152">
        <f>MAX(0,MIN(K368-L368,AQ368-(E368+I368)))</f>
        <v/>
      </c>
      <c r="N368" s="152">
        <f>K368-L368-M368</f>
        <v/>
      </c>
      <c r="O368" s="152">
        <f>IF(R367&lt;=0.005,0,R367*(1+O$6))</f>
        <v/>
      </c>
      <c r="P368" s="152">
        <f>MIN(O368,O$7)</f>
        <v/>
      </c>
      <c r="Q368" s="152">
        <f>MAX(0,MIN(O368-P368,AQ368-(E368+I368+M368)))</f>
        <v/>
      </c>
      <c r="R368" s="152">
        <f>O368-P368-Q368</f>
        <v/>
      </c>
      <c r="S368" s="152">
        <f>IF(V367&lt;=0.005,0,V367*(1+S$6))</f>
        <v/>
      </c>
      <c r="T368" s="152">
        <f>MIN(S368,S$7)</f>
        <v/>
      </c>
      <c r="U368" s="152">
        <f>MAX(0,MIN(S368-T368,AQ368-(E368+I368+M368+Q368)))</f>
        <v/>
      </c>
      <c r="V368" s="152">
        <f>S368-T368-U368</f>
        <v/>
      </c>
      <c r="W368" s="152">
        <f>IF(Z367&lt;=0.005,0,Z367*(1+W$6))</f>
        <v/>
      </c>
      <c r="X368" s="152">
        <f>MIN(W368,W$7)</f>
        <v/>
      </c>
      <c r="Y368" s="152">
        <f>MAX(0,MIN(W368-X368,AQ368-(E368+I368+M368+Q368+U368)))</f>
        <v/>
      </c>
      <c r="Z368" s="152">
        <f>W368-X368-Y368</f>
        <v/>
      </c>
      <c r="AA368" s="152">
        <f>IF(AD367&lt;=0.005,0,AD367*(1+AA$6))</f>
        <v/>
      </c>
      <c r="AB368" s="152">
        <f>MIN(AA368,AA$7)</f>
        <v/>
      </c>
      <c r="AC368" s="152">
        <f>MAX(0,MIN(AA368-AB368,AQ368-(E368+I368+M368+Q368+U368+Y368)))</f>
        <v/>
      </c>
      <c r="AD368" s="152">
        <f>AA368-AB368-AC368</f>
        <v/>
      </c>
      <c r="AE368" s="152">
        <f>IF(AH367&lt;=0.005,0,AH367*(1+AE$6))</f>
        <v/>
      </c>
      <c r="AF368" s="152">
        <f>MIN(AE368,AE$7)</f>
        <v/>
      </c>
      <c r="AG368" s="152">
        <f>MAX(0,MIN(AE368-AF368,AQ368-(E368+I368+M368+Q368+U368+Y368+AC368)))</f>
        <v/>
      </c>
      <c r="AH368" s="152">
        <f>AE368-AF368-AG368</f>
        <v/>
      </c>
      <c r="AI368" s="152">
        <f>IF(AL367&lt;=0.005,0,AL367*(1+AI$6))</f>
        <v/>
      </c>
      <c r="AJ368" s="152">
        <f>MIN(AI368,AI$7)</f>
        <v/>
      </c>
      <c r="AK368" s="152">
        <f>MAX(0,MIN(AI368-AJ368,AQ368-(E368+I368+M368+Q368+U368+Y368+AC368+AG368)))</f>
        <v/>
      </c>
      <c r="AL368" s="152">
        <f>AI368-AJ368-AK368</f>
        <v/>
      </c>
      <c r="AM368" s="152">
        <f>IF(AP367&lt;=0.005,0,AP367*(1+AM$6))</f>
        <v/>
      </c>
      <c r="AN368" s="152">
        <f>MIN(AM368,AM$7)</f>
        <v/>
      </c>
      <c r="AO368" s="152">
        <f>MAX(0,MIN(AM368-AN368,AQ368-(E368+I368+M368+Q368+U368+Y368+AC368+AG368+AK368)))</f>
        <v/>
      </c>
      <c r="AP368" s="152">
        <f>AM368-AN368-AO368</f>
        <v/>
      </c>
      <c r="AQ368" s="152">
        <f>'Debt Payoff'!$C$8-SUM(D368,H368,L368,P368,T368,X368,AB368,AF368,AJ368,AN368)</f>
        <v/>
      </c>
      <c r="AR368" s="152">
        <f>SUM(D368,H368,L368,P368,T368,X368,AB368,AF368,AJ368,AN368)+SUM(E368,I368,M368,Q368,U368,Y368,AC368,AG368,AK368,AO368)</f>
        <v/>
      </c>
      <c r="AS368" s="152">
        <f>SUM(F368,J368,N368,R368,V368,Z368,AD368,AH368,AL368,AP368)</f>
        <v/>
      </c>
      <c r="AT368" s="152">
        <f>IF(B368&gt;AS$6,NA(),B368)</f>
        <v/>
      </c>
      <c r="AU368" s="152">
        <f>IF(B368&gt;AS$6,NA(),AS368)</f>
        <v/>
      </c>
      <c r="AV368" s="152" t="n"/>
      <c r="AW368" s="152" t="n">
        <v>357</v>
      </c>
      <c r="AX368" s="152">
        <f>IF(BA367&lt;=0.005,0,BA367*(1+AX$6))</f>
        <v/>
      </c>
      <c r="AY368" s="152">
        <f>MIN(AX368,AX$7)</f>
        <v/>
      </c>
      <c r="AZ368" s="152">
        <f>MAX(0,MIN(AX368-AY368,CL368))</f>
        <v/>
      </c>
      <c r="BA368" s="152">
        <f>AX368-AY368-AZ368</f>
        <v/>
      </c>
      <c r="BB368" s="152">
        <f>IF(BE367&lt;=0.005,0,BE367*(1+BB$6))</f>
        <v/>
      </c>
      <c r="BC368" s="152">
        <f>MIN(BB368,BB$7)</f>
        <v/>
      </c>
      <c r="BD368" s="152">
        <f>MAX(0,MIN(BB368-BC368,CL368-(AZ368)))</f>
        <v/>
      </c>
      <c r="BE368" s="152">
        <f>BB368-BC368-BD368</f>
        <v/>
      </c>
      <c r="BF368" s="152">
        <f>IF(BI367&lt;=0.005,0,BI367*(1+BF$6))</f>
        <v/>
      </c>
      <c r="BG368" s="152">
        <f>MIN(BF368,BF$7)</f>
        <v/>
      </c>
      <c r="BH368" s="152">
        <f>MAX(0,MIN(BF368-BG368,CL368-(AZ368+BD368)))</f>
        <v/>
      </c>
      <c r="BI368" s="152">
        <f>BF368-BG368-BH368</f>
        <v/>
      </c>
      <c r="BJ368" s="152">
        <f>IF(BM367&lt;=0.005,0,BM367*(1+BJ$6))</f>
        <v/>
      </c>
      <c r="BK368" s="152">
        <f>MIN(BJ368,BJ$7)</f>
        <v/>
      </c>
      <c r="BL368" s="152">
        <f>MAX(0,MIN(BJ368-BK368,CL368-(AZ368+BD368+BH368)))</f>
        <v/>
      </c>
      <c r="BM368" s="152">
        <f>BJ368-BK368-BL368</f>
        <v/>
      </c>
      <c r="BN368" s="152">
        <f>IF(BQ367&lt;=0.005,0,BQ367*(1+BN$6))</f>
        <v/>
      </c>
      <c r="BO368" s="152">
        <f>MIN(BN368,BN$7)</f>
        <v/>
      </c>
      <c r="BP368" s="152">
        <f>MAX(0,MIN(BN368-BO368,CL368-(AZ368+BD368+BH368+BL368)))</f>
        <v/>
      </c>
      <c r="BQ368" s="152">
        <f>BN368-BO368-BP368</f>
        <v/>
      </c>
      <c r="BR368" s="152">
        <f>IF(BU367&lt;=0.005,0,BU367*(1+BR$6))</f>
        <v/>
      </c>
      <c r="BS368" s="152">
        <f>MIN(BR368,BR$7)</f>
        <v/>
      </c>
      <c r="BT368" s="152">
        <f>MAX(0,MIN(BR368-BS368,CL368-(AZ368+BD368+BH368+BL368+BP368)))</f>
        <v/>
      </c>
      <c r="BU368" s="152">
        <f>BR368-BS368-BT368</f>
        <v/>
      </c>
      <c r="BV368" s="152">
        <f>IF(BY367&lt;=0.005,0,BY367*(1+BV$6))</f>
        <v/>
      </c>
      <c r="BW368" s="152">
        <f>MIN(BV368,BV$7)</f>
        <v/>
      </c>
      <c r="BX368" s="152">
        <f>MAX(0,MIN(BV368-BW368,CL368-(AZ368+BD368+BH368+BL368+BP368+BT368)))</f>
        <v/>
      </c>
      <c r="BY368" s="152">
        <f>BV368-BW368-BX368</f>
        <v/>
      </c>
      <c r="BZ368" s="152">
        <f>IF(CC367&lt;=0.005,0,CC367*(1+BZ$6))</f>
        <v/>
      </c>
      <c r="CA368" s="152">
        <f>MIN(BZ368,BZ$7)</f>
        <v/>
      </c>
      <c r="CB368" s="152">
        <f>MAX(0,MIN(BZ368-CA368,CL368-(AZ368+BD368+BH368+BL368+BP368+BT368+BX368)))</f>
        <v/>
      </c>
      <c r="CC368" s="152">
        <f>BZ368-CA368-CB368</f>
        <v/>
      </c>
      <c r="CD368" s="152">
        <f>IF(CG367&lt;=0.005,0,CG367*(1+CD$6))</f>
        <v/>
      </c>
      <c r="CE368" s="152">
        <f>MIN(CD368,CD$7)</f>
        <v/>
      </c>
      <c r="CF368" s="152">
        <f>MAX(0,MIN(CD368-CE368,CL368-(AZ368+BD368+BH368+BL368+BP368+BT368+BX368+CB368)))</f>
        <v/>
      </c>
      <c r="CG368" s="152">
        <f>CD368-CE368-CF368</f>
        <v/>
      </c>
      <c r="CH368" s="152">
        <f>IF(CK367&lt;=0.005,0,CK367*(1+CH$6))</f>
        <v/>
      </c>
      <c r="CI368" s="152">
        <f>MIN(CH368,CH$7)</f>
        <v/>
      </c>
      <c r="CJ368" s="152">
        <f>MAX(0,MIN(CH368-CI368,CL368-(AZ368+BD368+BH368+BL368+BP368+BT368+BX368+CB368+CF368)))</f>
        <v/>
      </c>
      <c r="CK368" s="152">
        <f>CH368-CI368-CJ368</f>
        <v/>
      </c>
      <c r="CL368" s="152">
        <f>'Debt Payoff'!$C$8-SUM(AY368,BC368,BG368,BK368,BO368,BS368,BW368,CA368,CE368,CI368)</f>
        <v/>
      </c>
      <c r="CM368" s="152">
        <f>SUM(AY368,BC368,BG368,BK368,BO368,BS368,BW368,CA368,CE368,CI368)+SUM(AZ368,BD368,BH368,BL368,BP368,BT368,BX368,CB368,CF368,CJ368)</f>
        <v/>
      </c>
      <c r="CN368" s="152">
        <f>SUM(BA368,BE368,BI368,BM368,BQ368,BU368,BY368,CC368,CG368,CK368)</f>
        <v/>
      </c>
      <c r="CO368" s="152">
        <f>IF(AW368&gt;CN$6,NA(),AW368)</f>
        <v/>
      </c>
      <c r="CP368" s="152">
        <f>IF(AW368&gt;CN$6,NA(),CN368)</f>
        <v/>
      </c>
    </row>
    <row r="369">
      <c r="B369" s="152" t="n">
        <v>358</v>
      </c>
      <c r="C369" s="152">
        <f>IF(F368&lt;=0.005,0,F368*(1+C$6))</f>
        <v/>
      </c>
      <c r="D369" s="152">
        <f>MIN(C369,C$7)</f>
        <v/>
      </c>
      <c r="E369" s="152">
        <f>MAX(0,MIN(C369-D369,AQ369))</f>
        <v/>
      </c>
      <c r="F369" s="152">
        <f>C369-D369-E369</f>
        <v/>
      </c>
      <c r="G369" s="152">
        <f>IF(J368&lt;=0.005,0,J368*(1+G$6))</f>
        <v/>
      </c>
      <c r="H369" s="152">
        <f>MIN(G369,G$7)</f>
        <v/>
      </c>
      <c r="I369" s="152">
        <f>MAX(0,MIN(G369-H369,AQ369-(E369)))</f>
        <v/>
      </c>
      <c r="J369" s="152">
        <f>G369-H369-I369</f>
        <v/>
      </c>
      <c r="K369" s="152">
        <f>IF(N368&lt;=0.005,0,N368*(1+K$6))</f>
        <v/>
      </c>
      <c r="L369" s="152">
        <f>MIN(K369,K$7)</f>
        <v/>
      </c>
      <c r="M369" s="152">
        <f>MAX(0,MIN(K369-L369,AQ369-(E369+I369)))</f>
        <v/>
      </c>
      <c r="N369" s="152">
        <f>K369-L369-M369</f>
        <v/>
      </c>
      <c r="O369" s="152">
        <f>IF(R368&lt;=0.005,0,R368*(1+O$6))</f>
        <v/>
      </c>
      <c r="P369" s="152">
        <f>MIN(O369,O$7)</f>
        <v/>
      </c>
      <c r="Q369" s="152">
        <f>MAX(0,MIN(O369-P369,AQ369-(E369+I369+M369)))</f>
        <v/>
      </c>
      <c r="R369" s="152">
        <f>O369-P369-Q369</f>
        <v/>
      </c>
      <c r="S369" s="152">
        <f>IF(V368&lt;=0.005,0,V368*(1+S$6))</f>
        <v/>
      </c>
      <c r="T369" s="152">
        <f>MIN(S369,S$7)</f>
        <v/>
      </c>
      <c r="U369" s="152">
        <f>MAX(0,MIN(S369-T369,AQ369-(E369+I369+M369+Q369)))</f>
        <v/>
      </c>
      <c r="V369" s="152">
        <f>S369-T369-U369</f>
        <v/>
      </c>
      <c r="W369" s="152">
        <f>IF(Z368&lt;=0.005,0,Z368*(1+W$6))</f>
        <v/>
      </c>
      <c r="X369" s="152">
        <f>MIN(W369,W$7)</f>
        <v/>
      </c>
      <c r="Y369" s="152">
        <f>MAX(0,MIN(W369-X369,AQ369-(E369+I369+M369+Q369+U369)))</f>
        <v/>
      </c>
      <c r="Z369" s="152">
        <f>W369-X369-Y369</f>
        <v/>
      </c>
      <c r="AA369" s="152">
        <f>IF(AD368&lt;=0.005,0,AD368*(1+AA$6))</f>
        <v/>
      </c>
      <c r="AB369" s="152">
        <f>MIN(AA369,AA$7)</f>
        <v/>
      </c>
      <c r="AC369" s="152">
        <f>MAX(0,MIN(AA369-AB369,AQ369-(E369+I369+M369+Q369+U369+Y369)))</f>
        <v/>
      </c>
      <c r="AD369" s="152">
        <f>AA369-AB369-AC369</f>
        <v/>
      </c>
      <c r="AE369" s="152">
        <f>IF(AH368&lt;=0.005,0,AH368*(1+AE$6))</f>
        <v/>
      </c>
      <c r="AF369" s="152">
        <f>MIN(AE369,AE$7)</f>
        <v/>
      </c>
      <c r="AG369" s="152">
        <f>MAX(0,MIN(AE369-AF369,AQ369-(E369+I369+M369+Q369+U369+Y369+AC369)))</f>
        <v/>
      </c>
      <c r="AH369" s="152">
        <f>AE369-AF369-AG369</f>
        <v/>
      </c>
      <c r="AI369" s="152">
        <f>IF(AL368&lt;=0.005,0,AL368*(1+AI$6))</f>
        <v/>
      </c>
      <c r="AJ369" s="152">
        <f>MIN(AI369,AI$7)</f>
        <v/>
      </c>
      <c r="AK369" s="152">
        <f>MAX(0,MIN(AI369-AJ369,AQ369-(E369+I369+M369+Q369+U369+Y369+AC369+AG369)))</f>
        <v/>
      </c>
      <c r="AL369" s="152">
        <f>AI369-AJ369-AK369</f>
        <v/>
      </c>
      <c r="AM369" s="152">
        <f>IF(AP368&lt;=0.005,0,AP368*(1+AM$6))</f>
        <v/>
      </c>
      <c r="AN369" s="152">
        <f>MIN(AM369,AM$7)</f>
        <v/>
      </c>
      <c r="AO369" s="152">
        <f>MAX(0,MIN(AM369-AN369,AQ369-(E369+I369+M369+Q369+U369+Y369+AC369+AG369+AK369)))</f>
        <v/>
      </c>
      <c r="AP369" s="152">
        <f>AM369-AN369-AO369</f>
        <v/>
      </c>
      <c r="AQ369" s="152">
        <f>'Debt Payoff'!$C$8-SUM(D369,H369,L369,P369,T369,X369,AB369,AF369,AJ369,AN369)</f>
        <v/>
      </c>
      <c r="AR369" s="152">
        <f>SUM(D369,H369,L369,P369,T369,X369,AB369,AF369,AJ369,AN369)+SUM(E369,I369,M369,Q369,U369,Y369,AC369,AG369,AK369,AO369)</f>
        <v/>
      </c>
      <c r="AS369" s="152">
        <f>SUM(F369,J369,N369,R369,V369,Z369,AD369,AH369,AL369,AP369)</f>
        <v/>
      </c>
      <c r="AT369" s="152">
        <f>IF(B369&gt;AS$6,NA(),B369)</f>
        <v/>
      </c>
      <c r="AU369" s="152">
        <f>IF(B369&gt;AS$6,NA(),AS369)</f>
        <v/>
      </c>
      <c r="AV369" s="152" t="n"/>
      <c r="AW369" s="152" t="n">
        <v>358</v>
      </c>
      <c r="AX369" s="152">
        <f>IF(BA368&lt;=0.005,0,BA368*(1+AX$6))</f>
        <v/>
      </c>
      <c r="AY369" s="152">
        <f>MIN(AX369,AX$7)</f>
        <v/>
      </c>
      <c r="AZ369" s="152">
        <f>MAX(0,MIN(AX369-AY369,CL369))</f>
        <v/>
      </c>
      <c r="BA369" s="152">
        <f>AX369-AY369-AZ369</f>
        <v/>
      </c>
      <c r="BB369" s="152">
        <f>IF(BE368&lt;=0.005,0,BE368*(1+BB$6))</f>
        <v/>
      </c>
      <c r="BC369" s="152">
        <f>MIN(BB369,BB$7)</f>
        <v/>
      </c>
      <c r="BD369" s="152">
        <f>MAX(0,MIN(BB369-BC369,CL369-(AZ369)))</f>
        <v/>
      </c>
      <c r="BE369" s="152">
        <f>BB369-BC369-BD369</f>
        <v/>
      </c>
      <c r="BF369" s="152">
        <f>IF(BI368&lt;=0.005,0,BI368*(1+BF$6))</f>
        <v/>
      </c>
      <c r="BG369" s="152">
        <f>MIN(BF369,BF$7)</f>
        <v/>
      </c>
      <c r="BH369" s="152">
        <f>MAX(0,MIN(BF369-BG369,CL369-(AZ369+BD369)))</f>
        <v/>
      </c>
      <c r="BI369" s="152">
        <f>BF369-BG369-BH369</f>
        <v/>
      </c>
      <c r="BJ369" s="152">
        <f>IF(BM368&lt;=0.005,0,BM368*(1+BJ$6))</f>
        <v/>
      </c>
      <c r="BK369" s="152">
        <f>MIN(BJ369,BJ$7)</f>
        <v/>
      </c>
      <c r="BL369" s="152">
        <f>MAX(0,MIN(BJ369-BK369,CL369-(AZ369+BD369+BH369)))</f>
        <v/>
      </c>
      <c r="BM369" s="152">
        <f>BJ369-BK369-BL369</f>
        <v/>
      </c>
      <c r="BN369" s="152">
        <f>IF(BQ368&lt;=0.005,0,BQ368*(1+BN$6))</f>
        <v/>
      </c>
      <c r="BO369" s="152">
        <f>MIN(BN369,BN$7)</f>
        <v/>
      </c>
      <c r="BP369" s="152">
        <f>MAX(0,MIN(BN369-BO369,CL369-(AZ369+BD369+BH369+BL369)))</f>
        <v/>
      </c>
      <c r="BQ369" s="152">
        <f>BN369-BO369-BP369</f>
        <v/>
      </c>
      <c r="BR369" s="152">
        <f>IF(BU368&lt;=0.005,0,BU368*(1+BR$6))</f>
        <v/>
      </c>
      <c r="BS369" s="152">
        <f>MIN(BR369,BR$7)</f>
        <v/>
      </c>
      <c r="BT369" s="152">
        <f>MAX(0,MIN(BR369-BS369,CL369-(AZ369+BD369+BH369+BL369+BP369)))</f>
        <v/>
      </c>
      <c r="BU369" s="152">
        <f>BR369-BS369-BT369</f>
        <v/>
      </c>
      <c r="BV369" s="152">
        <f>IF(BY368&lt;=0.005,0,BY368*(1+BV$6))</f>
        <v/>
      </c>
      <c r="BW369" s="152">
        <f>MIN(BV369,BV$7)</f>
        <v/>
      </c>
      <c r="BX369" s="152">
        <f>MAX(0,MIN(BV369-BW369,CL369-(AZ369+BD369+BH369+BL369+BP369+BT369)))</f>
        <v/>
      </c>
      <c r="BY369" s="152">
        <f>BV369-BW369-BX369</f>
        <v/>
      </c>
      <c r="BZ369" s="152">
        <f>IF(CC368&lt;=0.005,0,CC368*(1+BZ$6))</f>
        <v/>
      </c>
      <c r="CA369" s="152">
        <f>MIN(BZ369,BZ$7)</f>
        <v/>
      </c>
      <c r="CB369" s="152">
        <f>MAX(0,MIN(BZ369-CA369,CL369-(AZ369+BD369+BH369+BL369+BP369+BT369+BX369)))</f>
        <v/>
      </c>
      <c r="CC369" s="152">
        <f>BZ369-CA369-CB369</f>
        <v/>
      </c>
      <c r="CD369" s="152">
        <f>IF(CG368&lt;=0.005,0,CG368*(1+CD$6))</f>
        <v/>
      </c>
      <c r="CE369" s="152">
        <f>MIN(CD369,CD$7)</f>
        <v/>
      </c>
      <c r="CF369" s="152">
        <f>MAX(0,MIN(CD369-CE369,CL369-(AZ369+BD369+BH369+BL369+BP369+BT369+BX369+CB369)))</f>
        <v/>
      </c>
      <c r="CG369" s="152">
        <f>CD369-CE369-CF369</f>
        <v/>
      </c>
      <c r="CH369" s="152">
        <f>IF(CK368&lt;=0.005,0,CK368*(1+CH$6))</f>
        <v/>
      </c>
      <c r="CI369" s="152">
        <f>MIN(CH369,CH$7)</f>
        <v/>
      </c>
      <c r="CJ369" s="152">
        <f>MAX(0,MIN(CH369-CI369,CL369-(AZ369+BD369+BH369+BL369+BP369+BT369+BX369+CB369+CF369)))</f>
        <v/>
      </c>
      <c r="CK369" s="152">
        <f>CH369-CI369-CJ369</f>
        <v/>
      </c>
      <c r="CL369" s="152">
        <f>'Debt Payoff'!$C$8-SUM(AY369,BC369,BG369,BK369,BO369,BS369,BW369,CA369,CE369,CI369)</f>
        <v/>
      </c>
      <c r="CM369" s="152">
        <f>SUM(AY369,BC369,BG369,BK369,BO369,BS369,BW369,CA369,CE369,CI369)+SUM(AZ369,BD369,BH369,BL369,BP369,BT369,BX369,CB369,CF369,CJ369)</f>
        <v/>
      </c>
      <c r="CN369" s="152">
        <f>SUM(BA369,BE369,BI369,BM369,BQ369,BU369,BY369,CC369,CG369,CK369)</f>
        <v/>
      </c>
      <c r="CO369" s="152">
        <f>IF(AW369&gt;CN$6,NA(),AW369)</f>
        <v/>
      </c>
      <c r="CP369" s="152">
        <f>IF(AW369&gt;CN$6,NA(),CN369)</f>
        <v/>
      </c>
    </row>
    <row r="370">
      <c r="B370" s="152" t="n">
        <v>359</v>
      </c>
      <c r="C370" s="152">
        <f>IF(F369&lt;=0.005,0,F369*(1+C$6))</f>
        <v/>
      </c>
      <c r="D370" s="152">
        <f>MIN(C370,C$7)</f>
        <v/>
      </c>
      <c r="E370" s="152">
        <f>MAX(0,MIN(C370-D370,AQ370))</f>
        <v/>
      </c>
      <c r="F370" s="152">
        <f>C370-D370-E370</f>
        <v/>
      </c>
      <c r="G370" s="152">
        <f>IF(J369&lt;=0.005,0,J369*(1+G$6))</f>
        <v/>
      </c>
      <c r="H370" s="152">
        <f>MIN(G370,G$7)</f>
        <v/>
      </c>
      <c r="I370" s="152">
        <f>MAX(0,MIN(G370-H370,AQ370-(E370)))</f>
        <v/>
      </c>
      <c r="J370" s="152">
        <f>G370-H370-I370</f>
        <v/>
      </c>
      <c r="K370" s="152">
        <f>IF(N369&lt;=0.005,0,N369*(1+K$6))</f>
        <v/>
      </c>
      <c r="L370" s="152">
        <f>MIN(K370,K$7)</f>
        <v/>
      </c>
      <c r="M370" s="152">
        <f>MAX(0,MIN(K370-L370,AQ370-(E370+I370)))</f>
        <v/>
      </c>
      <c r="N370" s="152">
        <f>K370-L370-M370</f>
        <v/>
      </c>
      <c r="O370" s="152">
        <f>IF(R369&lt;=0.005,0,R369*(1+O$6))</f>
        <v/>
      </c>
      <c r="P370" s="152">
        <f>MIN(O370,O$7)</f>
        <v/>
      </c>
      <c r="Q370" s="152">
        <f>MAX(0,MIN(O370-P370,AQ370-(E370+I370+M370)))</f>
        <v/>
      </c>
      <c r="R370" s="152">
        <f>O370-P370-Q370</f>
        <v/>
      </c>
      <c r="S370" s="152">
        <f>IF(V369&lt;=0.005,0,V369*(1+S$6))</f>
        <v/>
      </c>
      <c r="T370" s="152">
        <f>MIN(S370,S$7)</f>
        <v/>
      </c>
      <c r="U370" s="152">
        <f>MAX(0,MIN(S370-T370,AQ370-(E370+I370+M370+Q370)))</f>
        <v/>
      </c>
      <c r="V370" s="152">
        <f>S370-T370-U370</f>
        <v/>
      </c>
      <c r="W370" s="152">
        <f>IF(Z369&lt;=0.005,0,Z369*(1+W$6))</f>
        <v/>
      </c>
      <c r="X370" s="152">
        <f>MIN(W370,W$7)</f>
        <v/>
      </c>
      <c r="Y370" s="152">
        <f>MAX(0,MIN(W370-X370,AQ370-(E370+I370+M370+Q370+U370)))</f>
        <v/>
      </c>
      <c r="Z370" s="152">
        <f>W370-X370-Y370</f>
        <v/>
      </c>
      <c r="AA370" s="152">
        <f>IF(AD369&lt;=0.005,0,AD369*(1+AA$6))</f>
        <v/>
      </c>
      <c r="AB370" s="152">
        <f>MIN(AA370,AA$7)</f>
        <v/>
      </c>
      <c r="AC370" s="152">
        <f>MAX(0,MIN(AA370-AB370,AQ370-(E370+I370+M370+Q370+U370+Y370)))</f>
        <v/>
      </c>
      <c r="AD370" s="152">
        <f>AA370-AB370-AC370</f>
        <v/>
      </c>
      <c r="AE370" s="152">
        <f>IF(AH369&lt;=0.005,0,AH369*(1+AE$6))</f>
        <v/>
      </c>
      <c r="AF370" s="152">
        <f>MIN(AE370,AE$7)</f>
        <v/>
      </c>
      <c r="AG370" s="152">
        <f>MAX(0,MIN(AE370-AF370,AQ370-(E370+I370+M370+Q370+U370+Y370+AC370)))</f>
        <v/>
      </c>
      <c r="AH370" s="152">
        <f>AE370-AF370-AG370</f>
        <v/>
      </c>
      <c r="AI370" s="152">
        <f>IF(AL369&lt;=0.005,0,AL369*(1+AI$6))</f>
        <v/>
      </c>
      <c r="AJ370" s="152">
        <f>MIN(AI370,AI$7)</f>
        <v/>
      </c>
      <c r="AK370" s="152">
        <f>MAX(0,MIN(AI370-AJ370,AQ370-(E370+I370+M370+Q370+U370+Y370+AC370+AG370)))</f>
        <v/>
      </c>
      <c r="AL370" s="152">
        <f>AI370-AJ370-AK370</f>
        <v/>
      </c>
      <c r="AM370" s="152">
        <f>IF(AP369&lt;=0.005,0,AP369*(1+AM$6))</f>
        <v/>
      </c>
      <c r="AN370" s="152">
        <f>MIN(AM370,AM$7)</f>
        <v/>
      </c>
      <c r="AO370" s="152">
        <f>MAX(0,MIN(AM370-AN370,AQ370-(E370+I370+M370+Q370+U370+Y370+AC370+AG370+AK370)))</f>
        <v/>
      </c>
      <c r="AP370" s="152">
        <f>AM370-AN370-AO370</f>
        <v/>
      </c>
      <c r="AQ370" s="152">
        <f>'Debt Payoff'!$C$8-SUM(D370,H370,L370,P370,T370,X370,AB370,AF370,AJ370,AN370)</f>
        <v/>
      </c>
      <c r="AR370" s="152">
        <f>SUM(D370,H370,L370,P370,T370,X370,AB370,AF370,AJ370,AN370)+SUM(E370,I370,M370,Q370,U370,Y370,AC370,AG370,AK370,AO370)</f>
        <v/>
      </c>
      <c r="AS370" s="152">
        <f>SUM(F370,J370,N370,R370,V370,Z370,AD370,AH370,AL370,AP370)</f>
        <v/>
      </c>
      <c r="AT370" s="152">
        <f>IF(B370&gt;AS$6,NA(),B370)</f>
        <v/>
      </c>
      <c r="AU370" s="152">
        <f>IF(B370&gt;AS$6,NA(),AS370)</f>
        <v/>
      </c>
      <c r="AV370" s="152" t="n"/>
      <c r="AW370" s="152" t="n">
        <v>359</v>
      </c>
      <c r="AX370" s="152">
        <f>IF(BA369&lt;=0.005,0,BA369*(1+AX$6))</f>
        <v/>
      </c>
      <c r="AY370" s="152">
        <f>MIN(AX370,AX$7)</f>
        <v/>
      </c>
      <c r="AZ370" s="152">
        <f>MAX(0,MIN(AX370-AY370,CL370))</f>
        <v/>
      </c>
      <c r="BA370" s="152">
        <f>AX370-AY370-AZ370</f>
        <v/>
      </c>
      <c r="BB370" s="152">
        <f>IF(BE369&lt;=0.005,0,BE369*(1+BB$6))</f>
        <v/>
      </c>
      <c r="BC370" s="152">
        <f>MIN(BB370,BB$7)</f>
        <v/>
      </c>
      <c r="BD370" s="152">
        <f>MAX(0,MIN(BB370-BC370,CL370-(AZ370)))</f>
        <v/>
      </c>
      <c r="BE370" s="152">
        <f>BB370-BC370-BD370</f>
        <v/>
      </c>
      <c r="BF370" s="152">
        <f>IF(BI369&lt;=0.005,0,BI369*(1+BF$6))</f>
        <v/>
      </c>
      <c r="BG370" s="152">
        <f>MIN(BF370,BF$7)</f>
        <v/>
      </c>
      <c r="BH370" s="152">
        <f>MAX(0,MIN(BF370-BG370,CL370-(AZ370+BD370)))</f>
        <v/>
      </c>
      <c r="BI370" s="152">
        <f>BF370-BG370-BH370</f>
        <v/>
      </c>
      <c r="BJ370" s="152">
        <f>IF(BM369&lt;=0.005,0,BM369*(1+BJ$6))</f>
        <v/>
      </c>
      <c r="BK370" s="152">
        <f>MIN(BJ370,BJ$7)</f>
        <v/>
      </c>
      <c r="BL370" s="152">
        <f>MAX(0,MIN(BJ370-BK370,CL370-(AZ370+BD370+BH370)))</f>
        <v/>
      </c>
      <c r="BM370" s="152">
        <f>BJ370-BK370-BL370</f>
        <v/>
      </c>
      <c r="BN370" s="152">
        <f>IF(BQ369&lt;=0.005,0,BQ369*(1+BN$6))</f>
        <v/>
      </c>
      <c r="BO370" s="152">
        <f>MIN(BN370,BN$7)</f>
        <v/>
      </c>
      <c r="BP370" s="152">
        <f>MAX(0,MIN(BN370-BO370,CL370-(AZ370+BD370+BH370+BL370)))</f>
        <v/>
      </c>
      <c r="BQ370" s="152">
        <f>BN370-BO370-BP370</f>
        <v/>
      </c>
      <c r="BR370" s="152">
        <f>IF(BU369&lt;=0.005,0,BU369*(1+BR$6))</f>
        <v/>
      </c>
      <c r="BS370" s="152">
        <f>MIN(BR370,BR$7)</f>
        <v/>
      </c>
      <c r="BT370" s="152">
        <f>MAX(0,MIN(BR370-BS370,CL370-(AZ370+BD370+BH370+BL370+BP370)))</f>
        <v/>
      </c>
      <c r="BU370" s="152">
        <f>BR370-BS370-BT370</f>
        <v/>
      </c>
      <c r="BV370" s="152">
        <f>IF(BY369&lt;=0.005,0,BY369*(1+BV$6))</f>
        <v/>
      </c>
      <c r="BW370" s="152">
        <f>MIN(BV370,BV$7)</f>
        <v/>
      </c>
      <c r="BX370" s="152">
        <f>MAX(0,MIN(BV370-BW370,CL370-(AZ370+BD370+BH370+BL370+BP370+BT370)))</f>
        <v/>
      </c>
      <c r="BY370" s="152">
        <f>BV370-BW370-BX370</f>
        <v/>
      </c>
      <c r="BZ370" s="152">
        <f>IF(CC369&lt;=0.005,0,CC369*(1+BZ$6))</f>
        <v/>
      </c>
      <c r="CA370" s="152">
        <f>MIN(BZ370,BZ$7)</f>
        <v/>
      </c>
      <c r="CB370" s="152">
        <f>MAX(0,MIN(BZ370-CA370,CL370-(AZ370+BD370+BH370+BL370+BP370+BT370+BX370)))</f>
        <v/>
      </c>
      <c r="CC370" s="152">
        <f>BZ370-CA370-CB370</f>
        <v/>
      </c>
      <c r="CD370" s="152">
        <f>IF(CG369&lt;=0.005,0,CG369*(1+CD$6))</f>
        <v/>
      </c>
      <c r="CE370" s="152">
        <f>MIN(CD370,CD$7)</f>
        <v/>
      </c>
      <c r="CF370" s="152">
        <f>MAX(0,MIN(CD370-CE370,CL370-(AZ370+BD370+BH370+BL370+BP370+BT370+BX370+CB370)))</f>
        <v/>
      </c>
      <c r="CG370" s="152">
        <f>CD370-CE370-CF370</f>
        <v/>
      </c>
      <c r="CH370" s="152">
        <f>IF(CK369&lt;=0.005,0,CK369*(1+CH$6))</f>
        <v/>
      </c>
      <c r="CI370" s="152">
        <f>MIN(CH370,CH$7)</f>
        <v/>
      </c>
      <c r="CJ370" s="152">
        <f>MAX(0,MIN(CH370-CI370,CL370-(AZ370+BD370+BH370+BL370+BP370+BT370+BX370+CB370+CF370)))</f>
        <v/>
      </c>
      <c r="CK370" s="152">
        <f>CH370-CI370-CJ370</f>
        <v/>
      </c>
      <c r="CL370" s="152">
        <f>'Debt Payoff'!$C$8-SUM(AY370,BC370,BG370,BK370,BO370,BS370,BW370,CA370,CE370,CI370)</f>
        <v/>
      </c>
      <c r="CM370" s="152">
        <f>SUM(AY370,BC370,BG370,BK370,BO370,BS370,BW370,CA370,CE370,CI370)+SUM(AZ370,BD370,BH370,BL370,BP370,BT370,BX370,CB370,CF370,CJ370)</f>
        <v/>
      </c>
      <c r="CN370" s="152">
        <f>SUM(BA370,BE370,BI370,BM370,BQ370,BU370,BY370,CC370,CG370,CK370)</f>
        <v/>
      </c>
      <c r="CO370" s="152">
        <f>IF(AW370&gt;CN$6,NA(),AW370)</f>
        <v/>
      </c>
      <c r="CP370" s="152">
        <f>IF(AW370&gt;CN$6,NA(),CN370)</f>
        <v/>
      </c>
    </row>
    <row r="371">
      <c r="B371" s="152" t="n">
        <v>360</v>
      </c>
      <c r="C371" s="152">
        <f>IF(F370&lt;=0.005,0,F370*(1+C$6))</f>
        <v/>
      </c>
      <c r="D371" s="152">
        <f>MIN(C371,C$7)</f>
        <v/>
      </c>
      <c r="E371" s="152">
        <f>MAX(0,MIN(C371-D371,AQ371))</f>
        <v/>
      </c>
      <c r="F371" s="152">
        <f>C371-D371-E371</f>
        <v/>
      </c>
      <c r="G371" s="152">
        <f>IF(J370&lt;=0.005,0,J370*(1+G$6))</f>
        <v/>
      </c>
      <c r="H371" s="152">
        <f>MIN(G371,G$7)</f>
        <v/>
      </c>
      <c r="I371" s="152">
        <f>MAX(0,MIN(G371-H371,AQ371-(E371)))</f>
        <v/>
      </c>
      <c r="J371" s="152">
        <f>G371-H371-I371</f>
        <v/>
      </c>
      <c r="K371" s="152">
        <f>IF(N370&lt;=0.005,0,N370*(1+K$6))</f>
        <v/>
      </c>
      <c r="L371" s="152">
        <f>MIN(K371,K$7)</f>
        <v/>
      </c>
      <c r="M371" s="152">
        <f>MAX(0,MIN(K371-L371,AQ371-(E371+I371)))</f>
        <v/>
      </c>
      <c r="N371" s="152">
        <f>K371-L371-M371</f>
        <v/>
      </c>
      <c r="O371" s="152">
        <f>IF(R370&lt;=0.005,0,R370*(1+O$6))</f>
        <v/>
      </c>
      <c r="P371" s="152">
        <f>MIN(O371,O$7)</f>
        <v/>
      </c>
      <c r="Q371" s="152">
        <f>MAX(0,MIN(O371-P371,AQ371-(E371+I371+M371)))</f>
        <v/>
      </c>
      <c r="R371" s="152">
        <f>O371-P371-Q371</f>
        <v/>
      </c>
      <c r="S371" s="152">
        <f>IF(V370&lt;=0.005,0,V370*(1+S$6))</f>
        <v/>
      </c>
      <c r="T371" s="152">
        <f>MIN(S371,S$7)</f>
        <v/>
      </c>
      <c r="U371" s="152">
        <f>MAX(0,MIN(S371-T371,AQ371-(E371+I371+M371+Q371)))</f>
        <v/>
      </c>
      <c r="V371" s="152">
        <f>S371-T371-U371</f>
        <v/>
      </c>
      <c r="W371" s="152">
        <f>IF(Z370&lt;=0.005,0,Z370*(1+W$6))</f>
        <v/>
      </c>
      <c r="X371" s="152">
        <f>MIN(W371,W$7)</f>
        <v/>
      </c>
      <c r="Y371" s="152">
        <f>MAX(0,MIN(W371-X371,AQ371-(E371+I371+M371+Q371+U371)))</f>
        <v/>
      </c>
      <c r="Z371" s="152">
        <f>W371-X371-Y371</f>
        <v/>
      </c>
      <c r="AA371" s="152">
        <f>IF(AD370&lt;=0.005,0,AD370*(1+AA$6))</f>
        <v/>
      </c>
      <c r="AB371" s="152">
        <f>MIN(AA371,AA$7)</f>
        <v/>
      </c>
      <c r="AC371" s="152">
        <f>MAX(0,MIN(AA371-AB371,AQ371-(E371+I371+M371+Q371+U371+Y371)))</f>
        <v/>
      </c>
      <c r="AD371" s="152">
        <f>AA371-AB371-AC371</f>
        <v/>
      </c>
      <c r="AE371" s="152">
        <f>IF(AH370&lt;=0.005,0,AH370*(1+AE$6))</f>
        <v/>
      </c>
      <c r="AF371" s="152">
        <f>MIN(AE371,AE$7)</f>
        <v/>
      </c>
      <c r="AG371" s="152">
        <f>MAX(0,MIN(AE371-AF371,AQ371-(E371+I371+M371+Q371+U371+Y371+AC371)))</f>
        <v/>
      </c>
      <c r="AH371" s="152">
        <f>AE371-AF371-AG371</f>
        <v/>
      </c>
      <c r="AI371" s="152">
        <f>IF(AL370&lt;=0.005,0,AL370*(1+AI$6))</f>
        <v/>
      </c>
      <c r="AJ371" s="152">
        <f>MIN(AI371,AI$7)</f>
        <v/>
      </c>
      <c r="AK371" s="152">
        <f>MAX(0,MIN(AI371-AJ371,AQ371-(E371+I371+M371+Q371+U371+Y371+AC371+AG371)))</f>
        <v/>
      </c>
      <c r="AL371" s="152">
        <f>AI371-AJ371-AK371</f>
        <v/>
      </c>
      <c r="AM371" s="152">
        <f>IF(AP370&lt;=0.005,0,AP370*(1+AM$6))</f>
        <v/>
      </c>
      <c r="AN371" s="152">
        <f>MIN(AM371,AM$7)</f>
        <v/>
      </c>
      <c r="AO371" s="152">
        <f>MAX(0,MIN(AM371-AN371,AQ371-(E371+I371+M371+Q371+U371+Y371+AC371+AG371+AK371)))</f>
        <v/>
      </c>
      <c r="AP371" s="152">
        <f>AM371-AN371-AO371</f>
        <v/>
      </c>
      <c r="AQ371" s="152">
        <f>'Debt Payoff'!$C$8-SUM(D371,H371,L371,P371,T371,X371,AB371,AF371,AJ371,AN371)</f>
        <v/>
      </c>
      <c r="AR371" s="152">
        <f>SUM(D371,H371,L371,P371,T371,X371,AB371,AF371,AJ371,AN371)+SUM(E371,I371,M371,Q371,U371,Y371,AC371,AG371,AK371,AO371)</f>
        <v/>
      </c>
      <c r="AS371" s="152">
        <f>SUM(F371,J371,N371,R371,V371,Z371,AD371,AH371,AL371,AP371)</f>
        <v/>
      </c>
      <c r="AT371" s="152">
        <f>IF(B371&gt;AS$6,NA(),B371)</f>
        <v/>
      </c>
      <c r="AU371" s="152">
        <f>IF(B371&gt;AS$6,NA(),AS371)</f>
        <v/>
      </c>
      <c r="AV371" s="152" t="n"/>
      <c r="AW371" s="152" t="n">
        <v>360</v>
      </c>
      <c r="AX371" s="152">
        <f>IF(BA370&lt;=0.005,0,BA370*(1+AX$6))</f>
        <v/>
      </c>
      <c r="AY371" s="152">
        <f>MIN(AX371,AX$7)</f>
        <v/>
      </c>
      <c r="AZ371" s="152">
        <f>MAX(0,MIN(AX371-AY371,CL371))</f>
        <v/>
      </c>
      <c r="BA371" s="152">
        <f>AX371-AY371-AZ371</f>
        <v/>
      </c>
      <c r="BB371" s="152">
        <f>IF(BE370&lt;=0.005,0,BE370*(1+BB$6))</f>
        <v/>
      </c>
      <c r="BC371" s="152">
        <f>MIN(BB371,BB$7)</f>
        <v/>
      </c>
      <c r="BD371" s="152">
        <f>MAX(0,MIN(BB371-BC371,CL371-(AZ371)))</f>
        <v/>
      </c>
      <c r="BE371" s="152">
        <f>BB371-BC371-BD371</f>
        <v/>
      </c>
      <c r="BF371" s="152">
        <f>IF(BI370&lt;=0.005,0,BI370*(1+BF$6))</f>
        <v/>
      </c>
      <c r="BG371" s="152">
        <f>MIN(BF371,BF$7)</f>
        <v/>
      </c>
      <c r="BH371" s="152">
        <f>MAX(0,MIN(BF371-BG371,CL371-(AZ371+BD371)))</f>
        <v/>
      </c>
      <c r="BI371" s="152">
        <f>BF371-BG371-BH371</f>
        <v/>
      </c>
      <c r="BJ371" s="152">
        <f>IF(BM370&lt;=0.005,0,BM370*(1+BJ$6))</f>
        <v/>
      </c>
      <c r="BK371" s="152">
        <f>MIN(BJ371,BJ$7)</f>
        <v/>
      </c>
      <c r="BL371" s="152">
        <f>MAX(0,MIN(BJ371-BK371,CL371-(AZ371+BD371+BH371)))</f>
        <v/>
      </c>
      <c r="BM371" s="152">
        <f>BJ371-BK371-BL371</f>
        <v/>
      </c>
      <c r="BN371" s="152">
        <f>IF(BQ370&lt;=0.005,0,BQ370*(1+BN$6))</f>
        <v/>
      </c>
      <c r="BO371" s="152">
        <f>MIN(BN371,BN$7)</f>
        <v/>
      </c>
      <c r="BP371" s="152">
        <f>MAX(0,MIN(BN371-BO371,CL371-(AZ371+BD371+BH371+BL371)))</f>
        <v/>
      </c>
      <c r="BQ371" s="152">
        <f>BN371-BO371-BP371</f>
        <v/>
      </c>
      <c r="BR371" s="152">
        <f>IF(BU370&lt;=0.005,0,BU370*(1+BR$6))</f>
        <v/>
      </c>
      <c r="BS371" s="152">
        <f>MIN(BR371,BR$7)</f>
        <v/>
      </c>
      <c r="BT371" s="152">
        <f>MAX(0,MIN(BR371-BS371,CL371-(AZ371+BD371+BH371+BL371+BP371)))</f>
        <v/>
      </c>
      <c r="BU371" s="152">
        <f>BR371-BS371-BT371</f>
        <v/>
      </c>
      <c r="BV371" s="152">
        <f>IF(BY370&lt;=0.005,0,BY370*(1+BV$6))</f>
        <v/>
      </c>
      <c r="BW371" s="152">
        <f>MIN(BV371,BV$7)</f>
        <v/>
      </c>
      <c r="BX371" s="152">
        <f>MAX(0,MIN(BV371-BW371,CL371-(AZ371+BD371+BH371+BL371+BP371+BT371)))</f>
        <v/>
      </c>
      <c r="BY371" s="152">
        <f>BV371-BW371-BX371</f>
        <v/>
      </c>
      <c r="BZ371" s="152">
        <f>IF(CC370&lt;=0.005,0,CC370*(1+BZ$6))</f>
        <v/>
      </c>
      <c r="CA371" s="152">
        <f>MIN(BZ371,BZ$7)</f>
        <v/>
      </c>
      <c r="CB371" s="152">
        <f>MAX(0,MIN(BZ371-CA371,CL371-(AZ371+BD371+BH371+BL371+BP371+BT371+BX371)))</f>
        <v/>
      </c>
      <c r="CC371" s="152">
        <f>BZ371-CA371-CB371</f>
        <v/>
      </c>
      <c r="CD371" s="152">
        <f>IF(CG370&lt;=0.005,0,CG370*(1+CD$6))</f>
        <v/>
      </c>
      <c r="CE371" s="152">
        <f>MIN(CD371,CD$7)</f>
        <v/>
      </c>
      <c r="CF371" s="152">
        <f>MAX(0,MIN(CD371-CE371,CL371-(AZ371+BD371+BH371+BL371+BP371+BT371+BX371+CB371)))</f>
        <v/>
      </c>
      <c r="CG371" s="152">
        <f>CD371-CE371-CF371</f>
        <v/>
      </c>
      <c r="CH371" s="152">
        <f>IF(CK370&lt;=0.005,0,CK370*(1+CH$6))</f>
        <v/>
      </c>
      <c r="CI371" s="152">
        <f>MIN(CH371,CH$7)</f>
        <v/>
      </c>
      <c r="CJ371" s="152">
        <f>MAX(0,MIN(CH371-CI371,CL371-(AZ371+BD371+BH371+BL371+BP371+BT371+BX371+CB371+CF371)))</f>
        <v/>
      </c>
      <c r="CK371" s="152">
        <f>CH371-CI371-CJ371</f>
        <v/>
      </c>
      <c r="CL371" s="152">
        <f>'Debt Payoff'!$C$8-SUM(AY371,BC371,BG371,BK371,BO371,BS371,BW371,CA371,CE371,CI371)</f>
        <v/>
      </c>
      <c r="CM371" s="152">
        <f>SUM(AY371,BC371,BG371,BK371,BO371,BS371,BW371,CA371,CE371,CI371)+SUM(AZ371,BD371,BH371,BL371,BP371,BT371,BX371,CB371,CF371,CJ371)</f>
        <v/>
      </c>
      <c r="CN371" s="152">
        <f>SUM(BA371,BE371,BI371,BM371,BQ371,BU371,BY371,CC371,CG371,CK371)</f>
        <v/>
      </c>
      <c r="CO371" s="152">
        <f>IF(AW371&gt;CN$6,NA(),AW371)</f>
        <v/>
      </c>
      <c r="CP371" s="152">
        <f>IF(AW371&gt;CN$6,NA(),CN371)</f>
        <v/>
      </c>
    </row>
    <row r="372">
      <c r="B372" s="152" t="n">
        <v>361</v>
      </c>
      <c r="C372" s="152">
        <f>IF(F371&lt;=0.005,0,F371*(1+C$6))</f>
        <v/>
      </c>
      <c r="D372" s="152">
        <f>MIN(C372,C$7)</f>
        <v/>
      </c>
      <c r="E372" s="152">
        <f>MAX(0,MIN(C372-D372,AQ372))</f>
        <v/>
      </c>
      <c r="F372" s="152">
        <f>C372-D372-E372</f>
        <v/>
      </c>
      <c r="G372" s="152">
        <f>IF(J371&lt;=0.005,0,J371*(1+G$6))</f>
        <v/>
      </c>
      <c r="H372" s="152">
        <f>MIN(G372,G$7)</f>
        <v/>
      </c>
      <c r="I372" s="152">
        <f>MAX(0,MIN(G372-H372,AQ372-(E372)))</f>
        <v/>
      </c>
      <c r="J372" s="152">
        <f>G372-H372-I372</f>
        <v/>
      </c>
      <c r="K372" s="152">
        <f>IF(N371&lt;=0.005,0,N371*(1+K$6))</f>
        <v/>
      </c>
      <c r="L372" s="152">
        <f>MIN(K372,K$7)</f>
        <v/>
      </c>
      <c r="M372" s="152">
        <f>MAX(0,MIN(K372-L372,AQ372-(E372+I372)))</f>
        <v/>
      </c>
      <c r="N372" s="152">
        <f>K372-L372-M372</f>
        <v/>
      </c>
      <c r="O372" s="152">
        <f>IF(R371&lt;=0.005,0,R371*(1+O$6))</f>
        <v/>
      </c>
      <c r="P372" s="152">
        <f>MIN(O372,O$7)</f>
        <v/>
      </c>
      <c r="Q372" s="152">
        <f>MAX(0,MIN(O372-P372,AQ372-(E372+I372+M372)))</f>
        <v/>
      </c>
      <c r="R372" s="152">
        <f>O372-P372-Q372</f>
        <v/>
      </c>
      <c r="S372" s="152">
        <f>IF(V371&lt;=0.005,0,V371*(1+S$6))</f>
        <v/>
      </c>
      <c r="T372" s="152">
        <f>MIN(S372,S$7)</f>
        <v/>
      </c>
      <c r="U372" s="152">
        <f>MAX(0,MIN(S372-T372,AQ372-(E372+I372+M372+Q372)))</f>
        <v/>
      </c>
      <c r="V372" s="152">
        <f>S372-T372-U372</f>
        <v/>
      </c>
      <c r="W372" s="152">
        <f>IF(Z371&lt;=0.005,0,Z371*(1+W$6))</f>
        <v/>
      </c>
      <c r="X372" s="152">
        <f>MIN(W372,W$7)</f>
        <v/>
      </c>
      <c r="Y372" s="152">
        <f>MAX(0,MIN(W372-X372,AQ372-(E372+I372+M372+Q372+U372)))</f>
        <v/>
      </c>
      <c r="Z372" s="152">
        <f>W372-X372-Y372</f>
        <v/>
      </c>
      <c r="AA372" s="152">
        <f>IF(AD371&lt;=0.005,0,AD371*(1+AA$6))</f>
        <v/>
      </c>
      <c r="AB372" s="152">
        <f>MIN(AA372,AA$7)</f>
        <v/>
      </c>
      <c r="AC372" s="152">
        <f>MAX(0,MIN(AA372-AB372,AQ372-(E372+I372+M372+Q372+U372+Y372)))</f>
        <v/>
      </c>
      <c r="AD372" s="152">
        <f>AA372-AB372-AC372</f>
        <v/>
      </c>
      <c r="AE372" s="152">
        <f>IF(AH371&lt;=0.005,0,AH371*(1+AE$6))</f>
        <v/>
      </c>
      <c r="AF372" s="152">
        <f>MIN(AE372,AE$7)</f>
        <v/>
      </c>
      <c r="AG372" s="152">
        <f>MAX(0,MIN(AE372-AF372,AQ372-(E372+I372+M372+Q372+U372+Y372+AC372)))</f>
        <v/>
      </c>
      <c r="AH372" s="152">
        <f>AE372-AF372-AG372</f>
        <v/>
      </c>
      <c r="AI372" s="152">
        <f>IF(AL371&lt;=0.005,0,AL371*(1+AI$6))</f>
        <v/>
      </c>
      <c r="AJ372" s="152">
        <f>MIN(AI372,AI$7)</f>
        <v/>
      </c>
      <c r="AK372" s="152">
        <f>MAX(0,MIN(AI372-AJ372,AQ372-(E372+I372+M372+Q372+U372+Y372+AC372+AG372)))</f>
        <v/>
      </c>
      <c r="AL372" s="152">
        <f>AI372-AJ372-AK372</f>
        <v/>
      </c>
      <c r="AM372" s="152">
        <f>IF(AP371&lt;=0.005,0,AP371*(1+AM$6))</f>
        <v/>
      </c>
      <c r="AN372" s="152">
        <f>MIN(AM372,AM$7)</f>
        <v/>
      </c>
      <c r="AO372" s="152">
        <f>MAX(0,MIN(AM372-AN372,AQ372-(E372+I372+M372+Q372+U372+Y372+AC372+AG372+AK372)))</f>
        <v/>
      </c>
      <c r="AP372" s="152">
        <f>AM372-AN372-AO372</f>
        <v/>
      </c>
      <c r="AQ372" s="152">
        <f>'Debt Payoff'!$C$8-SUM(D372,H372,L372,P372,T372,X372,AB372,AF372,AJ372,AN372)</f>
        <v/>
      </c>
      <c r="AR372" s="152">
        <f>SUM(D372,H372,L372,P372,T372,X372,AB372,AF372,AJ372,AN372)+SUM(E372,I372,M372,Q372,U372,Y372,AC372,AG372,AK372,AO372)</f>
        <v/>
      </c>
      <c r="AS372" s="152">
        <f>SUM(F372,J372,N372,R372,V372,Z372,AD372,AH372,AL372,AP372)</f>
        <v/>
      </c>
      <c r="AT372" s="152">
        <f>IF(B372&gt;AS$6,NA(),B372)</f>
        <v/>
      </c>
      <c r="AU372" s="152">
        <f>IF(B372&gt;AS$6,NA(),AS372)</f>
        <v/>
      </c>
      <c r="AV372" s="152" t="n"/>
      <c r="AW372" s="152" t="n">
        <v>361</v>
      </c>
      <c r="AX372" s="152">
        <f>IF(BA371&lt;=0.005,0,BA371*(1+AX$6))</f>
        <v/>
      </c>
      <c r="AY372" s="152">
        <f>MIN(AX372,AX$7)</f>
        <v/>
      </c>
      <c r="AZ372" s="152">
        <f>MAX(0,MIN(AX372-AY372,CL372))</f>
        <v/>
      </c>
      <c r="BA372" s="152">
        <f>AX372-AY372-AZ372</f>
        <v/>
      </c>
      <c r="BB372" s="152">
        <f>IF(BE371&lt;=0.005,0,BE371*(1+BB$6))</f>
        <v/>
      </c>
      <c r="BC372" s="152">
        <f>MIN(BB372,BB$7)</f>
        <v/>
      </c>
      <c r="BD372" s="152">
        <f>MAX(0,MIN(BB372-BC372,CL372-(AZ372)))</f>
        <v/>
      </c>
      <c r="BE372" s="152">
        <f>BB372-BC372-BD372</f>
        <v/>
      </c>
      <c r="BF372" s="152">
        <f>IF(BI371&lt;=0.005,0,BI371*(1+BF$6))</f>
        <v/>
      </c>
      <c r="BG372" s="152">
        <f>MIN(BF372,BF$7)</f>
        <v/>
      </c>
      <c r="BH372" s="152">
        <f>MAX(0,MIN(BF372-BG372,CL372-(AZ372+BD372)))</f>
        <v/>
      </c>
      <c r="BI372" s="152">
        <f>BF372-BG372-BH372</f>
        <v/>
      </c>
      <c r="BJ372" s="152">
        <f>IF(BM371&lt;=0.005,0,BM371*(1+BJ$6))</f>
        <v/>
      </c>
      <c r="BK372" s="152">
        <f>MIN(BJ372,BJ$7)</f>
        <v/>
      </c>
      <c r="BL372" s="152">
        <f>MAX(0,MIN(BJ372-BK372,CL372-(AZ372+BD372+BH372)))</f>
        <v/>
      </c>
      <c r="BM372" s="152">
        <f>BJ372-BK372-BL372</f>
        <v/>
      </c>
      <c r="BN372" s="152">
        <f>IF(BQ371&lt;=0.005,0,BQ371*(1+BN$6))</f>
        <v/>
      </c>
      <c r="BO372" s="152">
        <f>MIN(BN372,BN$7)</f>
        <v/>
      </c>
      <c r="BP372" s="152">
        <f>MAX(0,MIN(BN372-BO372,CL372-(AZ372+BD372+BH372+BL372)))</f>
        <v/>
      </c>
      <c r="BQ372" s="152">
        <f>BN372-BO372-BP372</f>
        <v/>
      </c>
      <c r="BR372" s="152">
        <f>IF(BU371&lt;=0.005,0,BU371*(1+BR$6))</f>
        <v/>
      </c>
      <c r="BS372" s="152">
        <f>MIN(BR372,BR$7)</f>
        <v/>
      </c>
      <c r="BT372" s="152">
        <f>MAX(0,MIN(BR372-BS372,CL372-(AZ372+BD372+BH372+BL372+BP372)))</f>
        <v/>
      </c>
      <c r="BU372" s="152">
        <f>BR372-BS372-BT372</f>
        <v/>
      </c>
      <c r="BV372" s="152">
        <f>IF(BY371&lt;=0.005,0,BY371*(1+BV$6))</f>
        <v/>
      </c>
      <c r="BW372" s="152">
        <f>MIN(BV372,BV$7)</f>
        <v/>
      </c>
      <c r="BX372" s="152">
        <f>MAX(0,MIN(BV372-BW372,CL372-(AZ372+BD372+BH372+BL372+BP372+BT372)))</f>
        <v/>
      </c>
      <c r="BY372" s="152">
        <f>BV372-BW372-BX372</f>
        <v/>
      </c>
      <c r="BZ372" s="152">
        <f>IF(CC371&lt;=0.005,0,CC371*(1+BZ$6))</f>
        <v/>
      </c>
      <c r="CA372" s="152">
        <f>MIN(BZ372,BZ$7)</f>
        <v/>
      </c>
      <c r="CB372" s="152">
        <f>MAX(0,MIN(BZ372-CA372,CL372-(AZ372+BD372+BH372+BL372+BP372+BT372+BX372)))</f>
        <v/>
      </c>
      <c r="CC372" s="152">
        <f>BZ372-CA372-CB372</f>
        <v/>
      </c>
      <c r="CD372" s="152">
        <f>IF(CG371&lt;=0.005,0,CG371*(1+CD$6))</f>
        <v/>
      </c>
      <c r="CE372" s="152">
        <f>MIN(CD372,CD$7)</f>
        <v/>
      </c>
      <c r="CF372" s="152">
        <f>MAX(0,MIN(CD372-CE372,CL372-(AZ372+BD372+BH372+BL372+BP372+BT372+BX372+CB372)))</f>
        <v/>
      </c>
      <c r="CG372" s="152">
        <f>CD372-CE372-CF372</f>
        <v/>
      </c>
      <c r="CH372" s="152">
        <f>IF(CK371&lt;=0.005,0,CK371*(1+CH$6))</f>
        <v/>
      </c>
      <c r="CI372" s="152">
        <f>MIN(CH372,CH$7)</f>
        <v/>
      </c>
      <c r="CJ372" s="152">
        <f>MAX(0,MIN(CH372-CI372,CL372-(AZ372+BD372+BH372+BL372+BP372+BT372+BX372+CB372+CF372)))</f>
        <v/>
      </c>
      <c r="CK372" s="152">
        <f>CH372-CI372-CJ372</f>
        <v/>
      </c>
      <c r="CL372" s="152">
        <f>'Debt Payoff'!$C$8-SUM(AY372,BC372,BG372,BK372,BO372,BS372,BW372,CA372,CE372,CI372)</f>
        <v/>
      </c>
      <c r="CM372" s="152">
        <f>SUM(AY372,BC372,BG372,BK372,BO372,BS372,BW372,CA372,CE372,CI372)+SUM(AZ372,BD372,BH372,BL372,BP372,BT372,BX372,CB372,CF372,CJ372)</f>
        <v/>
      </c>
      <c r="CN372" s="152">
        <f>SUM(BA372,BE372,BI372,BM372,BQ372,BU372,BY372,CC372,CG372,CK372)</f>
        <v/>
      </c>
      <c r="CO372" s="152">
        <f>IF(AW372&gt;CN$6,NA(),AW372)</f>
        <v/>
      </c>
      <c r="CP372" s="152">
        <f>IF(AW372&gt;CN$6,NA(),CN372)</f>
        <v/>
      </c>
    </row>
    <row r="373">
      <c r="B373" s="152" t="n">
        <v>362</v>
      </c>
      <c r="C373" s="152">
        <f>IF(F372&lt;=0.005,0,F372*(1+C$6))</f>
        <v/>
      </c>
      <c r="D373" s="152">
        <f>MIN(C373,C$7)</f>
        <v/>
      </c>
      <c r="E373" s="152">
        <f>MAX(0,MIN(C373-D373,AQ373))</f>
        <v/>
      </c>
      <c r="F373" s="152">
        <f>C373-D373-E373</f>
        <v/>
      </c>
      <c r="G373" s="152">
        <f>IF(J372&lt;=0.005,0,J372*(1+G$6))</f>
        <v/>
      </c>
      <c r="H373" s="152">
        <f>MIN(G373,G$7)</f>
        <v/>
      </c>
      <c r="I373" s="152">
        <f>MAX(0,MIN(G373-H373,AQ373-(E373)))</f>
        <v/>
      </c>
      <c r="J373" s="152">
        <f>G373-H373-I373</f>
        <v/>
      </c>
      <c r="K373" s="152">
        <f>IF(N372&lt;=0.005,0,N372*(1+K$6))</f>
        <v/>
      </c>
      <c r="L373" s="152">
        <f>MIN(K373,K$7)</f>
        <v/>
      </c>
      <c r="M373" s="152">
        <f>MAX(0,MIN(K373-L373,AQ373-(E373+I373)))</f>
        <v/>
      </c>
      <c r="N373" s="152">
        <f>K373-L373-M373</f>
        <v/>
      </c>
      <c r="O373" s="152">
        <f>IF(R372&lt;=0.005,0,R372*(1+O$6))</f>
        <v/>
      </c>
      <c r="P373" s="152">
        <f>MIN(O373,O$7)</f>
        <v/>
      </c>
      <c r="Q373" s="152">
        <f>MAX(0,MIN(O373-P373,AQ373-(E373+I373+M373)))</f>
        <v/>
      </c>
      <c r="R373" s="152">
        <f>O373-P373-Q373</f>
        <v/>
      </c>
      <c r="S373" s="152">
        <f>IF(V372&lt;=0.005,0,V372*(1+S$6))</f>
        <v/>
      </c>
      <c r="T373" s="152">
        <f>MIN(S373,S$7)</f>
        <v/>
      </c>
      <c r="U373" s="152">
        <f>MAX(0,MIN(S373-T373,AQ373-(E373+I373+M373+Q373)))</f>
        <v/>
      </c>
      <c r="V373" s="152">
        <f>S373-T373-U373</f>
        <v/>
      </c>
      <c r="W373" s="152">
        <f>IF(Z372&lt;=0.005,0,Z372*(1+W$6))</f>
        <v/>
      </c>
      <c r="X373" s="152">
        <f>MIN(W373,W$7)</f>
        <v/>
      </c>
      <c r="Y373" s="152">
        <f>MAX(0,MIN(W373-X373,AQ373-(E373+I373+M373+Q373+U373)))</f>
        <v/>
      </c>
      <c r="Z373" s="152">
        <f>W373-X373-Y373</f>
        <v/>
      </c>
      <c r="AA373" s="152">
        <f>IF(AD372&lt;=0.005,0,AD372*(1+AA$6))</f>
        <v/>
      </c>
      <c r="AB373" s="152">
        <f>MIN(AA373,AA$7)</f>
        <v/>
      </c>
      <c r="AC373" s="152">
        <f>MAX(0,MIN(AA373-AB373,AQ373-(E373+I373+M373+Q373+U373+Y373)))</f>
        <v/>
      </c>
      <c r="AD373" s="152">
        <f>AA373-AB373-AC373</f>
        <v/>
      </c>
      <c r="AE373" s="152">
        <f>IF(AH372&lt;=0.005,0,AH372*(1+AE$6))</f>
        <v/>
      </c>
      <c r="AF373" s="152">
        <f>MIN(AE373,AE$7)</f>
        <v/>
      </c>
      <c r="AG373" s="152">
        <f>MAX(0,MIN(AE373-AF373,AQ373-(E373+I373+M373+Q373+U373+Y373+AC373)))</f>
        <v/>
      </c>
      <c r="AH373" s="152">
        <f>AE373-AF373-AG373</f>
        <v/>
      </c>
      <c r="AI373" s="152">
        <f>IF(AL372&lt;=0.005,0,AL372*(1+AI$6))</f>
        <v/>
      </c>
      <c r="AJ373" s="152">
        <f>MIN(AI373,AI$7)</f>
        <v/>
      </c>
      <c r="AK373" s="152">
        <f>MAX(0,MIN(AI373-AJ373,AQ373-(E373+I373+M373+Q373+U373+Y373+AC373+AG373)))</f>
        <v/>
      </c>
      <c r="AL373" s="152">
        <f>AI373-AJ373-AK373</f>
        <v/>
      </c>
      <c r="AM373" s="152">
        <f>IF(AP372&lt;=0.005,0,AP372*(1+AM$6))</f>
        <v/>
      </c>
      <c r="AN373" s="152">
        <f>MIN(AM373,AM$7)</f>
        <v/>
      </c>
      <c r="AO373" s="152">
        <f>MAX(0,MIN(AM373-AN373,AQ373-(E373+I373+M373+Q373+U373+Y373+AC373+AG373+AK373)))</f>
        <v/>
      </c>
      <c r="AP373" s="152">
        <f>AM373-AN373-AO373</f>
        <v/>
      </c>
      <c r="AQ373" s="152">
        <f>'Debt Payoff'!$C$8-SUM(D373,H373,L373,P373,T373,X373,AB373,AF373,AJ373,AN373)</f>
        <v/>
      </c>
      <c r="AR373" s="152">
        <f>SUM(D373,H373,L373,P373,T373,X373,AB373,AF373,AJ373,AN373)+SUM(E373,I373,M373,Q373,U373,Y373,AC373,AG373,AK373,AO373)</f>
        <v/>
      </c>
      <c r="AS373" s="152">
        <f>SUM(F373,J373,N373,R373,V373,Z373,AD373,AH373,AL373,AP373)</f>
        <v/>
      </c>
      <c r="AT373" s="152">
        <f>IF(B373&gt;AS$6,NA(),B373)</f>
        <v/>
      </c>
      <c r="AU373" s="152">
        <f>IF(B373&gt;AS$6,NA(),AS373)</f>
        <v/>
      </c>
      <c r="AV373" s="152" t="n"/>
      <c r="AW373" s="152" t="n">
        <v>362</v>
      </c>
      <c r="AX373" s="152">
        <f>IF(BA372&lt;=0.005,0,BA372*(1+AX$6))</f>
        <v/>
      </c>
      <c r="AY373" s="152">
        <f>MIN(AX373,AX$7)</f>
        <v/>
      </c>
      <c r="AZ373" s="152">
        <f>MAX(0,MIN(AX373-AY373,CL373))</f>
        <v/>
      </c>
      <c r="BA373" s="152">
        <f>AX373-AY373-AZ373</f>
        <v/>
      </c>
      <c r="BB373" s="152">
        <f>IF(BE372&lt;=0.005,0,BE372*(1+BB$6))</f>
        <v/>
      </c>
      <c r="BC373" s="152">
        <f>MIN(BB373,BB$7)</f>
        <v/>
      </c>
      <c r="BD373" s="152">
        <f>MAX(0,MIN(BB373-BC373,CL373-(AZ373)))</f>
        <v/>
      </c>
      <c r="BE373" s="152">
        <f>BB373-BC373-BD373</f>
        <v/>
      </c>
      <c r="BF373" s="152">
        <f>IF(BI372&lt;=0.005,0,BI372*(1+BF$6))</f>
        <v/>
      </c>
      <c r="BG373" s="152">
        <f>MIN(BF373,BF$7)</f>
        <v/>
      </c>
      <c r="BH373" s="152">
        <f>MAX(0,MIN(BF373-BG373,CL373-(AZ373+BD373)))</f>
        <v/>
      </c>
      <c r="BI373" s="152">
        <f>BF373-BG373-BH373</f>
        <v/>
      </c>
      <c r="BJ373" s="152">
        <f>IF(BM372&lt;=0.005,0,BM372*(1+BJ$6))</f>
        <v/>
      </c>
      <c r="BK373" s="152">
        <f>MIN(BJ373,BJ$7)</f>
        <v/>
      </c>
      <c r="BL373" s="152">
        <f>MAX(0,MIN(BJ373-BK373,CL373-(AZ373+BD373+BH373)))</f>
        <v/>
      </c>
      <c r="BM373" s="152">
        <f>BJ373-BK373-BL373</f>
        <v/>
      </c>
      <c r="BN373" s="152">
        <f>IF(BQ372&lt;=0.005,0,BQ372*(1+BN$6))</f>
        <v/>
      </c>
      <c r="BO373" s="152">
        <f>MIN(BN373,BN$7)</f>
        <v/>
      </c>
      <c r="BP373" s="152">
        <f>MAX(0,MIN(BN373-BO373,CL373-(AZ373+BD373+BH373+BL373)))</f>
        <v/>
      </c>
      <c r="BQ373" s="152">
        <f>BN373-BO373-BP373</f>
        <v/>
      </c>
      <c r="BR373" s="152">
        <f>IF(BU372&lt;=0.005,0,BU372*(1+BR$6))</f>
        <v/>
      </c>
      <c r="BS373" s="152">
        <f>MIN(BR373,BR$7)</f>
        <v/>
      </c>
      <c r="BT373" s="152">
        <f>MAX(0,MIN(BR373-BS373,CL373-(AZ373+BD373+BH373+BL373+BP373)))</f>
        <v/>
      </c>
      <c r="BU373" s="152">
        <f>BR373-BS373-BT373</f>
        <v/>
      </c>
      <c r="BV373" s="152">
        <f>IF(BY372&lt;=0.005,0,BY372*(1+BV$6))</f>
        <v/>
      </c>
      <c r="BW373" s="152">
        <f>MIN(BV373,BV$7)</f>
        <v/>
      </c>
      <c r="BX373" s="152">
        <f>MAX(0,MIN(BV373-BW373,CL373-(AZ373+BD373+BH373+BL373+BP373+BT373)))</f>
        <v/>
      </c>
      <c r="BY373" s="152">
        <f>BV373-BW373-BX373</f>
        <v/>
      </c>
      <c r="BZ373" s="152">
        <f>IF(CC372&lt;=0.005,0,CC372*(1+BZ$6))</f>
        <v/>
      </c>
      <c r="CA373" s="152">
        <f>MIN(BZ373,BZ$7)</f>
        <v/>
      </c>
      <c r="CB373" s="152">
        <f>MAX(0,MIN(BZ373-CA373,CL373-(AZ373+BD373+BH373+BL373+BP373+BT373+BX373)))</f>
        <v/>
      </c>
      <c r="CC373" s="152">
        <f>BZ373-CA373-CB373</f>
        <v/>
      </c>
      <c r="CD373" s="152">
        <f>IF(CG372&lt;=0.005,0,CG372*(1+CD$6))</f>
        <v/>
      </c>
      <c r="CE373" s="152">
        <f>MIN(CD373,CD$7)</f>
        <v/>
      </c>
      <c r="CF373" s="152">
        <f>MAX(0,MIN(CD373-CE373,CL373-(AZ373+BD373+BH373+BL373+BP373+BT373+BX373+CB373)))</f>
        <v/>
      </c>
      <c r="CG373" s="152">
        <f>CD373-CE373-CF373</f>
        <v/>
      </c>
      <c r="CH373" s="152">
        <f>IF(CK372&lt;=0.005,0,CK372*(1+CH$6))</f>
        <v/>
      </c>
      <c r="CI373" s="152">
        <f>MIN(CH373,CH$7)</f>
        <v/>
      </c>
      <c r="CJ373" s="152">
        <f>MAX(0,MIN(CH373-CI373,CL373-(AZ373+BD373+BH373+BL373+BP373+BT373+BX373+CB373+CF373)))</f>
        <v/>
      </c>
      <c r="CK373" s="152">
        <f>CH373-CI373-CJ373</f>
        <v/>
      </c>
      <c r="CL373" s="152">
        <f>'Debt Payoff'!$C$8-SUM(AY373,BC373,BG373,BK373,BO373,BS373,BW373,CA373,CE373,CI373)</f>
        <v/>
      </c>
      <c r="CM373" s="152">
        <f>SUM(AY373,BC373,BG373,BK373,BO373,BS373,BW373,CA373,CE373,CI373)+SUM(AZ373,BD373,BH373,BL373,BP373,BT373,BX373,CB373,CF373,CJ373)</f>
        <v/>
      </c>
      <c r="CN373" s="152">
        <f>SUM(BA373,BE373,BI373,BM373,BQ373,BU373,BY373,CC373,CG373,CK373)</f>
        <v/>
      </c>
      <c r="CO373" s="152">
        <f>IF(AW373&gt;CN$6,NA(),AW373)</f>
        <v/>
      </c>
      <c r="CP373" s="152">
        <f>IF(AW373&gt;CN$6,NA(),CN373)</f>
        <v/>
      </c>
    </row>
    <row r="374">
      <c r="B374" s="152" t="n">
        <v>363</v>
      </c>
      <c r="C374" s="152">
        <f>IF(F373&lt;=0.005,0,F373*(1+C$6))</f>
        <v/>
      </c>
      <c r="D374" s="152">
        <f>MIN(C374,C$7)</f>
        <v/>
      </c>
      <c r="E374" s="152">
        <f>MAX(0,MIN(C374-D374,AQ374))</f>
        <v/>
      </c>
      <c r="F374" s="152">
        <f>C374-D374-E374</f>
        <v/>
      </c>
      <c r="G374" s="152">
        <f>IF(J373&lt;=0.005,0,J373*(1+G$6))</f>
        <v/>
      </c>
      <c r="H374" s="152">
        <f>MIN(G374,G$7)</f>
        <v/>
      </c>
      <c r="I374" s="152">
        <f>MAX(0,MIN(G374-H374,AQ374-(E374)))</f>
        <v/>
      </c>
      <c r="J374" s="152">
        <f>G374-H374-I374</f>
        <v/>
      </c>
      <c r="K374" s="152">
        <f>IF(N373&lt;=0.005,0,N373*(1+K$6))</f>
        <v/>
      </c>
      <c r="L374" s="152">
        <f>MIN(K374,K$7)</f>
        <v/>
      </c>
      <c r="M374" s="152">
        <f>MAX(0,MIN(K374-L374,AQ374-(E374+I374)))</f>
        <v/>
      </c>
      <c r="N374" s="152">
        <f>K374-L374-M374</f>
        <v/>
      </c>
      <c r="O374" s="152">
        <f>IF(R373&lt;=0.005,0,R373*(1+O$6))</f>
        <v/>
      </c>
      <c r="P374" s="152">
        <f>MIN(O374,O$7)</f>
        <v/>
      </c>
      <c r="Q374" s="152">
        <f>MAX(0,MIN(O374-P374,AQ374-(E374+I374+M374)))</f>
        <v/>
      </c>
      <c r="R374" s="152">
        <f>O374-P374-Q374</f>
        <v/>
      </c>
      <c r="S374" s="152">
        <f>IF(V373&lt;=0.005,0,V373*(1+S$6))</f>
        <v/>
      </c>
      <c r="T374" s="152">
        <f>MIN(S374,S$7)</f>
        <v/>
      </c>
      <c r="U374" s="152">
        <f>MAX(0,MIN(S374-T374,AQ374-(E374+I374+M374+Q374)))</f>
        <v/>
      </c>
      <c r="V374" s="152">
        <f>S374-T374-U374</f>
        <v/>
      </c>
      <c r="W374" s="152">
        <f>IF(Z373&lt;=0.005,0,Z373*(1+W$6))</f>
        <v/>
      </c>
      <c r="X374" s="152">
        <f>MIN(W374,W$7)</f>
        <v/>
      </c>
      <c r="Y374" s="152">
        <f>MAX(0,MIN(W374-X374,AQ374-(E374+I374+M374+Q374+U374)))</f>
        <v/>
      </c>
      <c r="Z374" s="152">
        <f>W374-X374-Y374</f>
        <v/>
      </c>
      <c r="AA374" s="152">
        <f>IF(AD373&lt;=0.005,0,AD373*(1+AA$6))</f>
        <v/>
      </c>
      <c r="AB374" s="152">
        <f>MIN(AA374,AA$7)</f>
        <v/>
      </c>
      <c r="AC374" s="152">
        <f>MAX(0,MIN(AA374-AB374,AQ374-(E374+I374+M374+Q374+U374+Y374)))</f>
        <v/>
      </c>
      <c r="AD374" s="152">
        <f>AA374-AB374-AC374</f>
        <v/>
      </c>
      <c r="AE374" s="152">
        <f>IF(AH373&lt;=0.005,0,AH373*(1+AE$6))</f>
        <v/>
      </c>
      <c r="AF374" s="152">
        <f>MIN(AE374,AE$7)</f>
        <v/>
      </c>
      <c r="AG374" s="152">
        <f>MAX(0,MIN(AE374-AF374,AQ374-(E374+I374+M374+Q374+U374+Y374+AC374)))</f>
        <v/>
      </c>
      <c r="AH374" s="152">
        <f>AE374-AF374-AG374</f>
        <v/>
      </c>
      <c r="AI374" s="152">
        <f>IF(AL373&lt;=0.005,0,AL373*(1+AI$6))</f>
        <v/>
      </c>
      <c r="AJ374" s="152">
        <f>MIN(AI374,AI$7)</f>
        <v/>
      </c>
      <c r="AK374" s="152">
        <f>MAX(0,MIN(AI374-AJ374,AQ374-(E374+I374+M374+Q374+U374+Y374+AC374+AG374)))</f>
        <v/>
      </c>
      <c r="AL374" s="152">
        <f>AI374-AJ374-AK374</f>
        <v/>
      </c>
      <c r="AM374" s="152">
        <f>IF(AP373&lt;=0.005,0,AP373*(1+AM$6))</f>
        <v/>
      </c>
      <c r="AN374" s="152">
        <f>MIN(AM374,AM$7)</f>
        <v/>
      </c>
      <c r="AO374" s="152">
        <f>MAX(0,MIN(AM374-AN374,AQ374-(E374+I374+M374+Q374+U374+Y374+AC374+AG374+AK374)))</f>
        <v/>
      </c>
      <c r="AP374" s="152">
        <f>AM374-AN374-AO374</f>
        <v/>
      </c>
      <c r="AQ374" s="152">
        <f>'Debt Payoff'!$C$8-SUM(D374,H374,L374,P374,T374,X374,AB374,AF374,AJ374,AN374)</f>
        <v/>
      </c>
      <c r="AR374" s="152">
        <f>SUM(D374,H374,L374,P374,T374,X374,AB374,AF374,AJ374,AN374)+SUM(E374,I374,M374,Q374,U374,Y374,AC374,AG374,AK374,AO374)</f>
        <v/>
      </c>
      <c r="AS374" s="152">
        <f>SUM(F374,J374,N374,R374,V374,Z374,AD374,AH374,AL374,AP374)</f>
        <v/>
      </c>
      <c r="AT374" s="152">
        <f>IF(B374&gt;AS$6,NA(),B374)</f>
        <v/>
      </c>
      <c r="AU374" s="152">
        <f>IF(B374&gt;AS$6,NA(),AS374)</f>
        <v/>
      </c>
      <c r="AV374" s="152" t="n"/>
      <c r="AW374" s="152" t="n">
        <v>363</v>
      </c>
      <c r="AX374" s="152">
        <f>IF(BA373&lt;=0.005,0,BA373*(1+AX$6))</f>
        <v/>
      </c>
      <c r="AY374" s="152">
        <f>MIN(AX374,AX$7)</f>
        <v/>
      </c>
      <c r="AZ374" s="152">
        <f>MAX(0,MIN(AX374-AY374,CL374))</f>
        <v/>
      </c>
      <c r="BA374" s="152">
        <f>AX374-AY374-AZ374</f>
        <v/>
      </c>
      <c r="BB374" s="152">
        <f>IF(BE373&lt;=0.005,0,BE373*(1+BB$6))</f>
        <v/>
      </c>
      <c r="BC374" s="152">
        <f>MIN(BB374,BB$7)</f>
        <v/>
      </c>
      <c r="BD374" s="152">
        <f>MAX(0,MIN(BB374-BC374,CL374-(AZ374)))</f>
        <v/>
      </c>
      <c r="BE374" s="152">
        <f>BB374-BC374-BD374</f>
        <v/>
      </c>
      <c r="BF374" s="152">
        <f>IF(BI373&lt;=0.005,0,BI373*(1+BF$6))</f>
        <v/>
      </c>
      <c r="BG374" s="152">
        <f>MIN(BF374,BF$7)</f>
        <v/>
      </c>
      <c r="BH374" s="152">
        <f>MAX(0,MIN(BF374-BG374,CL374-(AZ374+BD374)))</f>
        <v/>
      </c>
      <c r="BI374" s="152">
        <f>BF374-BG374-BH374</f>
        <v/>
      </c>
      <c r="BJ374" s="152">
        <f>IF(BM373&lt;=0.005,0,BM373*(1+BJ$6))</f>
        <v/>
      </c>
      <c r="BK374" s="152">
        <f>MIN(BJ374,BJ$7)</f>
        <v/>
      </c>
      <c r="BL374" s="152">
        <f>MAX(0,MIN(BJ374-BK374,CL374-(AZ374+BD374+BH374)))</f>
        <v/>
      </c>
      <c r="BM374" s="152">
        <f>BJ374-BK374-BL374</f>
        <v/>
      </c>
      <c r="BN374" s="152">
        <f>IF(BQ373&lt;=0.005,0,BQ373*(1+BN$6))</f>
        <v/>
      </c>
      <c r="BO374" s="152">
        <f>MIN(BN374,BN$7)</f>
        <v/>
      </c>
      <c r="BP374" s="152">
        <f>MAX(0,MIN(BN374-BO374,CL374-(AZ374+BD374+BH374+BL374)))</f>
        <v/>
      </c>
      <c r="BQ374" s="152">
        <f>BN374-BO374-BP374</f>
        <v/>
      </c>
      <c r="BR374" s="152">
        <f>IF(BU373&lt;=0.005,0,BU373*(1+BR$6))</f>
        <v/>
      </c>
      <c r="BS374" s="152">
        <f>MIN(BR374,BR$7)</f>
        <v/>
      </c>
      <c r="BT374" s="152">
        <f>MAX(0,MIN(BR374-BS374,CL374-(AZ374+BD374+BH374+BL374+BP374)))</f>
        <v/>
      </c>
      <c r="BU374" s="152">
        <f>BR374-BS374-BT374</f>
        <v/>
      </c>
      <c r="BV374" s="152">
        <f>IF(BY373&lt;=0.005,0,BY373*(1+BV$6))</f>
        <v/>
      </c>
      <c r="BW374" s="152">
        <f>MIN(BV374,BV$7)</f>
        <v/>
      </c>
      <c r="BX374" s="152">
        <f>MAX(0,MIN(BV374-BW374,CL374-(AZ374+BD374+BH374+BL374+BP374+BT374)))</f>
        <v/>
      </c>
      <c r="BY374" s="152">
        <f>BV374-BW374-BX374</f>
        <v/>
      </c>
      <c r="BZ374" s="152">
        <f>IF(CC373&lt;=0.005,0,CC373*(1+BZ$6))</f>
        <v/>
      </c>
      <c r="CA374" s="152">
        <f>MIN(BZ374,BZ$7)</f>
        <v/>
      </c>
      <c r="CB374" s="152">
        <f>MAX(0,MIN(BZ374-CA374,CL374-(AZ374+BD374+BH374+BL374+BP374+BT374+BX374)))</f>
        <v/>
      </c>
      <c r="CC374" s="152">
        <f>BZ374-CA374-CB374</f>
        <v/>
      </c>
      <c r="CD374" s="152">
        <f>IF(CG373&lt;=0.005,0,CG373*(1+CD$6))</f>
        <v/>
      </c>
      <c r="CE374" s="152">
        <f>MIN(CD374,CD$7)</f>
        <v/>
      </c>
      <c r="CF374" s="152">
        <f>MAX(0,MIN(CD374-CE374,CL374-(AZ374+BD374+BH374+BL374+BP374+BT374+BX374+CB374)))</f>
        <v/>
      </c>
      <c r="CG374" s="152">
        <f>CD374-CE374-CF374</f>
        <v/>
      </c>
      <c r="CH374" s="152">
        <f>IF(CK373&lt;=0.005,0,CK373*(1+CH$6))</f>
        <v/>
      </c>
      <c r="CI374" s="152">
        <f>MIN(CH374,CH$7)</f>
        <v/>
      </c>
      <c r="CJ374" s="152">
        <f>MAX(0,MIN(CH374-CI374,CL374-(AZ374+BD374+BH374+BL374+BP374+BT374+BX374+CB374+CF374)))</f>
        <v/>
      </c>
      <c r="CK374" s="152">
        <f>CH374-CI374-CJ374</f>
        <v/>
      </c>
      <c r="CL374" s="152">
        <f>'Debt Payoff'!$C$8-SUM(AY374,BC374,BG374,BK374,BO374,BS374,BW374,CA374,CE374,CI374)</f>
        <v/>
      </c>
      <c r="CM374" s="152">
        <f>SUM(AY374,BC374,BG374,BK374,BO374,BS374,BW374,CA374,CE374,CI374)+SUM(AZ374,BD374,BH374,BL374,BP374,BT374,BX374,CB374,CF374,CJ374)</f>
        <v/>
      </c>
      <c r="CN374" s="152">
        <f>SUM(BA374,BE374,BI374,BM374,BQ374,BU374,BY374,CC374,CG374,CK374)</f>
        <v/>
      </c>
      <c r="CO374" s="152">
        <f>IF(AW374&gt;CN$6,NA(),AW374)</f>
        <v/>
      </c>
      <c r="CP374" s="152">
        <f>IF(AW374&gt;CN$6,NA(),CN374)</f>
        <v/>
      </c>
    </row>
    <row r="375">
      <c r="B375" s="152" t="n">
        <v>364</v>
      </c>
      <c r="C375" s="152">
        <f>IF(F374&lt;=0.005,0,F374*(1+C$6))</f>
        <v/>
      </c>
      <c r="D375" s="152">
        <f>MIN(C375,C$7)</f>
        <v/>
      </c>
      <c r="E375" s="152">
        <f>MAX(0,MIN(C375-D375,AQ375))</f>
        <v/>
      </c>
      <c r="F375" s="152">
        <f>C375-D375-E375</f>
        <v/>
      </c>
      <c r="G375" s="152">
        <f>IF(J374&lt;=0.005,0,J374*(1+G$6))</f>
        <v/>
      </c>
      <c r="H375" s="152">
        <f>MIN(G375,G$7)</f>
        <v/>
      </c>
      <c r="I375" s="152">
        <f>MAX(0,MIN(G375-H375,AQ375-(E375)))</f>
        <v/>
      </c>
      <c r="J375" s="152">
        <f>G375-H375-I375</f>
        <v/>
      </c>
      <c r="K375" s="152">
        <f>IF(N374&lt;=0.005,0,N374*(1+K$6))</f>
        <v/>
      </c>
      <c r="L375" s="152">
        <f>MIN(K375,K$7)</f>
        <v/>
      </c>
      <c r="M375" s="152">
        <f>MAX(0,MIN(K375-L375,AQ375-(E375+I375)))</f>
        <v/>
      </c>
      <c r="N375" s="152">
        <f>K375-L375-M375</f>
        <v/>
      </c>
      <c r="O375" s="152">
        <f>IF(R374&lt;=0.005,0,R374*(1+O$6))</f>
        <v/>
      </c>
      <c r="P375" s="152">
        <f>MIN(O375,O$7)</f>
        <v/>
      </c>
      <c r="Q375" s="152">
        <f>MAX(0,MIN(O375-P375,AQ375-(E375+I375+M375)))</f>
        <v/>
      </c>
      <c r="R375" s="152">
        <f>O375-P375-Q375</f>
        <v/>
      </c>
      <c r="S375" s="152">
        <f>IF(V374&lt;=0.005,0,V374*(1+S$6))</f>
        <v/>
      </c>
      <c r="T375" s="152">
        <f>MIN(S375,S$7)</f>
        <v/>
      </c>
      <c r="U375" s="152">
        <f>MAX(0,MIN(S375-T375,AQ375-(E375+I375+M375+Q375)))</f>
        <v/>
      </c>
      <c r="V375" s="152">
        <f>S375-T375-U375</f>
        <v/>
      </c>
      <c r="W375" s="152">
        <f>IF(Z374&lt;=0.005,0,Z374*(1+W$6))</f>
        <v/>
      </c>
      <c r="X375" s="152">
        <f>MIN(W375,W$7)</f>
        <v/>
      </c>
      <c r="Y375" s="152">
        <f>MAX(0,MIN(W375-X375,AQ375-(E375+I375+M375+Q375+U375)))</f>
        <v/>
      </c>
      <c r="Z375" s="152">
        <f>W375-X375-Y375</f>
        <v/>
      </c>
      <c r="AA375" s="152">
        <f>IF(AD374&lt;=0.005,0,AD374*(1+AA$6))</f>
        <v/>
      </c>
      <c r="AB375" s="152">
        <f>MIN(AA375,AA$7)</f>
        <v/>
      </c>
      <c r="AC375" s="152">
        <f>MAX(0,MIN(AA375-AB375,AQ375-(E375+I375+M375+Q375+U375+Y375)))</f>
        <v/>
      </c>
      <c r="AD375" s="152">
        <f>AA375-AB375-AC375</f>
        <v/>
      </c>
      <c r="AE375" s="152">
        <f>IF(AH374&lt;=0.005,0,AH374*(1+AE$6))</f>
        <v/>
      </c>
      <c r="AF375" s="152">
        <f>MIN(AE375,AE$7)</f>
        <v/>
      </c>
      <c r="AG375" s="152">
        <f>MAX(0,MIN(AE375-AF375,AQ375-(E375+I375+M375+Q375+U375+Y375+AC375)))</f>
        <v/>
      </c>
      <c r="AH375" s="152">
        <f>AE375-AF375-AG375</f>
        <v/>
      </c>
      <c r="AI375" s="152">
        <f>IF(AL374&lt;=0.005,0,AL374*(1+AI$6))</f>
        <v/>
      </c>
      <c r="AJ375" s="152">
        <f>MIN(AI375,AI$7)</f>
        <v/>
      </c>
      <c r="AK375" s="152">
        <f>MAX(0,MIN(AI375-AJ375,AQ375-(E375+I375+M375+Q375+U375+Y375+AC375+AG375)))</f>
        <v/>
      </c>
      <c r="AL375" s="152">
        <f>AI375-AJ375-AK375</f>
        <v/>
      </c>
      <c r="AM375" s="152">
        <f>IF(AP374&lt;=0.005,0,AP374*(1+AM$6))</f>
        <v/>
      </c>
      <c r="AN375" s="152">
        <f>MIN(AM375,AM$7)</f>
        <v/>
      </c>
      <c r="AO375" s="152">
        <f>MAX(0,MIN(AM375-AN375,AQ375-(E375+I375+M375+Q375+U375+Y375+AC375+AG375+AK375)))</f>
        <v/>
      </c>
      <c r="AP375" s="152">
        <f>AM375-AN375-AO375</f>
        <v/>
      </c>
      <c r="AQ375" s="152">
        <f>'Debt Payoff'!$C$8-SUM(D375,H375,L375,P375,T375,X375,AB375,AF375,AJ375,AN375)</f>
        <v/>
      </c>
      <c r="AR375" s="152">
        <f>SUM(D375,H375,L375,P375,T375,X375,AB375,AF375,AJ375,AN375)+SUM(E375,I375,M375,Q375,U375,Y375,AC375,AG375,AK375,AO375)</f>
        <v/>
      </c>
      <c r="AS375" s="152">
        <f>SUM(F375,J375,N375,R375,V375,Z375,AD375,AH375,AL375,AP375)</f>
        <v/>
      </c>
      <c r="AT375" s="152">
        <f>IF(B375&gt;AS$6,NA(),B375)</f>
        <v/>
      </c>
      <c r="AU375" s="152">
        <f>IF(B375&gt;AS$6,NA(),AS375)</f>
        <v/>
      </c>
      <c r="AV375" s="152" t="n"/>
      <c r="AW375" s="152" t="n">
        <v>364</v>
      </c>
      <c r="AX375" s="152">
        <f>IF(BA374&lt;=0.005,0,BA374*(1+AX$6))</f>
        <v/>
      </c>
      <c r="AY375" s="152">
        <f>MIN(AX375,AX$7)</f>
        <v/>
      </c>
      <c r="AZ375" s="152">
        <f>MAX(0,MIN(AX375-AY375,CL375))</f>
        <v/>
      </c>
      <c r="BA375" s="152">
        <f>AX375-AY375-AZ375</f>
        <v/>
      </c>
      <c r="BB375" s="152">
        <f>IF(BE374&lt;=0.005,0,BE374*(1+BB$6))</f>
        <v/>
      </c>
      <c r="BC375" s="152">
        <f>MIN(BB375,BB$7)</f>
        <v/>
      </c>
      <c r="BD375" s="152">
        <f>MAX(0,MIN(BB375-BC375,CL375-(AZ375)))</f>
        <v/>
      </c>
      <c r="BE375" s="152">
        <f>BB375-BC375-BD375</f>
        <v/>
      </c>
      <c r="BF375" s="152">
        <f>IF(BI374&lt;=0.005,0,BI374*(1+BF$6))</f>
        <v/>
      </c>
      <c r="BG375" s="152">
        <f>MIN(BF375,BF$7)</f>
        <v/>
      </c>
      <c r="BH375" s="152">
        <f>MAX(0,MIN(BF375-BG375,CL375-(AZ375+BD375)))</f>
        <v/>
      </c>
      <c r="BI375" s="152">
        <f>BF375-BG375-BH375</f>
        <v/>
      </c>
      <c r="BJ375" s="152">
        <f>IF(BM374&lt;=0.005,0,BM374*(1+BJ$6))</f>
        <v/>
      </c>
      <c r="BK375" s="152">
        <f>MIN(BJ375,BJ$7)</f>
        <v/>
      </c>
      <c r="BL375" s="152">
        <f>MAX(0,MIN(BJ375-BK375,CL375-(AZ375+BD375+BH375)))</f>
        <v/>
      </c>
      <c r="BM375" s="152">
        <f>BJ375-BK375-BL375</f>
        <v/>
      </c>
      <c r="BN375" s="152">
        <f>IF(BQ374&lt;=0.005,0,BQ374*(1+BN$6))</f>
        <v/>
      </c>
      <c r="BO375" s="152">
        <f>MIN(BN375,BN$7)</f>
        <v/>
      </c>
      <c r="BP375" s="152">
        <f>MAX(0,MIN(BN375-BO375,CL375-(AZ375+BD375+BH375+BL375)))</f>
        <v/>
      </c>
      <c r="BQ375" s="152">
        <f>BN375-BO375-BP375</f>
        <v/>
      </c>
      <c r="BR375" s="152">
        <f>IF(BU374&lt;=0.005,0,BU374*(1+BR$6))</f>
        <v/>
      </c>
      <c r="BS375" s="152">
        <f>MIN(BR375,BR$7)</f>
        <v/>
      </c>
      <c r="BT375" s="152">
        <f>MAX(0,MIN(BR375-BS375,CL375-(AZ375+BD375+BH375+BL375+BP375)))</f>
        <v/>
      </c>
      <c r="BU375" s="152">
        <f>BR375-BS375-BT375</f>
        <v/>
      </c>
      <c r="BV375" s="152">
        <f>IF(BY374&lt;=0.005,0,BY374*(1+BV$6))</f>
        <v/>
      </c>
      <c r="BW375" s="152">
        <f>MIN(BV375,BV$7)</f>
        <v/>
      </c>
      <c r="BX375" s="152">
        <f>MAX(0,MIN(BV375-BW375,CL375-(AZ375+BD375+BH375+BL375+BP375+BT375)))</f>
        <v/>
      </c>
      <c r="BY375" s="152">
        <f>BV375-BW375-BX375</f>
        <v/>
      </c>
      <c r="BZ375" s="152">
        <f>IF(CC374&lt;=0.005,0,CC374*(1+BZ$6))</f>
        <v/>
      </c>
      <c r="CA375" s="152">
        <f>MIN(BZ375,BZ$7)</f>
        <v/>
      </c>
      <c r="CB375" s="152">
        <f>MAX(0,MIN(BZ375-CA375,CL375-(AZ375+BD375+BH375+BL375+BP375+BT375+BX375)))</f>
        <v/>
      </c>
      <c r="CC375" s="152">
        <f>BZ375-CA375-CB375</f>
        <v/>
      </c>
      <c r="CD375" s="152">
        <f>IF(CG374&lt;=0.005,0,CG374*(1+CD$6))</f>
        <v/>
      </c>
      <c r="CE375" s="152">
        <f>MIN(CD375,CD$7)</f>
        <v/>
      </c>
      <c r="CF375" s="152">
        <f>MAX(0,MIN(CD375-CE375,CL375-(AZ375+BD375+BH375+BL375+BP375+BT375+BX375+CB375)))</f>
        <v/>
      </c>
      <c r="CG375" s="152">
        <f>CD375-CE375-CF375</f>
        <v/>
      </c>
      <c r="CH375" s="152">
        <f>IF(CK374&lt;=0.005,0,CK374*(1+CH$6))</f>
        <v/>
      </c>
      <c r="CI375" s="152">
        <f>MIN(CH375,CH$7)</f>
        <v/>
      </c>
      <c r="CJ375" s="152">
        <f>MAX(0,MIN(CH375-CI375,CL375-(AZ375+BD375+BH375+BL375+BP375+BT375+BX375+CB375+CF375)))</f>
        <v/>
      </c>
      <c r="CK375" s="152">
        <f>CH375-CI375-CJ375</f>
        <v/>
      </c>
      <c r="CL375" s="152">
        <f>'Debt Payoff'!$C$8-SUM(AY375,BC375,BG375,BK375,BO375,BS375,BW375,CA375,CE375,CI375)</f>
        <v/>
      </c>
      <c r="CM375" s="152">
        <f>SUM(AY375,BC375,BG375,BK375,BO375,BS375,BW375,CA375,CE375,CI375)+SUM(AZ375,BD375,BH375,BL375,BP375,BT375,BX375,CB375,CF375,CJ375)</f>
        <v/>
      </c>
      <c r="CN375" s="152">
        <f>SUM(BA375,BE375,BI375,BM375,BQ375,BU375,BY375,CC375,CG375,CK375)</f>
        <v/>
      </c>
      <c r="CO375" s="152">
        <f>IF(AW375&gt;CN$6,NA(),AW375)</f>
        <v/>
      </c>
      <c r="CP375" s="152">
        <f>IF(AW375&gt;CN$6,NA(),CN375)</f>
        <v/>
      </c>
    </row>
    <row r="376">
      <c r="B376" s="152" t="n">
        <v>365</v>
      </c>
      <c r="C376" s="152">
        <f>IF(F375&lt;=0.005,0,F375*(1+C$6))</f>
        <v/>
      </c>
      <c r="D376" s="152">
        <f>MIN(C376,C$7)</f>
        <v/>
      </c>
      <c r="E376" s="152">
        <f>MAX(0,MIN(C376-D376,AQ376))</f>
        <v/>
      </c>
      <c r="F376" s="152">
        <f>C376-D376-E376</f>
        <v/>
      </c>
      <c r="G376" s="152">
        <f>IF(J375&lt;=0.005,0,J375*(1+G$6))</f>
        <v/>
      </c>
      <c r="H376" s="152">
        <f>MIN(G376,G$7)</f>
        <v/>
      </c>
      <c r="I376" s="152">
        <f>MAX(0,MIN(G376-H376,AQ376-(E376)))</f>
        <v/>
      </c>
      <c r="J376" s="152">
        <f>G376-H376-I376</f>
        <v/>
      </c>
      <c r="K376" s="152">
        <f>IF(N375&lt;=0.005,0,N375*(1+K$6))</f>
        <v/>
      </c>
      <c r="L376" s="152">
        <f>MIN(K376,K$7)</f>
        <v/>
      </c>
      <c r="M376" s="152">
        <f>MAX(0,MIN(K376-L376,AQ376-(E376+I376)))</f>
        <v/>
      </c>
      <c r="N376" s="152">
        <f>K376-L376-M376</f>
        <v/>
      </c>
      <c r="O376" s="152">
        <f>IF(R375&lt;=0.005,0,R375*(1+O$6))</f>
        <v/>
      </c>
      <c r="P376" s="152">
        <f>MIN(O376,O$7)</f>
        <v/>
      </c>
      <c r="Q376" s="152">
        <f>MAX(0,MIN(O376-P376,AQ376-(E376+I376+M376)))</f>
        <v/>
      </c>
      <c r="R376" s="152">
        <f>O376-P376-Q376</f>
        <v/>
      </c>
      <c r="S376" s="152">
        <f>IF(V375&lt;=0.005,0,V375*(1+S$6))</f>
        <v/>
      </c>
      <c r="T376" s="152">
        <f>MIN(S376,S$7)</f>
        <v/>
      </c>
      <c r="U376" s="152">
        <f>MAX(0,MIN(S376-T376,AQ376-(E376+I376+M376+Q376)))</f>
        <v/>
      </c>
      <c r="V376" s="152">
        <f>S376-T376-U376</f>
        <v/>
      </c>
      <c r="W376" s="152">
        <f>IF(Z375&lt;=0.005,0,Z375*(1+W$6))</f>
        <v/>
      </c>
      <c r="X376" s="152">
        <f>MIN(W376,W$7)</f>
        <v/>
      </c>
      <c r="Y376" s="152">
        <f>MAX(0,MIN(W376-X376,AQ376-(E376+I376+M376+Q376+U376)))</f>
        <v/>
      </c>
      <c r="Z376" s="152">
        <f>W376-X376-Y376</f>
        <v/>
      </c>
      <c r="AA376" s="152">
        <f>IF(AD375&lt;=0.005,0,AD375*(1+AA$6))</f>
        <v/>
      </c>
      <c r="AB376" s="152">
        <f>MIN(AA376,AA$7)</f>
        <v/>
      </c>
      <c r="AC376" s="152">
        <f>MAX(0,MIN(AA376-AB376,AQ376-(E376+I376+M376+Q376+U376+Y376)))</f>
        <v/>
      </c>
      <c r="AD376" s="152">
        <f>AA376-AB376-AC376</f>
        <v/>
      </c>
      <c r="AE376" s="152">
        <f>IF(AH375&lt;=0.005,0,AH375*(1+AE$6))</f>
        <v/>
      </c>
      <c r="AF376" s="152">
        <f>MIN(AE376,AE$7)</f>
        <v/>
      </c>
      <c r="AG376" s="152">
        <f>MAX(0,MIN(AE376-AF376,AQ376-(E376+I376+M376+Q376+U376+Y376+AC376)))</f>
        <v/>
      </c>
      <c r="AH376" s="152">
        <f>AE376-AF376-AG376</f>
        <v/>
      </c>
      <c r="AI376" s="152">
        <f>IF(AL375&lt;=0.005,0,AL375*(1+AI$6))</f>
        <v/>
      </c>
      <c r="AJ376" s="152">
        <f>MIN(AI376,AI$7)</f>
        <v/>
      </c>
      <c r="AK376" s="152">
        <f>MAX(0,MIN(AI376-AJ376,AQ376-(E376+I376+M376+Q376+U376+Y376+AC376+AG376)))</f>
        <v/>
      </c>
      <c r="AL376" s="152">
        <f>AI376-AJ376-AK376</f>
        <v/>
      </c>
      <c r="AM376" s="152">
        <f>IF(AP375&lt;=0.005,0,AP375*(1+AM$6))</f>
        <v/>
      </c>
      <c r="AN376" s="152">
        <f>MIN(AM376,AM$7)</f>
        <v/>
      </c>
      <c r="AO376" s="152">
        <f>MAX(0,MIN(AM376-AN376,AQ376-(E376+I376+M376+Q376+U376+Y376+AC376+AG376+AK376)))</f>
        <v/>
      </c>
      <c r="AP376" s="152">
        <f>AM376-AN376-AO376</f>
        <v/>
      </c>
      <c r="AQ376" s="152">
        <f>'Debt Payoff'!$C$8-SUM(D376,H376,L376,P376,T376,X376,AB376,AF376,AJ376,AN376)</f>
        <v/>
      </c>
      <c r="AR376" s="152">
        <f>SUM(D376,H376,L376,P376,T376,X376,AB376,AF376,AJ376,AN376)+SUM(E376,I376,M376,Q376,U376,Y376,AC376,AG376,AK376,AO376)</f>
        <v/>
      </c>
      <c r="AS376" s="152">
        <f>SUM(F376,J376,N376,R376,V376,Z376,AD376,AH376,AL376,AP376)</f>
        <v/>
      </c>
      <c r="AT376" s="152">
        <f>IF(B376&gt;AS$6,NA(),B376)</f>
        <v/>
      </c>
      <c r="AU376" s="152">
        <f>IF(B376&gt;AS$6,NA(),AS376)</f>
        <v/>
      </c>
      <c r="AV376" s="152" t="n"/>
      <c r="AW376" s="152" t="n">
        <v>365</v>
      </c>
      <c r="AX376" s="152">
        <f>IF(BA375&lt;=0.005,0,BA375*(1+AX$6))</f>
        <v/>
      </c>
      <c r="AY376" s="152">
        <f>MIN(AX376,AX$7)</f>
        <v/>
      </c>
      <c r="AZ376" s="152">
        <f>MAX(0,MIN(AX376-AY376,CL376))</f>
        <v/>
      </c>
      <c r="BA376" s="152">
        <f>AX376-AY376-AZ376</f>
        <v/>
      </c>
      <c r="BB376" s="152">
        <f>IF(BE375&lt;=0.005,0,BE375*(1+BB$6))</f>
        <v/>
      </c>
      <c r="BC376" s="152">
        <f>MIN(BB376,BB$7)</f>
        <v/>
      </c>
      <c r="BD376" s="152">
        <f>MAX(0,MIN(BB376-BC376,CL376-(AZ376)))</f>
        <v/>
      </c>
      <c r="BE376" s="152">
        <f>BB376-BC376-BD376</f>
        <v/>
      </c>
      <c r="BF376" s="152">
        <f>IF(BI375&lt;=0.005,0,BI375*(1+BF$6))</f>
        <v/>
      </c>
      <c r="BG376" s="152">
        <f>MIN(BF376,BF$7)</f>
        <v/>
      </c>
      <c r="BH376" s="152">
        <f>MAX(0,MIN(BF376-BG376,CL376-(AZ376+BD376)))</f>
        <v/>
      </c>
      <c r="BI376" s="152">
        <f>BF376-BG376-BH376</f>
        <v/>
      </c>
      <c r="BJ376" s="152">
        <f>IF(BM375&lt;=0.005,0,BM375*(1+BJ$6))</f>
        <v/>
      </c>
      <c r="BK376" s="152">
        <f>MIN(BJ376,BJ$7)</f>
        <v/>
      </c>
      <c r="BL376" s="152">
        <f>MAX(0,MIN(BJ376-BK376,CL376-(AZ376+BD376+BH376)))</f>
        <v/>
      </c>
      <c r="BM376" s="152">
        <f>BJ376-BK376-BL376</f>
        <v/>
      </c>
      <c r="BN376" s="152">
        <f>IF(BQ375&lt;=0.005,0,BQ375*(1+BN$6))</f>
        <v/>
      </c>
      <c r="BO376" s="152">
        <f>MIN(BN376,BN$7)</f>
        <v/>
      </c>
      <c r="BP376" s="152">
        <f>MAX(0,MIN(BN376-BO376,CL376-(AZ376+BD376+BH376+BL376)))</f>
        <v/>
      </c>
      <c r="BQ376" s="152">
        <f>BN376-BO376-BP376</f>
        <v/>
      </c>
      <c r="BR376" s="152">
        <f>IF(BU375&lt;=0.005,0,BU375*(1+BR$6))</f>
        <v/>
      </c>
      <c r="BS376" s="152">
        <f>MIN(BR376,BR$7)</f>
        <v/>
      </c>
      <c r="BT376" s="152">
        <f>MAX(0,MIN(BR376-BS376,CL376-(AZ376+BD376+BH376+BL376+BP376)))</f>
        <v/>
      </c>
      <c r="BU376" s="152">
        <f>BR376-BS376-BT376</f>
        <v/>
      </c>
      <c r="BV376" s="152">
        <f>IF(BY375&lt;=0.005,0,BY375*(1+BV$6))</f>
        <v/>
      </c>
      <c r="BW376" s="152">
        <f>MIN(BV376,BV$7)</f>
        <v/>
      </c>
      <c r="BX376" s="152">
        <f>MAX(0,MIN(BV376-BW376,CL376-(AZ376+BD376+BH376+BL376+BP376+BT376)))</f>
        <v/>
      </c>
      <c r="BY376" s="152">
        <f>BV376-BW376-BX376</f>
        <v/>
      </c>
      <c r="BZ376" s="152">
        <f>IF(CC375&lt;=0.005,0,CC375*(1+BZ$6))</f>
        <v/>
      </c>
      <c r="CA376" s="152">
        <f>MIN(BZ376,BZ$7)</f>
        <v/>
      </c>
      <c r="CB376" s="152">
        <f>MAX(0,MIN(BZ376-CA376,CL376-(AZ376+BD376+BH376+BL376+BP376+BT376+BX376)))</f>
        <v/>
      </c>
      <c r="CC376" s="152">
        <f>BZ376-CA376-CB376</f>
        <v/>
      </c>
      <c r="CD376" s="152">
        <f>IF(CG375&lt;=0.005,0,CG375*(1+CD$6))</f>
        <v/>
      </c>
      <c r="CE376" s="152">
        <f>MIN(CD376,CD$7)</f>
        <v/>
      </c>
      <c r="CF376" s="152">
        <f>MAX(0,MIN(CD376-CE376,CL376-(AZ376+BD376+BH376+BL376+BP376+BT376+BX376+CB376)))</f>
        <v/>
      </c>
      <c r="CG376" s="152">
        <f>CD376-CE376-CF376</f>
        <v/>
      </c>
      <c r="CH376" s="152">
        <f>IF(CK375&lt;=0.005,0,CK375*(1+CH$6))</f>
        <v/>
      </c>
      <c r="CI376" s="152">
        <f>MIN(CH376,CH$7)</f>
        <v/>
      </c>
      <c r="CJ376" s="152">
        <f>MAX(0,MIN(CH376-CI376,CL376-(AZ376+BD376+BH376+BL376+BP376+BT376+BX376+CB376+CF376)))</f>
        <v/>
      </c>
      <c r="CK376" s="152">
        <f>CH376-CI376-CJ376</f>
        <v/>
      </c>
      <c r="CL376" s="152">
        <f>'Debt Payoff'!$C$8-SUM(AY376,BC376,BG376,BK376,BO376,BS376,BW376,CA376,CE376,CI376)</f>
        <v/>
      </c>
      <c r="CM376" s="152">
        <f>SUM(AY376,BC376,BG376,BK376,BO376,BS376,BW376,CA376,CE376,CI376)+SUM(AZ376,BD376,BH376,BL376,BP376,BT376,BX376,CB376,CF376,CJ376)</f>
        <v/>
      </c>
      <c r="CN376" s="152">
        <f>SUM(BA376,BE376,BI376,BM376,BQ376,BU376,BY376,CC376,CG376,CK376)</f>
        <v/>
      </c>
      <c r="CO376" s="152">
        <f>IF(AW376&gt;CN$6,NA(),AW376)</f>
        <v/>
      </c>
      <c r="CP376" s="152">
        <f>IF(AW376&gt;CN$6,NA(),CN376)</f>
        <v/>
      </c>
    </row>
    <row r="377">
      <c r="B377" s="152" t="n">
        <v>366</v>
      </c>
      <c r="C377" s="152">
        <f>IF(F376&lt;=0.005,0,F376*(1+C$6))</f>
        <v/>
      </c>
      <c r="D377" s="152">
        <f>MIN(C377,C$7)</f>
        <v/>
      </c>
      <c r="E377" s="152">
        <f>MAX(0,MIN(C377-D377,AQ377))</f>
        <v/>
      </c>
      <c r="F377" s="152">
        <f>C377-D377-E377</f>
        <v/>
      </c>
      <c r="G377" s="152">
        <f>IF(J376&lt;=0.005,0,J376*(1+G$6))</f>
        <v/>
      </c>
      <c r="H377" s="152">
        <f>MIN(G377,G$7)</f>
        <v/>
      </c>
      <c r="I377" s="152">
        <f>MAX(0,MIN(G377-H377,AQ377-(E377)))</f>
        <v/>
      </c>
      <c r="J377" s="152">
        <f>G377-H377-I377</f>
        <v/>
      </c>
      <c r="K377" s="152">
        <f>IF(N376&lt;=0.005,0,N376*(1+K$6))</f>
        <v/>
      </c>
      <c r="L377" s="152">
        <f>MIN(K377,K$7)</f>
        <v/>
      </c>
      <c r="M377" s="152">
        <f>MAX(0,MIN(K377-L377,AQ377-(E377+I377)))</f>
        <v/>
      </c>
      <c r="N377" s="152">
        <f>K377-L377-M377</f>
        <v/>
      </c>
      <c r="O377" s="152">
        <f>IF(R376&lt;=0.005,0,R376*(1+O$6))</f>
        <v/>
      </c>
      <c r="P377" s="152">
        <f>MIN(O377,O$7)</f>
        <v/>
      </c>
      <c r="Q377" s="152">
        <f>MAX(0,MIN(O377-P377,AQ377-(E377+I377+M377)))</f>
        <v/>
      </c>
      <c r="R377" s="152">
        <f>O377-P377-Q377</f>
        <v/>
      </c>
      <c r="S377" s="152">
        <f>IF(V376&lt;=0.005,0,V376*(1+S$6))</f>
        <v/>
      </c>
      <c r="T377" s="152">
        <f>MIN(S377,S$7)</f>
        <v/>
      </c>
      <c r="U377" s="152">
        <f>MAX(0,MIN(S377-T377,AQ377-(E377+I377+M377+Q377)))</f>
        <v/>
      </c>
      <c r="V377" s="152">
        <f>S377-T377-U377</f>
        <v/>
      </c>
      <c r="W377" s="152">
        <f>IF(Z376&lt;=0.005,0,Z376*(1+W$6))</f>
        <v/>
      </c>
      <c r="X377" s="152">
        <f>MIN(W377,W$7)</f>
        <v/>
      </c>
      <c r="Y377" s="152">
        <f>MAX(0,MIN(W377-X377,AQ377-(E377+I377+M377+Q377+U377)))</f>
        <v/>
      </c>
      <c r="Z377" s="152">
        <f>W377-X377-Y377</f>
        <v/>
      </c>
      <c r="AA377" s="152">
        <f>IF(AD376&lt;=0.005,0,AD376*(1+AA$6))</f>
        <v/>
      </c>
      <c r="AB377" s="152">
        <f>MIN(AA377,AA$7)</f>
        <v/>
      </c>
      <c r="AC377" s="152">
        <f>MAX(0,MIN(AA377-AB377,AQ377-(E377+I377+M377+Q377+U377+Y377)))</f>
        <v/>
      </c>
      <c r="AD377" s="152">
        <f>AA377-AB377-AC377</f>
        <v/>
      </c>
      <c r="AE377" s="152">
        <f>IF(AH376&lt;=0.005,0,AH376*(1+AE$6))</f>
        <v/>
      </c>
      <c r="AF377" s="152">
        <f>MIN(AE377,AE$7)</f>
        <v/>
      </c>
      <c r="AG377" s="152">
        <f>MAX(0,MIN(AE377-AF377,AQ377-(E377+I377+M377+Q377+U377+Y377+AC377)))</f>
        <v/>
      </c>
      <c r="AH377" s="152">
        <f>AE377-AF377-AG377</f>
        <v/>
      </c>
      <c r="AI377" s="152">
        <f>IF(AL376&lt;=0.005,0,AL376*(1+AI$6))</f>
        <v/>
      </c>
      <c r="AJ377" s="152">
        <f>MIN(AI377,AI$7)</f>
        <v/>
      </c>
      <c r="AK377" s="152">
        <f>MAX(0,MIN(AI377-AJ377,AQ377-(E377+I377+M377+Q377+U377+Y377+AC377+AG377)))</f>
        <v/>
      </c>
      <c r="AL377" s="152">
        <f>AI377-AJ377-AK377</f>
        <v/>
      </c>
      <c r="AM377" s="152">
        <f>IF(AP376&lt;=0.005,0,AP376*(1+AM$6))</f>
        <v/>
      </c>
      <c r="AN377" s="152">
        <f>MIN(AM377,AM$7)</f>
        <v/>
      </c>
      <c r="AO377" s="152">
        <f>MAX(0,MIN(AM377-AN377,AQ377-(E377+I377+M377+Q377+U377+Y377+AC377+AG377+AK377)))</f>
        <v/>
      </c>
      <c r="AP377" s="152">
        <f>AM377-AN377-AO377</f>
        <v/>
      </c>
      <c r="AQ377" s="152">
        <f>'Debt Payoff'!$C$8-SUM(D377,H377,L377,P377,T377,X377,AB377,AF377,AJ377,AN377)</f>
        <v/>
      </c>
      <c r="AR377" s="152">
        <f>SUM(D377,H377,L377,P377,T377,X377,AB377,AF377,AJ377,AN377)+SUM(E377,I377,M377,Q377,U377,Y377,AC377,AG377,AK377,AO377)</f>
        <v/>
      </c>
      <c r="AS377" s="152">
        <f>SUM(F377,J377,N377,R377,V377,Z377,AD377,AH377,AL377,AP377)</f>
        <v/>
      </c>
      <c r="AT377" s="152">
        <f>IF(B377&gt;AS$6,NA(),B377)</f>
        <v/>
      </c>
      <c r="AU377" s="152">
        <f>IF(B377&gt;AS$6,NA(),AS377)</f>
        <v/>
      </c>
      <c r="AV377" s="152" t="n"/>
      <c r="AW377" s="152" t="n">
        <v>366</v>
      </c>
      <c r="AX377" s="152">
        <f>IF(BA376&lt;=0.005,0,BA376*(1+AX$6))</f>
        <v/>
      </c>
      <c r="AY377" s="152">
        <f>MIN(AX377,AX$7)</f>
        <v/>
      </c>
      <c r="AZ377" s="152">
        <f>MAX(0,MIN(AX377-AY377,CL377))</f>
        <v/>
      </c>
      <c r="BA377" s="152">
        <f>AX377-AY377-AZ377</f>
        <v/>
      </c>
      <c r="BB377" s="152">
        <f>IF(BE376&lt;=0.005,0,BE376*(1+BB$6))</f>
        <v/>
      </c>
      <c r="BC377" s="152">
        <f>MIN(BB377,BB$7)</f>
        <v/>
      </c>
      <c r="BD377" s="152">
        <f>MAX(0,MIN(BB377-BC377,CL377-(AZ377)))</f>
        <v/>
      </c>
      <c r="BE377" s="152">
        <f>BB377-BC377-BD377</f>
        <v/>
      </c>
      <c r="BF377" s="152">
        <f>IF(BI376&lt;=0.005,0,BI376*(1+BF$6))</f>
        <v/>
      </c>
      <c r="BG377" s="152">
        <f>MIN(BF377,BF$7)</f>
        <v/>
      </c>
      <c r="BH377" s="152">
        <f>MAX(0,MIN(BF377-BG377,CL377-(AZ377+BD377)))</f>
        <v/>
      </c>
      <c r="BI377" s="152">
        <f>BF377-BG377-BH377</f>
        <v/>
      </c>
      <c r="BJ377" s="152">
        <f>IF(BM376&lt;=0.005,0,BM376*(1+BJ$6))</f>
        <v/>
      </c>
      <c r="BK377" s="152">
        <f>MIN(BJ377,BJ$7)</f>
        <v/>
      </c>
      <c r="BL377" s="152">
        <f>MAX(0,MIN(BJ377-BK377,CL377-(AZ377+BD377+BH377)))</f>
        <v/>
      </c>
      <c r="BM377" s="152">
        <f>BJ377-BK377-BL377</f>
        <v/>
      </c>
      <c r="BN377" s="152">
        <f>IF(BQ376&lt;=0.005,0,BQ376*(1+BN$6))</f>
        <v/>
      </c>
      <c r="BO377" s="152">
        <f>MIN(BN377,BN$7)</f>
        <v/>
      </c>
      <c r="BP377" s="152">
        <f>MAX(0,MIN(BN377-BO377,CL377-(AZ377+BD377+BH377+BL377)))</f>
        <v/>
      </c>
      <c r="BQ377" s="152">
        <f>BN377-BO377-BP377</f>
        <v/>
      </c>
      <c r="BR377" s="152">
        <f>IF(BU376&lt;=0.005,0,BU376*(1+BR$6))</f>
        <v/>
      </c>
      <c r="BS377" s="152">
        <f>MIN(BR377,BR$7)</f>
        <v/>
      </c>
      <c r="BT377" s="152">
        <f>MAX(0,MIN(BR377-BS377,CL377-(AZ377+BD377+BH377+BL377+BP377)))</f>
        <v/>
      </c>
      <c r="BU377" s="152">
        <f>BR377-BS377-BT377</f>
        <v/>
      </c>
      <c r="BV377" s="152">
        <f>IF(BY376&lt;=0.005,0,BY376*(1+BV$6))</f>
        <v/>
      </c>
      <c r="BW377" s="152">
        <f>MIN(BV377,BV$7)</f>
        <v/>
      </c>
      <c r="BX377" s="152">
        <f>MAX(0,MIN(BV377-BW377,CL377-(AZ377+BD377+BH377+BL377+BP377+BT377)))</f>
        <v/>
      </c>
      <c r="BY377" s="152">
        <f>BV377-BW377-BX377</f>
        <v/>
      </c>
      <c r="BZ377" s="152">
        <f>IF(CC376&lt;=0.005,0,CC376*(1+BZ$6))</f>
        <v/>
      </c>
      <c r="CA377" s="152">
        <f>MIN(BZ377,BZ$7)</f>
        <v/>
      </c>
      <c r="CB377" s="152">
        <f>MAX(0,MIN(BZ377-CA377,CL377-(AZ377+BD377+BH377+BL377+BP377+BT377+BX377)))</f>
        <v/>
      </c>
      <c r="CC377" s="152">
        <f>BZ377-CA377-CB377</f>
        <v/>
      </c>
      <c r="CD377" s="152">
        <f>IF(CG376&lt;=0.005,0,CG376*(1+CD$6))</f>
        <v/>
      </c>
      <c r="CE377" s="152">
        <f>MIN(CD377,CD$7)</f>
        <v/>
      </c>
      <c r="CF377" s="152">
        <f>MAX(0,MIN(CD377-CE377,CL377-(AZ377+BD377+BH377+BL377+BP377+BT377+BX377+CB377)))</f>
        <v/>
      </c>
      <c r="CG377" s="152">
        <f>CD377-CE377-CF377</f>
        <v/>
      </c>
      <c r="CH377" s="152">
        <f>IF(CK376&lt;=0.005,0,CK376*(1+CH$6))</f>
        <v/>
      </c>
      <c r="CI377" s="152">
        <f>MIN(CH377,CH$7)</f>
        <v/>
      </c>
      <c r="CJ377" s="152">
        <f>MAX(0,MIN(CH377-CI377,CL377-(AZ377+BD377+BH377+BL377+BP377+BT377+BX377+CB377+CF377)))</f>
        <v/>
      </c>
      <c r="CK377" s="152">
        <f>CH377-CI377-CJ377</f>
        <v/>
      </c>
      <c r="CL377" s="152">
        <f>'Debt Payoff'!$C$8-SUM(AY377,BC377,BG377,BK377,BO377,BS377,BW377,CA377,CE377,CI377)</f>
        <v/>
      </c>
      <c r="CM377" s="152">
        <f>SUM(AY377,BC377,BG377,BK377,BO377,BS377,BW377,CA377,CE377,CI377)+SUM(AZ377,BD377,BH377,BL377,BP377,BT377,BX377,CB377,CF377,CJ377)</f>
        <v/>
      </c>
      <c r="CN377" s="152">
        <f>SUM(BA377,BE377,BI377,BM377,BQ377,BU377,BY377,CC377,CG377,CK377)</f>
        <v/>
      </c>
      <c r="CO377" s="152">
        <f>IF(AW377&gt;CN$6,NA(),AW377)</f>
        <v/>
      </c>
      <c r="CP377" s="152">
        <f>IF(AW377&gt;CN$6,NA(),CN377)</f>
        <v/>
      </c>
    </row>
    <row r="378">
      <c r="B378" s="152" t="n">
        <v>367</v>
      </c>
      <c r="C378" s="152">
        <f>IF(F377&lt;=0.005,0,F377*(1+C$6))</f>
        <v/>
      </c>
      <c r="D378" s="152">
        <f>MIN(C378,C$7)</f>
        <v/>
      </c>
      <c r="E378" s="152">
        <f>MAX(0,MIN(C378-D378,AQ378))</f>
        <v/>
      </c>
      <c r="F378" s="152">
        <f>C378-D378-E378</f>
        <v/>
      </c>
      <c r="G378" s="152">
        <f>IF(J377&lt;=0.005,0,J377*(1+G$6))</f>
        <v/>
      </c>
      <c r="H378" s="152">
        <f>MIN(G378,G$7)</f>
        <v/>
      </c>
      <c r="I378" s="152">
        <f>MAX(0,MIN(G378-H378,AQ378-(E378)))</f>
        <v/>
      </c>
      <c r="J378" s="152">
        <f>G378-H378-I378</f>
        <v/>
      </c>
      <c r="K378" s="152">
        <f>IF(N377&lt;=0.005,0,N377*(1+K$6))</f>
        <v/>
      </c>
      <c r="L378" s="152">
        <f>MIN(K378,K$7)</f>
        <v/>
      </c>
      <c r="M378" s="152">
        <f>MAX(0,MIN(K378-L378,AQ378-(E378+I378)))</f>
        <v/>
      </c>
      <c r="N378" s="152">
        <f>K378-L378-M378</f>
        <v/>
      </c>
      <c r="O378" s="152">
        <f>IF(R377&lt;=0.005,0,R377*(1+O$6))</f>
        <v/>
      </c>
      <c r="P378" s="152">
        <f>MIN(O378,O$7)</f>
        <v/>
      </c>
      <c r="Q378" s="152">
        <f>MAX(0,MIN(O378-P378,AQ378-(E378+I378+M378)))</f>
        <v/>
      </c>
      <c r="R378" s="152">
        <f>O378-P378-Q378</f>
        <v/>
      </c>
      <c r="S378" s="152">
        <f>IF(V377&lt;=0.005,0,V377*(1+S$6))</f>
        <v/>
      </c>
      <c r="T378" s="152">
        <f>MIN(S378,S$7)</f>
        <v/>
      </c>
      <c r="U378" s="152">
        <f>MAX(0,MIN(S378-T378,AQ378-(E378+I378+M378+Q378)))</f>
        <v/>
      </c>
      <c r="V378" s="152">
        <f>S378-T378-U378</f>
        <v/>
      </c>
      <c r="W378" s="152">
        <f>IF(Z377&lt;=0.005,0,Z377*(1+W$6))</f>
        <v/>
      </c>
      <c r="X378" s="152">
        <f>MIN(W378,W$7)</f>
        <v/>
      </c>
      <c r="Y378" s="152">
        <f>MAX(0,MIN(W378-X378,AQ378-(E378+I378+M378+Q378+U378)))</f>
        <v/>
      </c>
      <c r="Z378" s="152">
        <f>W378-X378-Y378</f>
        <v/>
      </c>
      <c r="AA378" s="152">
        <f>IF(AD377&lt;=0.005,0,AD377*(1+AA$6))</f>
        <v/>
      </c>
      <c r="AB378" s="152">
        <f>MIN(AA378,AA$7)</f>
        <v/>
      </c>
      <c r="AC378" s="152">
        <f>MAX(0,MIN(AA378-AB378,AQ378-(E378+I378+M378+Q378+U378+Y378)))</f>
        <v/>
      </c>
      <c r="AD378" s="152">
        <f>AA378-AB378-AC378</f>
        <v/>
      </c>
      <c r="AE378" s="152">
        <f>IF(AH377&lt;=0.005,0,AH377*(1+AE$6))</f>
        <v/>
      </c>
      <c r="AF378" s="152">
        <f>MIN(AE378,AE$7)</f>
        <v/>
      </c>
      <c r="AG378" s="152">
        <f>MAX(0,MIN(AE378-AF378,AQ378-(E378+I378+M378+Q378+U378+Y378+AC378)))</f>
        <v/>
      </c>
      <c r="AH378" s="152">
        <f>AE378-AF378-AG378</f>
        <v/>
      </c>
      <c r="AI378" s="152">
        <f>IF(AL377&lt;=0.005,0,AL377*(1+AI$6))</f>
        <v/>
      </c>
      <c r="AJ378" s="152">
        <f>MIN(AI378,AI$7)</f>
        <v/>
      </c>
      <c r="AK378" s="152">
        <f>MAX(0,MIN(AI378-AJ378,AQ378-(E378+I378+M378+Q378+U378+Y378+AC378+AG378)))</f>
        <v/>
      </c>
      <c r="AL378" s="152">
        <f>AI378-AJ378-AK378</f>
        <v/>
      </c>
      <c r="AM378" s="152">
        <f>IF(AP377&lt;=0.005,0,AP377*(1+AM$6))</f>
        <v/>
      </c>
      <c r="AN378" s="152">
        <f>MIN(AM378,AM$7)</f>
        <v/>
      </c>
      <c r="AO378" s="152">
        <f>MAX(0,MIN(AM378-AN378,AQ378-(E378+I378+M378+Q378+U378+Y378+AC378+AG378+AK378)))</f>
        <v/>
      </c>
      <c r="AP378" s="152">
        <f>AM378-AN378-AO378</f>
        <v/>
      </c>
      <c r="AQ378" s="152">
        <f>'Debt Payoff'!$C$8-SUM(D378,H378,L378,P378,T378,X378,AB378,AF378,AJ378,AN378)</f>
        <v/>
      </c>
      <c r="AR378" s="152">
        <f>SUM(D378,H378,L378,P378,T378,X378,AB378,AF378,AJ378,AN378)+SUM(E378,I378,M378,Q378,U378,Y378,AC378,AG378,AK378,AO378)</f>
        <v/>
      </c>
      <c r="AS378" s="152">
        <f>SUM(F378,J378,N378,R378,V378,Z378,AD378,AH378,AL378,AP378)</f>
        <v/>
      </c>
      <c r="AT378" s="152">
        <f>IF(B378&gt;AS$6,NA(),B378)</f>
        <v/>
      </c>
      <c r="AU378" s="152">
        <f>IF(B378&gt;AS$6,NA(),AS378)</f>
        <v/>
      </c>
      <c r="AV378" s="152" t="n"/>
      <c r="AW378" s="152" t="n">
        <v>367</v>
      </c>
      <c r="AX378" s="152">
        <f>IF(BA377&lt;=0.005,0,BA377*(1+AX$6))</f>
        <v/>
      </c>
      <c r="AY378" s="152">
        <f>MIN(AX378,AX$7)</f>
        <v/>
      </c>
      <c r="AZ378" s="152">
        <f>MAX(0,MIN(AX378-AY378,CL378))</f>
        <v/>
      </c>
      <c r="BA378" s="152">
        <f>AX378-AY378-AZ378</f>
        <v/>
      </c>
      <c r="BB378" s="152">
        <f>IF(BE377&lt;=0.005,0,BE377*(1+BB$6))</f>
        <v/>
      </c>
      <c r="BC378" s="152">
        <f>MIN(BB378,BB$7)</f>
        <v/>
      </c>
      <c r="BD378" s="152">
        <f>MAX(0,MIN(BB378-BC378,CL378-(AZ378)))</f>
        <v/>
      </c>
      <c r="BE378" s="152">
        <f>BB378-BC378-BD378</f>
        <v/>
      </c>
      <c r="BF378" s="152">
        <f>IF(BI377&lt;=0.005,0,BI377*(1+BF$6))</f>
        <v/>
      </c>
      <c r="BG378" s="152">
        <f>MIN(BF378,BF$7)</f>
        <v/>
      </c>
      <c r="BH378" s="152">
        <f>MAX(0,MIN(BF378-BG378,CL378-(AZ378+BD378)))</f>
        <v/>
      </c>
      <c r="BI378" s="152">
        <f>BF378-BG378-BH378</f>
        <v/>
      </c>
      <c r="BJ378" s="152">
        <f>IF(BM377&lt;=0.005,0,BM377*(1+BJ$6))</f>
        <v/>
      </c>
      <c r="BK378" s="152">
        <f>MIN(BJ378,BJ$7)</f>
        <v/>
      </c>
      <c r="BL378" s="152">
        <f>MAX(0,MIN(BJ378-BK378,CL378-(AZ378+BD378+BH378)))</f>
        <v/>
      </c>
      <c r="BM378" s="152">
        <f>BJ378-BK378-BL378</f>
        <v/>
      </c>
      <c r="BN378" s="152">
        <f>IF(BQ377&lt;=0.005,0,BQ377*(1+BN$6))</f>
        <v/>
      </c>
      <c r="BO378" s="152">
        <f>MIN(BN378,BN$7)</f>
        <v/>
      </c>
      <c r="BP378" s="152">
        <f>MAX(0,MIN(BN378-BO378,CL378-(AZ378+BD378+BH378+BL378)))</f>
        <v/>
      </c>
      <c r="BQ378" s="152">
        <f>BN378-BO378-BP378</f>
        <v/>
      </c>
      <c r="BR378" s="152">
        <f>IF(BU377&lt;=0.005,0,BU377*(1+BR$6))</f>
        <v/>
      </c>
      <c r="BS378" s="152">
        <f>MIN(BR378,BR$7)</f>
        <v/>
      </c>
      <c r="BT378" s="152">
        <f>MAX(0,MIN(BR378-BS378,CL378-(AZ378+BD378+BH378+BL378+BP378)))</f>
        <v/>
      </c>
      <c r="BU378" s="152">
        <f>BR378-BS378-BT378</f>
        <v/>
      </c>
      <c r="BV378" s="152">
        <f>IF(BY377&lt;=0.005,0,BY377*(1+BV$6))</f>
        <v/>
      </c>
      <c r="BW378" s="152">
        <f>MIN(BV378,BV$7)</f>
        <v/>
      </c>
      <c r="BX378" s="152">
        <f>MAX(0,MIN(BV378-BW378,CL378-(AZ378+BD378+BH378+BL378+BP378+BT378)))</f>
        <v/>
      </c>
      <c r="BY378" s="152">
        <f>BV378-BW378-BX378</f>
        <v/>
      </c>
      <c r="BZ378" s="152">
        <f>IF(CC377&lt;=0.005,0,CC377*(1+BZ$6))</f>
        <v/>
      </c>
      <c r="CA378" s="152">
        <f>MIN(BZ378,BZ$7)</f>
        <v/>
      </c>
      <c r="CB378" s="152">
        <f>MAX(0,MIN(BZ378-CA378,CL378-(AZ378+BD378+BH378+BL378+BP378+BT378+BX378)))</f>
        <v/>
      </c>
      <c r="CC378" s="152">
        <f>BZ378-CA378-CB378</f>
        <v/>
      </c>
      <c r="CD378" s="152">
        <f>IF(CG377&lt;=0.005,0,CG377*(1+CD$6))</f>
        <v/>
      </c>
      <c r="CE378" s="152">
        <f>MIN(CD378,CD$7)</f>
        <v/>
      </c>
      <c r="CF378" s="152">
        <f>MAX(0,MIN(CD378-CE378,CL378-(AZ378+BD378+BH378+BL378+BP378+BT378+BX378+CB378)))</f>
        <v/>
      </c>
      <c r="CG378" s="152">
        <f>CD378-CE378-CF378</f>
        <v/>
      </c>
      <c r="CH378" s="152">
        <f>IF(CK377&lt;=0.005,0,CK377*(1+CH$6))</f>
        <v/>
      </c>
      <c r="CI378" s="152">
        <f>MIN(CH378,CH$7)</f>
        <v/>
      </c>
      <c r="CJ378" s="152">
        <f>MAX(0,MIN(CH378-CI378,CL378-(AZ378+BD378+BH378+BL378+BP378+BT378+BX378+CB378+CF378)))</f>
        <v/>
      </c>
      <c r="CK378" s="152">
        <f>CH378-CI378-CJ378</f>
        <v/>
      </c>
      <c r="CL378" s="152">
        <f>'Debt Payoff'!$C$8-SUM(AY378,BC378,BG378,BK378,BO378,BS378,BW378,CA378,CE378,CI378)</f>
        <v/>
      </c>
      <c r="CM378" s="152">
        <f>SUM(AY378,BC378,BG378,BK378,BO378,BS378,BW378,CA378,CE378,CI378)+SUM(AZ378,BD378,BH378,BL378,BP378,BT378,BX378,CB378,CF378,CJ378)</f>
        <v/>
      </c>
      <c r="CN378" s="152">
        <f>SUM(BA378,BE378,BI378,BM378,BQ378,BU378,BY378,CC378,CG378,CK378)</f>
        <v/>
      </c>
      <c r="CO378" s="152">
        <f>IF(AW378&gt;CN$6,NA(),AW378)</f>
        <v/>
      </c>
      <c r="CP378" s="152">
        <f>IF(AW378&gt;CN$6,NA(),CN378)</f>
        <v/>
      </c>
    </row>
    <row r="379">
      <c r="B379" s="152" t="n">
        <v>368</v>
      </c>
      <c r="C379" s="152">
        <f>IF(F378&lt;=0.005,0,F378*(1+C$6))</f>
        <v/>
      </c>
      <c r="D379" s="152">
        <f>MIN(C379,C$7)</f>
        <v/>
      </c>
      <c r="E379" s="152">
        <f>MAX(0,MIN(C379-D379,AQ379))</f>
        <v/>
      </c>
      <c r="F379" s="152">
        <f>C379-D379-E379</f>
        <v/>
      </c>
      <c r="G379" s="152">
        <f>IF(J378&lt;=0.005,0,J378*(1+G$6))</f>
        <v/>
      </c>
      <c r="H379" s="152">
        <f>MIN(G379,G$7)</f>
        <v/>
      </c>
      <c r="I379" s="152">
        <f>MAX(0,MIN(G379-H379,AQ379-(E379)))</f>
        <v/>
      </c>
      <c r="J379" s="152">
        <f>G379-H379-I379</f>
        <v/>
      </c>
      <c r="K379" s="152">
        <f>IF(N378&lt;=0.005,0,N378*(1+K$6))</f>
        <v/>
      </c>
      <c r="L379" s="152">
        <f>MIN(K379,K$7)</f>
        <v/>
      </c>
      <c r="M379" s="152">
        <f>MAX(0,MIN(K379-L379,AQ379-(E379+I379)))</f>
        <v/>
      </c>
      <c r="N379" s="152">
        <f>K379-L379-M379</f>
        <v/>
      </c>
      <c r="O379" s="152">
        <f>IF(R378&lt;=0.005,0,R378*(1+O$6))</f>
        <v/>
      </c>
      <c r="P379" s="152">
        <f>MIN(O379,O$7)</f>
        <v/>
      </c>
      <c r="Q379" s="152">
        <f>MAX(0,MIN(O379-P379,AQ379-(E379+I379+M379)))</f>
        <v/>
      </c>
      <c r="R379" s="152">
        <f>O379-P379-Q379</f>
        <v/>
      </c>
      <c r="S379" s="152">
        <f>IF(V378&lt;=0.005,0,V378*(1+S$6))</f>
        <v/>
      </c>
      <c r="T379" s="152">
        <f>MIN(S379,S$7)</f>
        <v/>
      </c>
      <c r="U379" s="152">
        <f>MAX(0,MIN(S379-T379,AQ379-(E379+I379+M379+Q379)))</f>
        <v/>
      </c>
      <c r="V379" s="152">
        <f>S379-T379-U379</f>
        <v/>
      </c>
      <c r="W379" s="152">
        <f>IF(Z378&lt;=0.005,0,Z378*(1+W$6))</f>
        <v/>
      </c>
      <c r="X379" s="152">
        <f>MIN(W379,W$7)</f>
        <v/>
      </c>
      <c r="Y379" s="152">
        <f>MAX(0,MIN(W379-X379,AQ379-(E379+I379+M379+Q379+U379)))</f>
        <v/>
      </c>
      <c r="Z379" s="152">
        <f>W379-X379-Y379</f>
        <v/>
      </c>
      <c r="AA379" s="152">
        <f>IF(AD378&lt;=0.005,0,AD378*(1+AA$6))</f>
        <v/>
      </c>
      <c r="AB379" s="152">
        <f>MIN(AA379,AA$7)</f>
        <v/>
      </c>
      <c r="AC379" s="152">
        <f>MAX(0,MIN(AA379-AB379,AQ379-(E379+I379+M379+Q379+U379+Y379)))</f>
        <v/>
      </c>
      <c r="AD379" s="152">
        <f>AA379-AB379-AC379</f>
        <v/>
      </c>
      <c r="AE379" s="152">
        <f>IF(AH378&lt;=0.005,0,AH378*(1+AE$6))</f>
        <v/>
      </c>
      <c r="AF379" s="152">
        <f>MIN(AE379,AE$7)</f>
        <v/>
      </c>
      <c r="AG379" s="152">
        <f>MAX(0,MIN(AE379-AF379,AQ379-(E379+I379+M379+Q379+U379+Y379+AC379)))</f>
        <v/>
      </c>
      <c r="AH379" s="152">
        <f>AE379-AF379-AG379</f>
        <v/>
      </c>
      <c r="AI379" s="152">
        <f>IF(AL378&lt;=0.005,0,AL378*(1+AI$6))</f>
        <v/>
      </c>
      <c r="AJ379" s="152">
        <f>MIN(AI379,AI$7)</f>
        <v/>
      </c>
      <c r="AK379" s="152">
        <f>MAX(0,MIN(AI379-AJ379,AQ379-(E379+I379+M379+Q379+U379+Y379+AC379+AG379)))</f>
        <v/>
      </c>
      <c r="AL379" s="152">
        <f>AI379-AJ379-AK379</f>
        <v/>
      </c>
      <c r="AM379" s="152">
        <f>IF(AP378&lt;=0.005,0,AP378*(1+AM$6))</f>
        <v/>
      </c>
      <c r="AN379" s="152">
        <f>MIN(AM379,AM$7)</f>
        <v/>
      </c>
      <c r="AO379" s="152">
        <f>MAX(0,MIN(AM379-AN379,AQ379-(E379+I379+M379+Q379+U379+Y379+AC379+AG379+AK379)))</f>
        <v/>
      </c>
      <c r="AP379" s="152">
        <f>AM379-AN379-AO379</f>
        <v/>
      </c>
      <c r="AQ379" s="152">
        <f>'Debt Payoff'!$C$8-SUM(D379,H379,L379,P379,T379,X379,AB379,AF379,AJ379,AN379)</f>
        <v/>
      </c>
      <c r="AR379" s="152">
        <f>SUM(D379,H379,L379,P379,T379,X379,AB379,AF379,AJ379,AN379)+SUM(E379,I379,M379,Q379,U379,Y379,AC379,AG379,AK379,AO379)</f>
        <v/>
      </c>
      <c r="AS379" s="152">
        <f>SUM(F379,J379,N379,R379,V379,Z379,AD379,AH379,AL379,AP379)</f>
        <v/>
      </c>
      <c r="AT379" s="152">
        <f>IF(B379&gt;AS$6,NA(),B379)</f>
        <v/>
      </c>
      <c r="AU379" s="152">
        <f>IF(B379&gt;AS$6,NA(),AS379)</f>
        <v/>
      </c>
      <c r="AV379" s="152" t="n"/>
      <c r="AW379" s="152" t="n">
        <v>368</v>
      </c>
      <c r="AX379" s="152">
        <f>IF(BA378&lt;=0.005,0,BA378*(1+AX$6))</f>
        <v/>
      </c>
      <c r="AY379" s="152">
        <f>MIN(AX379,AX$7)</f>
        <v/>
      </c>
      <c r="AZ379" s="152">
        <f>MAX(0,MIN(AX379-AY379,CL379))</f>
        <v/>
      </c>
      <c r="BA379" s="152">
        <f>AX379-AY379-AZ379</f>
        <v/>
      </c>
      <c r="BB379" s="152">
        <f>IF(BE378&lt;=0.005,0,BE378*(1+BB$6))</f>
        <v/>
      </c>
      <c r="BC379" s="152">
        <f>MIN(BB379,BB$7)</f>
        <v/>
      </c>
      <c r="BD379" s="152">
        <f>MAX(0,MIN(BB379-BC379,CL379-(AZ379)))</f>
        <v/>
      </c>
      <c r="BE379" s="152">
        <f>BB379-BC379-BD379</f>
        <v/>
      </c>
      <c r="BF379" s="152">
        <f>IF(BI378&lt;=0.005,0,BI378*(1+BF$6))</f>
        <v/>
      </c>
      <c r="BG379" s="152">
        <f>MIN(BF379,BF$7)</f>
        <v/>
      </c>
      <c r="BH379" s="152">
        <f>MAX(0,MIN(BF379-BG379,CL379-(AZ379+BD379)))</f>
        <v/>
      </c>
      <c r="BI379" s="152">
        <f>BF379-BG379-BH379</f>
        <v/>
      </c>
      <c r="BJ379" s="152">
        <f>IF(BM378&lt;=0.005,0,BM378*(1+BJ$6))</f>
        <v/>
      </c>
      <c r="BK379" s="152">
        <f>MIN(BJ379,BJ$7)</f>
        <v/>
      </c>
      <c r="BL379" s="152">
        <f>MAX(0,MIN(BJ379-BK379,CL379-(AZ379+BD379+BH379)))</f>
        <v/>
      </c>
      <c r="BM379" s="152">
        <f>BJ379-BK379-BL379</f>
        <v/>
      </c>
      <c r="BN379" s="152">
        <f>IF(BQ378&lt;=0.005,0,BQ378*(1+BN$6))</f>
        <v/>
      </c>
      <c r="BO379" s="152">
        <f>MIN(BN379,BN$7)</f>
        <v/>
      </c>
      <c r="BP379" s="152">
        <f>MAX(0,MIN(BN379-BO379,CL379-(AZ379+BD379+BH379+BL379)))</f>
        <v/>
      </c>
      <c r="BQ379" s="152">
        <f>BN379-BO379-BP379</f>
        <v/>
      </c>
      <c r="BR379" s="152">
        <f>IF(BU378&lt;=0.005,0,BU378*(1+BR$6))</f>
        <v/>
      </c>
      <c r="BS379" s="152">
        <f>MIN(BR379,BR$7)</f>
        <v/>
      </c>
      <c r="BT379" s="152">
        <f>MAX(0,MIN(BR379-BS379,CL379-(AZ379+BD379+BH379+BL379+BP379)))</f>
        <v/>
      </c>
      <c r="BU379" s="152">
        <f>BR379-BS379-BT379</f>
        <v/>
      </c>
      <c r="BV379" s="152">
        <f>IF(BY378&lt;=0.005,0,BY378*(1+BV$6))</f>
        <v/>
      </c>
      <c r="BW379" s="152">
        <f>MIN(BV379,BV$7)</f>
        <v/>
      </c>
      <c r="BX379" s="152">
        <f>MAX(0,MIN(BV379-BW379,CL379-(AZ379+BD379+BH379+BL379+BP379+BT379)))</f>
        <v/>
      </c>
      <c r="BY379" s="152">
        <f>BV379-BW379-BX379</f>
        <v/>
      </c>
      <c r="BZ379" s="152">
        <f>IF(CC378&lt;=0.005,0,CC378*(1+BZ$6))</f>
        <v/>
      </c>
      <c r="CA379" s="152">
        <f>MIN(BZ379,BZ$7)</f>
        <v/>
      </c>
      <c r="CB379" s="152">
        <f>MAX(0,MIN(BZ379-CA379,CL379-(AZ379+BD379+BH379+BL379+BP379+BT379+BX379)))</f>
        <v/>
      </c>
      <c r="CC379" s="152">
        <f>BZ379-CA379-CB379</f>
        <v/>
      </c>
      <c r="CD379" s="152">
        <f>IF(CG378&lt;=0.005,0,CG378*(1+CD$6))</f>
        <v/>
      </c>
      <c r="CE379" s="152">
        <f>MIN(CD379,CD$7)</f>
        <v/>
      </c>
      <c r="CF379" s="152">
        <f>MAX(0,MIN(CD379-CE379,CL379-(AZ379+BD379+BH379+BL379+BP379+BT379+BX379+CB379)))</f>
        <v/>
      </c>
      <c r="CG379" s="152">
        <f>CD379-CE379-CF379</f>
        <v/>
      </c>
      <c r="CH379" s="152">
        <f>IF(CK378&lt;=0.005,0,CK378*(1+CH$6))</f>
        <v/>
      </c>
      <c r="CI379" s="152">
        <f>MIN(CH379,CH$7)</f>
        <v/>
      </c>
      <c r="CJ379" s="152">
        <f>MAX(0,MIN(CH379-CI379,CL379-(AZ379+BD379+BH379+BL379+BP379+BT379+BX379+CB379+CF379)))</f>
        <v/>
      </c>
      <c r="CK379" s="152">
        <f>CH379-CI379-CJ379</f>
        <v/>
      </c>
      <c r="CL379" s="152">
        <f>'Debt Payoff'!$C$8-SUM(AY379,BC379,BG379,BK379,BO379,BS379,BW379,CA379,CE379,CI379)</f>
        <v/>
      </c>
      <c r="CM379" s="152">
        <f>SUM(AY379,BC379,BG379,BK379,BO379,BS379,BW379,CA379,CE379,CI379)+SUM(AZ379,BD379,BH379,BL379,BP379,BT379,BX379,CB379,CF379,CJ379)</f>
        <v/>
      </c>
      <c r="CN379" s="152">
        <f>SUM(BA379,BE379,BI379,BM379,BQ379,BU379,BY379,CC379,CG379,CK379)</f>
        <v/>
      </c>
      <c r="CO379" s="152">
        <f>IF(AW379&gt;CN$6,NA(),AW379)</f>
        <v/>
      </c>
      <c r="CP379" s="152">
        <f>IF(AW379&gt;CN$6,NA(),CN379)</f>
        <v/>
      </c>
    </row>
    <row r="380">
      <c r="B380" s="152" t="n">
        <v>369</v>
      </c>
      <c r="C380" s="152">
        <f>IF(F379&lt;=0.005,0,F379*(1+C$6))</f>
        <v/>
      </c>
      <c r="D380" s="152">
        <f>MIN(C380,C$7)</f>
        <v/>
      </c>
      <c r="E380" s="152">
        <f>MAX(0,MIN(C380-D380,AQ380))</f>
        <v/>
      </c>
      <c r="F380" s="152">
        <f>C380-D380-E380</f>
        <v/>
      </c>
      <c r="G380" s="152">
        <f>IF(J379&lt;=0.005,0,J379*(1+G$6))</f>
        <v/>
      </c>
      <c r="H380" s="152">
        <f>MIN(G380,G$7)</f>
        <v/>
      </c>
      <c r="I380" s="152">
        <f>MAX(0,MIN(G380-H380,AQ380-(E380)))</f>
        <v/>
      </c>
      <c r="J380" s="152">
        <f>G380-H380-I380</f>
        <v/>
      </c>
      <c r="K380" s="152">
        <f>IF(N379&lt;=0.005,0,N379*(1+K$6))</f>
        <v/>
      </c>
      <c r="L380" s="152">
        <f>MIN(K380,K$7)</f>
        <v/>
      </c>
      <c r="M380" s="152">
        <f>MAX(0,MIN(K380-L380,AQ380-(E380+I380)))</f>
        <v/>
      </c>
      <c r="N380" s="152">
        <f>K380-L380-M380</f>
        <v/>
      </c>
      <c r="O380" s="152">
        <f>IF(R379&lt;=0.005,0,R379*(1+O$6))</f>
        <v/>
      </c>
      <c r="P380" s="152">
        <f>MIN(O380,O$7)</f>
        <v/>
      </c>
      <c r="Q380" s="152">
        <f>MAX(0,MIN(O380-P380,AQ380-(E380+I380+M380)))</f>
        <v/>
      </c>
      <c r="R380" s="152">
        <f>O380-P380-Q380</f>
        <v/>
      </c>
      <c r="S380" s="152">
        <f>IF(V379&lt;=0.005,0,V379*(1+S$6))</f>
        <v/>
      </c>
      <c r="T380" s="152">
        <f>MIN(S380,S$7)</f>
        <v/>
      </c>
      <c r="U380" s="152">
        <f>MAX(0,MIN(S380-T380,AQ380-(E380+I380+M380+Q380)))</f>
        <v/>
      </c>
      <c r="V380" s="152">
        <f>S380-T380-U380</f>
        <v/>
      </c>
      <c r="W380" s="152">
        <f>IF(Z379&lt;=0.005,0,Z379*(1+W$6))</f>
        <v/>
      </c>
      <c r="X380" s="152">
        <f>MIN(W380,W$7)</f>
        <v/>
      </c>
      <c r="Y380" s="152">
        <f>MAX(0,MIN(W380-X380,AQ380-(E380+I380+M380+Q380+U380)))</f>
        <v/>
      </c>
      <c r="Z380" s="152">
        <f>W380-X380-Y380</f>
        <v/>
      </c>
      <c r="AA380" s="152">
        <f>IF(AD379&lt;=0.005,0,AD379*(1+AA$6))</f>
        <v/>
      </c>
      <c r="AB380" s="152">
        <f>MIN(AA380,AA$7)</f>
        <v/>
      </c>
      <c r="AC380" s="152">
        <f>MAX(0,MIN(AA380-AB380,AQ380-(E380+I380+M380+Q380+U380+Y380)))</f>
        <v/>
      </c>
      <c r="AD380" s="152">
        <f>AA380-AB380-AC380</f>
        <v/>
      </c>
      <c r="AE380" s="152">
        <f>IF(AH379&lt;=0.005,0,AH379*(1+AE$6))</f>
        <v/>
      </c>
      <c r="AF380" s="152">
        <f>MIN(AE380,AE$7)</f>
        <v/>
      </c>
      <c r="AG380" s="152">
        <f>MAX(0,MIN(AE380-AF380,AQ380-(E380+I380+M380+Q380+U380+Y380+AC380)))</f>
        <v/>
      </c>
      <c r="AH380" s="152">
        <f>AE380-AF380-AG380</f>
        <v/>
      </c>
      <c r="AI380" s="152">
        <f>IF(AL379&lt;=0.005,0,AL379*(1+AI$6))</f>
        <v/>
      </c>
      <c r="AJ380" s="152">
        <f>MIN(AI380,AI$7)</f>
        <v/>
      </c>
      <c r="AK380" s="152">
        <f>MAX(0,MIN(AI380-AJ380,AQ380-(E380+I380+M380+Q380+U380+Y380+AC380+AG380)))</f>
        <v/>
      </c>
      <c r="AL380" s="152">
        <f>AI380-AJ380-AK380</f>
        <v/>
      </c>
      <c r="AM380" s="152">
        <f>IF(AP379&lt;=0.005,0,AP379*(1+AM$6))</f>
        <v/>
      </c>
      <c r="AN380" s="152">
        <f>MIN(AM380,AM$7)</f>
        <v/>
      </c>
      <c r="AO380" s="152">
        <f>MAX(0,MIN(AM380-AN380,AQ380-(E380+I380+M380+Q380+U380+Y380+AC380+AG380+AK380)))</f>
        <v/>
      </c>
      <c r="AP380" s="152">
        <f>AM380-AN380-AO380</f>
        <v/>
      </c>
      <c r="AQ380" s="152">
        <f>'Debt Payoff'!$C$8-SUM(D380,H380,L380,P380,T380,X380,AB380,AF380,AJ380,AN380)</f>
        <v/>
      </c>
      <c r="AR380" s="152">
        <f>SUM(D380,H380,L380,P380,T380,X380,AB380,AF380,AJ380,AN380)+SUM(E380,I380,M380,Q380,U380,Y380,AC380,AG380,AK380,AO380)</f>
        <v/>
      </c>
      <c r="AS380" s="152">
        <f>SUM(F380,J380,N380,R380,V380,Z380,AD380,AH380,AL380,AP380)</f>
        <v/>
      </c>
      <c r="AT380" s="152">
        <f>IF(B380&gt;AS$6,NA(),B380)</f>
        <v/>
      </c>
      <c r="AU380" s="152">
        <f>IF(B380&gt;AS$6,NA(),AS380)</f>
        <v/>
      </c>
      <c r="AV380" s="152" t="n"/>
      <c r="AW380" s="152" t="n">
        <v>369</v>
      </c>
      <c r="AX380" s="152">
        <f>IF(BA379&lt;=0.005,0,BA379*(1+AX$6))</f>
        <v/>
      </c>
      <c r="AY380" s="152">
        <f>MIN(AX380,AX$7)</f>
        <v/>
      </c>
      <c r="AZ380" s="152">
        <f>MAX(0,MIN(AX380-AY380,CL380))</f>
        <v/>
      </c>
      <c r="BA380" s="152">
        <f>AX380-AY380-AZ380</f>
        <v/>
      </c>
      <c r="BB380" s="152">
        <f>IF(BE379&lt;=0.005,0,BE379*(1+BB$6))</f>
        <v/>
      </c>
      <c r="BC380" s="152">
        <f>MIN(BB380,BB$7)</f>
        <v/>
      </c>
      <c r="BD380" s="152">
        <f>MAX(0,MIN(BB380-BC380,CL380-(AZ380)))</f>
        <v/>
      </c>
      <c r="BE380" s="152">
        <f>BB380-BC380-BD380</f>
        <v/>
      </c>
      <c r="BF380" s="152">
        <f>IF(BI379&lt;=0.005,0,BI379*(1+BF$6))</f>
        <v/>
      </c>
      <c r="BG380" s="152">
        <f>MIN(BF380,BF$7)</f>
        <v/>
      </c>
      <c r="BH380" s="152">
        <f>MAX(0,MIN(BF380-BG380,CL380-(AZ380+BD380)))</f>
        <v/>
      </c>
      <c r="BI380" s="152">
        <f>BF380-BG380-BH380</f>
        <v/>
      </c>
      <c r="BJ380" s="152">
        <f>IF(BM379&lt;=0.005,0,BM379*(1+BJ$6))</f>
        <v/>
      </c>
      <c r="BK380" s="152">
        <f>MIN(BJ380,BJ$7)</f>
        <v/>
      </c>
      <c r="BL380" s="152">
        <f>MAX(0,MIN(BJ380-BK380,CL380-(AZ380+BD380+BH380)))</f>
        <v/>
      </c>
      <c r="BM380" s="152">
        <f>BJ380-BK380-BL380</f>
        <v/>
      </c>
      <c r="BN380" s="152">
        <f>IF(BQ379&lt;=0.005,0,BQ379*(1+BN$6))</f>
        <v/>
      </c>
      <c r="BO380" s="152">
        <f>MIN(BN380,BN$7)</f>
        <v/>
      </c>
      <c r="BP380" s="152">
        <f>MAX(0,MIN(BN380-BO380,CL380-(AZ380+BD380+BH380+BL380)))</f>
        <v/>
      </c>
      <c r="BQ380" s="152">
        <f>BN380-BO380-BP380</f>
        <v/>
      </c>
      <c r="BR380" s="152">
        <f>IF(BU379&lt;=0.005,0,BU379*(1+BR$6))</f>
        <v/>
      </c>
      <c r="BS380" s="152">
        <f>MIN(BR380,BR$7)</f>
        <v/>
      </c>
      <c r="BT380" s="152">
        <f>MAX(0,MIN(BR380-BS380,CL380-(AZ380+BD380+BH380+BL380+BP380)))</f>
        <v/>
      </c>
      <c r="BU380" s="152">
        <f>BR380-BS380-BT380</f>
        <v/>
      </c>
      <c r="BV380" s="152">
        <f>IF(BY379&lt;=0.005,0,BY379*(1+BV$6))</f>
        <v/>
      </c>
      <c r="BW380" s="152">
        <f>MIN(BV380,BV$7)</f>
        <v/>
      </c>
      <c r="BX380" s="152">
        <f>MAX(0,MIN(BV380-BW380,CL380-(AZ380+BD380+BH380+BL380+BP380+BT380)))</f>
        <v/>
      </c>
      <c r="BY380" s="152">
        <f>BV380-BW380-BX380</f>
        <v/>
      </c>
      <c r="BZ380" s="152">
        <f>IF(CC379&lt;=0.005,0,CC379*(1+BZ$6))</f>
        <v/>
      </c>
      <c r="CA380" s="152">
        <f>MIN(BZ380,BZ$7)</f>
        <v/>
      </c>
      <c r="CB380" s="152">
        <f>MAX(0,MIN(BZ380-CA380,CL380-(AZ380+BD380+BH380+BL380+BP380+BT380+BX380)))</f>
        <v/>
      </c>
      <c r="CC380" s="152">
        <f>BZ380-CA380-CB380</f>
        <v/>
      </c>
      <c r="CD380" s="152">
        <f>IF(CG379&lt;=0.005,0,CG379*(1+CD$6))</f>
        <v/>
      </c>
      <c r="CE380" s="152">
        <f>MIN(CD380,CD$7)</f>
        <v/>
      </c>
      <c r="CF380" s="152">
        <f>MAX(0,MIN(CD380-CE380,CL380-(AZ380+BD380+BH380+BL380+BP380+BT380+BX380+CB380)))</f>
        <v/>
      </c>
      <c r="CG380" s="152">
        <f>CD380-CE380-CF380</f>
        <v/>
      </c>
      <c r="CH380" s="152">
        <f>IF(CK379&lt;=0.005,0,CK379*(1+CH$6))</f>
        <v/>
      </c>
      <c r="CI380" s="152">
        <f>MIN(CH380,CH$7)</f>
        <v/>
      </c>
      <c r="CJ380" s="152">
        <f>MAX(0,MIN(CH380-CI380,CL380-(AZ380+BD380+BH380+BL380+BP380+BT380+BX380+CB380+CF380)))</f>
        <v/>
      </c>
      <c r="CK380" s="152">
        <f>CH380-CI380-CJ380</f>
        <v/>
      </c>
      <c r="CL380" s="152">
        <f>'Debt Payoff'!$C$8-SUM(AY380,BC380,BG380,BK380,BO380,BS380,BW380,CA380,CE380,CI380)</f>
        <v/>
      </c>
      <c r="CM380" s="152">
        <f>SUM(AY380,BC380,BG380,BK380,BO380,BS380,BW380,CA380,CE380,CI380)+SUM(AZ380,BD380,BH380,BL380,BP380,BT380,BX380,CB380,CF380,CJ380)</f>
        <v/>
      </c>
      <c r="CN380" s="152">
        <f>SUM(BA380,BE380,BI380,BM380,BQ380,BU380,BY380,CC380,CG380,CK380)</f>
        <v/>
      </c>
      <c r="CO380" s="152">
        <f>IF(AW380&gt;CN$6,NA(),AW380)</f>
        <v/>
      </c>
      <c r="CP380" s="152">
        <f>IF(AW380&gt;CN$6,NA(),CN380)</f>
        <v/>
      </c>
    </row>
    <row r="381">
      <c r="B381" s="152" t="n">
        <v>370</v>
      </c>
      <c r="C381" s="152">
        <f>IF(F380&lt;=0.005,0,F380*(1+C$6))</f>
        <v/>
      </c>
      <c r="D381" s="152">
        <f>MIN(C381,C$7)</f>
        <v/>
      </c>
      <c r="E381" s="152">
        <f>MAX(0,MIN(C381-D381,AQ381))</f>
        <v/>
      </c>
      <c r="F381" s="152">
        <f>C381-D381-E381</f>
        <v/>
      </c>
      <c r="G381" s="152">
        <f>IF(J380&lt;=0.005,0,J380*(1+G$6))</f>
        <v/>
      </c>
      <c r="H381" s="152">
        <f>MIN(G381,G$7)</f>
        <v/>
      </c>
      <c r="I381" s="152">
        <f>MAX(0,MIN(G381-H381,AQ381-(E381)))</f>
        <v/>
      </c>
      <c r="J381" s="152">
        <f>G381-H381-I381</f>
        <v/>
      </c>
      <c r="K381" s="152">
        <f>IF(N380&lt;=0.005,0,N380*(1+K$6))</f>
        <v/>
      </c>
      <c r="L381" s="152">
        <f>MIN(K381,K$7)</f>
        <v/>
      </c>
      <c r="M381" s="152">
        <f>MAX(0,MIN(K381-L381,AQ381-(E381+I381)))</f>
        <v/>
      </c>
      <c r="N381" s="152">
        <f>K381-L381-M381</f>
        <v/>
      </c>
      <c r="O381" s="152">
        <f>IF(R380&lt;=0.005,0,R380*(1+O$6))</f>
        <v/>
      </c>
      <c r="P381" s="152">
        <f>MIN(O381,O$7)</f>
        <v/>
      </c>
      <c r="Q381" s="152">
        <f>MAX(0,MIN(O381-P381,AQ381-(E381+I381+M381)))</f>
        <v/>
      </c>
      <c r="R381" s="152">
        <f>O381-P381-Q381</f>
        <v/>
      </c>
      <c r="S381" s="152">
        <f>IF(V380&lt;=0.005,0,V380*(1+S$6))</f>
        <v/>
      </c>
      <c r="T381" s="152">
        <f>MIN(S381,S$7)</f>
        <v/>
      </c>
      <c r="U381" s="152">
        <f>MAX(0,MIN(S381-T381,AQ381-(E381+I381+M381+Q381)))</f>
        <v/>
      </c>
      <c r="V381" s="152">
        <f>S381-T381-U381</f>
        <v/>
      </c>
      <c r="W381" s="152">
        <f>IF(Z380&lt;=0.005,0,Z380*(1+W$6))</f>
        <v/>
      </c>
      <c r="X381" s="152">
        <f>MIN(W381,W$7)</f>
        <v/>
      </c>
      <c r="Y381" s="152">
        <f>MAX(0,MIN(W381-X381,AQ381-(E381+I381+M381+Q381+U381)))</f>
        <v/>
      </c>
      <c r="Z381" s="152">
        <f>W381-X381-Y381</f>
        <v/>
      </c>
      <c r="AA381" s="152">
        <f>IF(AD380&lt;=0.005,0,AD380*(1+AA$6))</f>
        <v/>
      </c>
      <c r="AB381" s="152">
        <f>MIN(AA381,AA$7)</f>
        <v/>
      </c>
      <c r="AC381" s="152">
        <f>MAX(0,MIN(AA381-AB381,AQ381-(E381+I381+M381+Q381+U381+Y381)))</f>
        <v/>
      </c>
      <c r="AD381" s="152">
        <f>AA381-AB381-AC381</f>
        <v/>
      </c>
      <c r="AE381" s="152">
        <f>IF(AH380&lt;=0.005,0,AH380*(1+AE$6))</f>
        <v/>
      </c>
      <c r="AF381" s="152">
        <f>MIN(AE381,AE$7)</f>
        <v/>
      </c>
      <c r="AG381" s="152">
        <f>MAX(0,MIN(AE381-AF381,AQ381-(E381+I381+M381+Q381+U381+Y381+AC381)))</f>
        <v/>
      </c>
      <c r="AH381" s="152">
        <f>AE381-AF381-AG381</f>
        <v/>
      </c>
      <c r="AI381" s="152">
        <f>IF(AL380&lt;=0.005,0,AL380*(1+AI$6))</f>
        <v/>
      </c>
      <c r="AJ381" s="152">
        <f>MIN(AI381,AI$7)</f>
        <v/>
      </c>
      <c r="AK381" s="152">
        <f>MAX(0,MIN(AI381-AJ381,AQ381-(E381+I381+M381+Q381+U381+Y381+AC381+AG381)))</f>
        <v/>
      </c>
      <c r="AL381" s="152">
        <f>AI381-AJ381-AK381</f>
        <v/>
      </c>
      <c r="AM381" s="152">
        <f>IF(AP380&lt;=0.005,0,AP380*(1+AM$6))</f>
        <v/>
      </c>
      <c r="AN381" s="152">
        <f>MIN(AM381,AM$7)</f>
        <v/>
      </c>
      <c r="AO381" s="152">
        <f>MAX(0,MIN(AM381-AN381,AQ381-(E381+I381+M381+Q381+U381+Y381+AC381+AG381+AK381)))</f>
        <v/>
      </c>
      <c r="AP381" s="152">
        <f>AM381-AN381-AO381</f>
        <v/>
      </c>
      <c r="AQ381" s="152">
        <f>'Debt Payoff'!$C$8-SUM(D381,H381,L381,P381,T381,X381,AB381,AF381,AJ381,AN381)</f>
        <v/>
      </c>
      <c r="AR381" s="152">
        <f>SUM(D381,H381,L381,P381,T381,X381,AB381,AF381,AJ381,AN381)+SUM(E381,I381,M381,Q381,U381,Y381,AC381,AG381,AK381,AO381)</f>
        <v/>
      </c>
      <c r="AS381" s="152">
        <f>SUM(F381,J381,N381,R381,V381,Z381,AD381,AH381,AL381,AP381)</f>
        <v/>
      </c>
      <c r="AT381" s="152">
        <f>IF(B381&gt;AS$6,NA(),B381)</f>
        <v/>
      </c>
      <c r="AU381" s="152">
        <f>IF(B381&gt;AS$6,NA(),AS381)</f>
        <v/>
      </c>
      <c r="AV381" s="152" t="n"/>
      <c r="AW381" s="152" t="n">
        <v>370</v>
      </c>
      <c r="AX381" s="152">
        <f>IF(BA380&lt;=0.005,0,BA380*(1+AX$6))</f>
        <v/>
      </c>
      <c r="AY381" s="152">
        <f>MIN(AX381,AX$7)</f>
        <v/>
      </c>
      <c r="AZ381" s="152">
        <f>MAX(0,MIN(AX381-AY381,CL381))</f>
        <v/>
      </c>
      <c r="BA381" s="152">
        <f>AX381-AY381-AZ381</f>
        <v/>
      </c>
      <c r="BB381" s="152">
        <f>IF(BE380&lt;=0.005,0,BE380*(1+BB$6))</f>
        <v/>
      </c>
      <c r="BC381" s="152">
        <f>MIN(BB381,BB$7)</f>
        <v/>
      </c>
      <c r="BD381" s="152">
        <f>MAX(0,MIN(BB381-BC381,CL381-(AZ381)))</f>
        <v/>
      </c>
      <c r="BE381" s="152">
        <f>BB381-BC381-BD381</f>
        <v/>
      </c>
      <c r="BF381" s="152">
        <f>IF(BI380&lt;=0.005,0,BI380*(1+BF$6))</f>
        <v/>
      </c>
      <c r="BG381" s="152">
        <f>MIN(BF381,BF$7)</f>
        <v/>
      </c>
      <c r="BH381" s="152">
        <f>MAX(0,MIN(BF381-BG381,CL381-(AZ381+BD381)))</f>
        <v/>
      </c>
      <c r="BI381" s="152">
        <f>BF381-BG381-BH381</f>
        <v/>
      </c>
      <c r="BJ381" s="152">
        <f>IF(BM380&lt;=0.005,0,BM380*(1+BJ$6))</f>
        <v/>
      </c>
      <c r="BK381" s="152">
        <f>MIN(BJ381,BJ$7)</f>
        <v/>
      </c>
      <c r="BL381" s="152">
        <f>MAX(0,MIN(BJ381-BK381,CL381-(AZ381+BD381+BH381)))</f>
        <v/>
      </c>
      <c r="BM381" s="152">
        <f>BJ381-BK381-BL381</f>
        <v/>
      </c>
      <c r="BN381" s="152">
        <f>IF(BQ380&lt;=0.005,0,BQ380*(1+BN$6))</f>
        <v/>
      </c>
      <c r="BO381" s="152">
        <f>MIN(BN381,BN$7)</f>
        <v/>
      </c>
      <c r="BP381" s="152">
        <f>MAX(0,MIN(BN381-BO381,CL381-(AZ381+BD381+BH381+BL381)))</f>
        <v/>
      </c>
      <c r="BQ381" s="152">
        <f>BN381-BO381-BP381</f>
        <v/>
      </c>
      <c r="BR381" s="152">
        <f>IF(BU380&lt;=0.005,0,BU380*(1+BR$6))</f>
        <v/>
      </c>
      <c r="BS381" s="152">
        <f>MIN(BR381,BR$7)</f>
        <v/>
      </c>
      <c r="BT381" s="152">
        <f>MAX(0,MIN(BR381-BS381,CL381-(AZ381+BD381+BH381+BL381+BP381)))</f>
        <v/>
      </c>
      <c r="BU381" s="152">
        <f>BR381-BS381-BT381</f>
        <v/>
      </c>
      <c r="BV381" s="152">
        <f>IF(BY380&lt;=0.005,0,BY380*(1+BV$6))</f>
        <v/>
      </c>
      <c r="BW381" s="152">
        <f>MIN(BV381,BV$7)</f>
        <v/>
      </c>
      <c r="BX381" s="152">
        <f>MAX(0,MIN(BV381-BW381,CL381-(AZ381+BD381+BH381+BL381+BP381+BT381)))</f>
        <v/>
      </c>
      <c r="BY381" s="152">
        <f>BV381-BW381-BX381</f>
        <v/>
      </c>
      <c r="BZ381" s="152">
        <f>IF(CC380&lt;=0.005,0,CC380*(1+BZ$6))</f>
        <v/>
      </c>
      <c r="CA381" s="152">
        <f>MIN(BZ381,BZ$7)</f>
        <v/>
      </c>
      <c r="CB381" s="152">
        <f>MAX(0,MIN(BZ381-CA381,CL381-(AZ381+BD381+BH381+BL381+BP381+BT381+BX381)))</f>
        <v/>
      </c>
      <c r="CC381" s="152">
        <f>BZ381-CA381-CB381</f>
        <v/>
      </c>
      <c r="CD381" s="152">
        <f>IF(CG380&lt;=0.005,0,CG380*(1+CD$6))</f>
        <v/>
      </c>
      <c r="CE381" s="152">
        <f>MIN(CD381,CD$7)</f>
        <v/>
      </c>
      <c r="CF381" s="152">
        <f>MAX(0,MIN(CD381-CE381,CL381-(AZ381+BD381+BH381+BL381+BP381+BT381+BX381+CB381)))</f>
        <v/>
      </c>
      <c r="CG381" s="152">
        <f>CD381-CE381-CF381</f>
        <v/>
      </c>
      <c r="CH381" s="152">
        <f>IF(CK380&lt;=0.005,0,CK380*(1+CH$6))</f>
        <v/>
      </c>
      <c r="CI381" s="152">
        <f>MIN(CH381,CH$7)</f>
        <v/>
      </c>
      <c r="CJ381" s="152">
        <f>MAX(0,MIN(CH381-CI381,CL381-(AZ381+BD381+BH381+BL381+BP381+BT381+BX381+CB381+CF381)))</f>
        <v/>
      </c>
      <c r="CK381" s="152">
        <f>CH381-CI381-CJ381</f>
        <v/>
      </c>
      <c r="CL381" s="152">
        <f>'Debt Payoff'!$C$8-SUM(AY381,BC381,BG381,BK381,BO381,BS381,BW381,CA381,CE381,CI381)</f>
        <v/>
      </c>
      <c r="CM381" s="152">
        <f>SUM(AY381,BC381,BG381,BK381,BO381,BS381,BW381,CA381,CE381,CI381)+SUM(AZ381,BD381,BH381,BL381,BP381,BT381,BX381,CB381,CF381,CJ381)</f>
        <v/>
      </c>
      <c r="CN381" s="152">
        <f>SUM(BA381,BE381,BI381,BM381,BQ381,BU381,BY381,CC381,CG381,CK381)</f>
        <v/>
      </c>
      <c r="CO381" s="152">
        <f>IF(AW381&gt;CN$6,NA(),AW381)</f>
        <v/>
      </c>
      <c r="CP381" s="152">
        <f>IF(AW381&gt;CN$6,NA(),CN381)</f>
        <v/>
      </c>
    </row>
    <row r="382">
      <c r="B382" s="152" t="n">
        <v>371</v>
      </c>
      <c r="C382" s="152">
        <f>IF(F381&lt;=0.005,0,F381*(1+C$6))</f>
        <v/>
      </c>
      <c r="D382" s="152">
        <f>MIN(C382,C$7)</f>
        <v/>
      </c>
      <c r="E382" s="152">
        <f>MAX(0,MIN(C382-D382,AQ382))</f>
        <v/>
      </c>
      <c r="F382" s="152">
        <f>C382-D382-E382</f>
        <v/>
      </c>
      <c r="G382" s="152">
        <f>IF(J381&lt;=0.005,0,J381*(1+G$6))</f>
        <v/>
      </c>
      <c r="H382" s="152">
        <f>MIN(G382,G$7)</f>
        <v/>
      </c>
      <c r="I382" s="152">
        <f>MAX(0,MIN(G382-H382,AQ382-(E382)))</f>
        <v/>
      </c>
      <c r="J382" s="152">
        <f>G382-H382-I382</f>
        <v/>
      </c>
      <c r="K382" s="152">
        <f>IF(N381&lt;=0.005,0,N381*(1+K$6))</f>
        <v/>
      </c>
      <c r="L382" s="152">
        <f>MIN(K382,K$7)</f>
        <v/>
      </c>
      <c r="M382" s="152">
        <f>MAX(0,MIN(K382-L382,AQ382-(E382+I382)))</f>
        <v/>
      </c>
      <c r="N382" s="152">
        <f>K382-L382-M382</f>
        <v/>
      </c>
      <c r="O382" s="152">
        <f>IF(R381&lt;=0.005,0,R381*(1+O$6))</f>
        <v/>
      </c>
      <c r="P382" s="152">
        <f>MIN(O382,O$7)</f>
        <v/>
      </c>
      <c r="Q382" s="152">
        <f>MAX(0,MIN(O382-P382,AQ382-(E382+I382+M382)))</f>
        <v/>
      </c>
      <c r="R382" s="152">
        <f>O382-P382-Q382</f>
        <v/>
      </c>
      <c r="S382" s="152">
        <f>IF(V381&lt;=0.005,0,V381*(1+S$6))</f>
        <v/>
      </c>
      <c r="T382" s="152">
        <f>MIN(S382,S$7)</f>
        <v/>
      </c>
      <c r="U382" s="152">
        <f>MAX(0,MIN(S382-T382,AQ382-(E382+I382+M382+Q382)))</f>
        <v/>
      </c>
      <c r="V382" s="152">
        <f>S382-T382-U382</f>
        <v/>
      </c>
      <c r="W382" s="152">
        <f>IF(Z381&lt;=0.005,0,Z381*(1+W$6))</f>
        <v/>
      </c>
      <c r="X382" s="152">
        <f>MIN(W382,W$7)</f>
        <v/>
      </c>
      <c r="Y382" s="152">
        <f>MAX(0,MIN(W382-X382,AQ382-(E382+I382+M382+Q382+U382)))</f>
        <v/>
      </c>
      <c r="Z382" s="152">
        <f>W382-X382-Y382</f>
        <v/>
      </c>
      <c r="AA382" s="152">
        <f>IF(AD381&lt;=0.005,0,AD381*(1+AA$6))</f>
        <v/>
      </c>
      <c r="AB382" s="152">
        <f>MIN(AA382,AA$7)</f>
        <v/>
      </c>
      <c r="AC382" s="152">
        <f>MAX(0,MIN(AA382-AB382,AQ382-(E382+I382+M382+Q382+U382+Y382)))</f>
        <v/>
      </c>
      <c r="AD382" s="152">
        <f>AA382-AB382-AC382</f>
        <v/>
      </c>
      <c r="AE382" s="152">
        <f>IF(AH381&lt;=0.005,0,AH381*(1+AE$6))</f>
        <v/>
      </c>
      <c r="AF382" s="152">
        <f>MIN(AE382,AE$7)</f>
        <v/>
      </c>
      <c r="AG382" s="152">
        <f>MAX(0,MIN(AE382-AF382,AQ382-(E382+I382+M382+Q382+U382+Y382+AC382)))</f>
        <v/>
      </c>
      <c r="AH382" s="152">
        <f>AE382-AF382-AG382</f>
        <v/>
      </c>
      <c r="AI382" s="152">
        <f>IF(AL381&lt;=0.005,0,AL381*(1+AI$6))</f>
        <v/>
      </c>
      <c r="AJ382" s="152">
        <f>MIN(AI382,AI$7)</f>
        <v/>
      </c>
      <c r="AK382" s="152">
        <f>MAX(0,MIN(AI382-AJ382,AQ382-(E382+I382+M382+Q382+U382+Y382+AC382+AG382)))</f>
        <v/>
      </c>
      <c r="AL382" s="152">
        <f>AI382-AJ382-AK382</f>
        <v/>
      </c>
      <c r="AM382" s="152">
        <f>IF(AP381&lt;=0.005,0,AP381*(1+AM$6))</f>
        <v/>
      </c>
      <c r="AN382" s="152">
        <f>MIN(AM382,AM$7)</f>
        <v/>
      </c>
      <c r="AO382" s="152">
        <f>MAX(0,MIN(AM382-AN382,AQ382-(E382+I382+M382+Q382+U382+Y382+AC382+AG382+AK382)))</f>
        <v/>
      </c>
      <c r="AP382" s="152">
        <f>AM382-AN382-AO382</f>
        <v/>
      </c>
      <c r="AQ382" s="152">
        <f>'Debt Payoff'!$C$8-SUM(D382,H382,L382,P382,T382,X382,AB382,AF382,AJ382,AN382)</f>
        <v/>
      </c>
      <c r="AR382" s="152">
        <f>SUM(D382,H382,L382,P382,T382,X382,AB382,AF382,AJ382,AN382)+SUM(E382,I382,M382,Q382,U382,Y382,AC382,AG382,AK382,AO382)</f>
        <v/>
      </c>
      <c r="AS382" s="152">
        <f>SUM(F382,J382,N382,R382,V382,Z382,AD382,AH382,AL382,AP382)</f>
        <v/>
      </c>
      <c r="AT382" s="152">
        <f>IF(B382&gt;AS$6,NA(),B382)</f>
        <v/>
      </c>
      <c r="AU382" s="152">
        <f>IF(B382&gt;AS$6,NA(),AS382)</f>
        <v/>
      </c>
      <c r="AV382" s="152" t="n"/>
      <c r="AW382" s="152" t="n">
        <v>371</v>
      </c>
      <c r="AX382" s="152">
        <f>IF(BA381&lt;=0.005,0,BA381*(1+AX$6))</f>
        <v/>
      </c>
      <c r="AY382" s="152">
        <f>MIN(AX382,AX$7)</f>
        <v/>
      </c>
      <c r="AZ382" s="152">
        <f>MAX(0,MIN(AX382-AY382,CL382))</f>
        <v/>
      </c>
      <c r="BA382" s="152">
        <f>AX382-AY382-AZ382</f>
        <v/>
      </c>
      <c r="BB382" s="152">
        <f>IF(BE381&lt;=0.005,0,BE381*(1+BB$6))</f>
        <v/>
      </c>
      <c r="BC382" s="152">
        <f>MIN(BB382,BB$7)</f>
        <v/>
      </c>
      <c r="BD382" s="152">
        <f>MAX(0,MIN(BB382-BC382,CL382-(AZ382)))</f>
        <v/>
      </c>
      <c r="BE382" s="152">
        <f>BB382-BC382-BD382</f>
        <v/>
      </c>
      <c r="BF382" s="152">
        <f>IF(BI381&lt;=0.005,0,BI381*(1+BF$6))</f>
        <v/>
      </c>
      <c r="BG382" s="152">
        <f>MIN(BF382,BF$7)</f>
        <v/>
      </c>
      <c r="BH382" s="152">
        <f>MAX(0,MIN(BF382-BG382,CL382-(AZ382+BD382)))</f>
        <v/>
      </c>
      <c r="BI382" s="152">
        <f>BF382-BG382-BH382</f>
        <v/>
      </c>
      <c r="BJ382" s="152">
        <f>IF(BM381&lt;=0.005,0,BM381*(1+BJ$6))</f>
        <v/>
      </c>
      <c r="BK382" s="152">
        <f>MIN(BJ382,BJ$7)</f>
        <v/>
      </c>
      <c r="BL382" s="152">
        <f>MAX(0,MIN(BJ382-BK382,CL382-(AZ382+BD382+BH382)))</f>
        <v/>
      </c>
      <c r="BM382" s="152">
        <f>BJ382-BK382-BL382</f>
        <v/>
      </c>
      <c r="BN382" s="152">
        <f>IF(BQ381&lt;=0.005,0,BQ381*(1+BN$6))</f>
        <v/>
      </c>
      <c r="BO382" s="152">
        <f>MIN(BN382,BN$7)</f>
        <v/>
      </c>
      <c r="BP382" s="152">
        <f>MAX(0,MIN(BN382-BO382,CL382-(AZ382+BD382+BH382+BL382)))</f>
        <v/>
      </c>
      <c r="BQ382" s="152">
        <f>BN382-BO382-BP382</f>
        <v/>
      </c>
      <c r="BR382" s="152">
        <f>IF(BU381&lt;=0.005,0,BU381*(1+BR$6))</f>
        <v/>
      </c>
      <c r="BS382" s="152">
        <f>MIN(BR382,BR$7)</f>
        <v/>
      </c>
      <c r="BT382" s="152">
        <f>MAX(0,MIN(BR382-BS382,CL382-(AZ382+BD382+BH382+BL382+BP382)))</f>
        <v/>
      </c>
      <c r="BU382" s="152">
        <f>BR382-BS382-BT382</f>
        <v/>
      </c>
      <c r="BV382" s="152">
        <f>IF(BY381&lt;=0.005,0,BY381*(1+BV$6))</f>
        <v/>
      </c>
      <c r="BW382" s="152">
        <f>MIN(BV382,BV$7)</f>
        <v/>
      </c>
      <c r="BX382" s="152">
        <f>MAX(0,MIN(BV382-BW382,CL382-(AZ382+BD382+BH382+BL382+BP382+BT382)))</f>
        <v/>
      </c>
      <c r="BY382" s="152">
        <f>BV382-BW382-BX382</f>
        <v/>
      </c>
      <c r="BZ382" s="152">
        <f>IF(CC381&lt;=0.005,0,CC381*(1+BZ$6))</f>
        <v/>
      </c>
      <c r="CA382" s="152">
        <f>MIN(BZ382,BZ$7)</f>
        <v/>
      </c>
      <c r="CB382" s="152">
        <f>MAX(0,MIN(BZ382-CA382,CL382-(AZ382+BD382+BH382+BL382+BP382+BT382+BX382)))</f>
        <v/>
      </c>
      <c r="CC382" s="152">
        <f>BZ382-CA382-CB382</f>
        <v/>
      </c>
      <c r="CD382" s="152">
        <f>IF(CG381&lt;=0.005,0,CG381*(1+CD$6))</f>
        <v/>
      </c>
      <c r="CE382" s="152">
        <f>MIN(CD382,CD$7)</f>
        <v/>
      </c>
      <c r="CF382" s="152">
        <f>MAX(0,MIN(CD382-CE382,CL382-(AZ382+BD382+BH382+BL382+BP382+BT382+BX382+CB382)))</f>
        <v/>
      </c>
      <c r="CG382" s="152">
        <f>CD382-CE382-CF382</f>
        <v/>
      </c>
      <c r="CH382" s="152">
        <f>IF(CK381&lt;=0.005,0,CK381*(1+CH$6))</f>
        <v/>
      </c>
      <c r="CI382" s="152">
        <f>MIN(CH382,CH$7)</f>
        <v/>
      </c>
      <c r="CJ382" s="152">
        <f>MAX(0,MIN(CH382-CI382,CL382-(AZ382+BD382+BH382+BL382+BP382+BT382+BX382+CB382+CF382)))</f>
        <v/>
      </c>
      <c r="CK382" s="152">
        <f>CH382-CI382-CJ382</f>
        <v/>
      </c>
      <c r="CL382" s="152">
        <f>'Debt Payoff'!$C$8-SUM(AY382,BC382,BG382,BK382,BO382,BS382,BW382,CA382,CE382,CI382)</f>
        <v/>
      </c>
      <c r="CM382" s="152">
        <f>SUM(AY382,BC382,BG382,BK382,BO382,BS382,BW382,CA382,CE382,CI382)+SUM(AZ382,BD382,BH382,BL382,BP382,BT382,BX382,CB382,CF382,CJ382)</f>
        <v/>
      </c>
      <c r="CN382" s="152">
        <f>SUM(BA382,BE382,BI382,BM382,BQ382,BU382,BY382,CC382,CG382,CK382)</f>
        <v/>
      </c>
      <c r="CO382" s="152">
        <f>IF(AW382&gt;CN$6,NA(),AW382)</f>
        <v/>
      </c>
      <c r="CP382" s="152">
        <f>IF(AW382&gt;CN$6,NA(),CN382)</f>
        <v/>
      </c>
    </row>
    <row r="383">
      <c r="B383" s="152" t="n">
        <v>372</v>
      </c>
      <c r="C383" s="152">
        <f>IF(F382&lt;=0.005,0,F382*(1+C$6))</f>
        <v/>
      </c>
      <c r="D383" s="152">
        <f>MIN(C383,C$7)</f>
        <v/>
      </c>
      <c r="E383" s="152">
        <f>MAX(0,MIN(C383-D383,AQ383))</f>
        <v/>
      </c>
      <c r="F383" s="152">
        <f>C383-D383-E383</f>
        <v/>
      </c>
      <c r="G383" s="152">
        <f>IF(J382&lt;=0.005,0,J382*(1+G$6))</f>
        <v/>
      </c>
      <c r="H383" s="152">
        <f>MIN(G383,G$7)</f>
        <v/>
      </c>
      <c r="I383" s="152">
        <f>MAX(0,MIN(G383-H383,AQ383-(E383)))</f>
        <v/>
      </c>
      <c r="J383" s="152">
        <f>G383-H383-I383</f>
        <v/>
      </c>
      <c r="K383" s="152">
        <f>IF(N382&lt;=0.005,0,N382*(1+K$6))</f>
        <v/>
      </c>
      <c r="L383" s="152">
        <f>MIN(K383,K$7)</f>
        <v/>
      </c>
      <c r="M383" s="152">
        <f>MAX(0,MIN(K383-L383,AQ383-(E383+I383)))</f>
        <v/>
      </c>
      <c r="N383" s="152">
        <f>K383-L383-M383</f>
        <v/>
      </c>
      <c r="O383" s="152">
        <f>IF(R382&lt;=0.005,0,R382*(1+O$6))</f>
        <v/>
      </c>
      <c r="P383" s="152">
        <f>MIN(O383,O$7)</f>
        <v/>
      </c>
      <c r="Q383" s="152">
        <f>MAX(0,MIN(O383-P383,AQ383-(E383+I383+M383)))</f>
        <v/>
      </c>
      <c r="R383" s="152">
        <f>O383-P383-Q383</f>
        <v/>
      </c>
      <c r="S383" s="152">
        <f>IF(V382&lt;=0.005,0,V382*(1+S$6))</f>
        <v/>
      </c>
      <c r="T383" s="152">
        <f>MIN(S383,S$7)</f>
        <v/>
      </c>
      <c r="U383" s="152">
        <f>MAX(0,MIN(S383-T383,AQ383-(E383+I383+M383+Q383)))</f>
        <v/>
      </c>
      <c r="V383" s="152">
        <f>S383-T383-U383</f>
        <v/>
      </c>
      <c r="W383" s="152">
        <f>IF(Z382&lt;=0.005,0,Z382*(1+W$6))</f>
        <v/>
      </c>
      <c r="X383" s="152">
        <f>MIN(W383,W$7)</f>
        <v/>
      </c>
      <c r="Y383" s="152">
        <f>MAX(0,MIN(W383-X383,AQ383-(E383+I383+M383+Q383+U383)))</f>
        <v/>
      </c>
      <c r="Z383" s="152">
        <f>W383-X383-Y383</f>
        <v/>
      </c>
      <c r="AA383" s="152">
        <f>IF(AD382&lt;=0.005,0,AD382*(1+AA$6))</f>
        <v/>
      </c>
      <c r="AB383" s="152">
        <f>MIN(AA383,AA$7)</f>
        <v/>
      </c>
      <c r="AC383" s="152">
        <f>MAX(0,MIN(AA383-AB383,AQ383-(E383+I383+M383+Q383+U383+Y383)))</f>
        <v/>
      </c>
      <c r="AD383" s="152">
        <f>AA383-AB383-AC383</f>
        <v/>
      </c>
      <c r="AE383" s="152">
        <f>IF(AH382&lt;=0.005,0,AH382*(1+AE$6))</f>
        <v/>
      </c>
      <c r="AF383" s="152">
        <f>MIN(AE383,AE$7)</f>
        <v/>
      </c>
      <c r="AG383" s="152">
        <f>MAX(0,MIN(AE383-AF383,AQ383-(E383+I383+M383+Q383+U383+Y383+AC383)))</f>
        <v/>
      </c>
      <c r="AH383" s="152">
        <f>AE383-AF383-AG383</f>
        <v/>
      </c>
      <c r="AI383" s="152">
        <f>IF(AL382&lt;=0.005,0,AL382*(1+AI$6))</f>
        <v/>
      </c>
      <c r="AJ383" s="152">
        <f>MIN(AI383,AI$7)</f>
        <v/>
      </c>
      <c r="AK383" s="152">
        <f>MAX(0,MIN(AI383-AJ383,AQ383-(E383+I383+M383+Q383+U383+Y383+AC383+AG383)))</f>
        <v/>
      </c>
      <c r="AL383" s="152">
        <f>AI383-AJ383-AK383</f>
        <v/>
      </c>
      <c r="AM383" s="152">
        <f>IF(AP382&lt;=0.005,0,AP382*(1+AM$6))</f>
        <v/>
      </c>
      <c r="AN383" s="152">
        <f>MIN(AM383,AM$7)</f>
        <v/>
      </c>
      <c r="AO383" s="152">
        <f>MAX(0,MIN(AM383-AN383,AQ383-(E383+I383+M383+Q383+U383+Y383+AC383+AG383+AK383)))</f>
        <v/>
      </c>
      <c r="AP383" s="152">
        <f>AM383-AN383-AO383</f>
        <v/>
      </c>
      <c r="AQ383" s="152">
        <f>'Debt Payoff'!$C$8-SUM(D383,H383,L383,P383,T383,X383,AB383,AF383,AJ383,AN383)</f>
        <v/>
      </c>
      <c r="AR383" s="152">
        <f>SUM(D383,H383,L383,P383,T383,X383,AB383,AF383,AJ383,AN383)+SUM(E383,I383,M383,Q383,U383,Y383,AC383,AG383,AK383,AO383)</f>
        <v/>
      </c>
      <c r="AS383" s="152">
        <f>SUM(F383,J383,N383,R383,V383,Z383,AD383,AH383,AL383,AP383)</f>
        <v/>
      </c>
      <c r="AT383" s="152">
        <f>IF(B383&gt;AS$6,NA(),B383)</f>
        <v/>
      </c>
      <c r="AU383" s="152">
        <f>IF(B383&gt;AS$6,NA(),AS383)</f>
        <v/>
      </c>
      <c r="AV383" s="152" t="n"/>
      <c r="AW383" s="152" t="n">
        <v>372</v>
      </c>
      <c r="AX383" s="152">
        <f>IF(BA382&lt;=0.005,0,BA382*(1+AX$6))</f>
        <v/>
      </c>
      <c r="AY383" s="152">
        <f>MIN(AX383,AX$7)</f>
        <v/>
      </c>
      <c r="AZ383" s="152">
        <f>MAX(0,MIN(AX383-AY383,CL383))</f>
        <v/>
      </c>
      <c r="BA383" s="152">
        <f>AX383-AY383-AZ383</f>
        <v/>
      </c>
      <c r="BB383" s="152">
        <f>IF(BE382&lt;=0.005,0,BE382*(1+BB$6))</f>
        <v/>
      </c>
      <c r="BC383" s="152">
        <f>MIN(BB383,BB$7)</f>
        <v/>
      </c>
      <c r="BD383" s="152">
        <f>MAX(0,MIN(BB383-BC383,CL383-(AZ383)))</f>
        <v/>
      </c>
      <c r="BE383" s="152">
        <f>BB383-BC383-BD383</f>
        <v/>
      </c>
      <c r="BF383" s="152">
        <f>IF(BI382&lt;=0.005,0,BI382*(1+BF$6))</f>
        <v/>
      </c>
      <c r="BG383" s="152">
        <f>MIN(BF383,BF$7)</f>
        <v/>
      </c>
      <c r="BH383" s="152">
        <f>MAX(0,MIN(BF383-BG383,CL383-(AZ383+BD383)))</f>
        <v/>
      </c>
      <c r="BI383" s="152">
        <f>BF383-BG383-BH383</f>
        <v/>
      </c>
      <c r="BJ383" s="152">
        <f>IF(BM382&lt;=0.005,0,BM382*(1+BJ$6))</f>
        <v/>
      </c>
      <c r="BK383" s="152">
        <f>MIN(BJ383,BJ$7)</f>
        <v/>
      </c>
      <c r="BL383" s="152">
        <f>MAX(0,MIN(BJ383-BK383,CL383-(AZ383+BD383+BH383)))</f>
        <v/>
      </c>
      <c r="BM383" s="152">
        <f>BJ383-BK383-BL383</f>
        <v/>
      </c>
      <c r="BN383" s="152">
        <f>IF(BQ382&lt;=0.005,0,BQ382*(1+BN$6))</f>
        <v/>
      </c>
      <c r="BO383" s="152">
        <f>MIN(BN383,BN$7)</f>
        <v/>
      </c>
      <c r="BP383" s="152">
        <f>MAX(0,MIN(BN383-BO383,CL383-(AZ383+BD383+BH383+BL383)))</f>
        <v/>
      </c>
      <c r="BQ383" s="152">
        <f>BN383-BO383-BP383</f>
        <v/>
      </c>
      <c r="BR383" s="152">
        <f>IF(BU382&lt;=0.005,0,BU382*(1+BR$6))</f>
        <v/>
      </c>
      <c r="BS383" s="152">
        <f>MIN(BR383,BR$7)</f>
        <v/>
      </c>
      <c r="BT383" s="152">
        <f>MAX(0,MIN(BR383-BS383,CL383-(AZ383+BD383+BH383+BL383+BP383)))</f>
        <v/>
      </c>
      <c r="BU383" s="152">
        <f>BR383-BS383-BT383</f>
        <v/>
      </c>
      <c r="BV383" s="152">
        <f>IF(BY382&lt;=0.005,0,BY382*(1+BV$6))</f>
        <v/>
      </c>
      <c r="BW383" s="152">
        <f>MIN(BV383,BV$7)</f>
        <v/>
      </c>
      <c r="BX383" s="152">
        <f>MAX(0,MIN(BV383-BW383,CL383-(AZ383+BD383+BH383+BL383+BP383+BT383)))</f>
        <v/>
      </c>
      <c r="BY383" s="152">
        <f>BV383-BW383-BX383</f>
        <v/>
      </c>
      <c r="BZ383" s="152">
        <f>IF(CC382&lt;=0.005,0,CC382*(1+BZ$6))</f>
        <v/>
      </c>
      <c r="CA383" s="152">
        <f>MIN(BZ383,BZ$7)</f>
        <v/>
      </c>
      <c r="CB383" s="152">
        <f>MAX(0,MIN(BZ383-CA383,CL383-(AZ383+BD383+BH383+BL383+BP383+BT383+BX383)))</f>
        <v/>
      </c>
      <c r="CC383" s="152">
        <f>BZ383-CA383-CB383</f>
        <v/>
      </c>
      <c r="CD383" s="152">
        <f>IF(CG382&lt;=0.005,0,CG382*(1+CD$6))</f>
        <v/>
      </c>
      <c r="CE383" s="152">
        <f>MIN(CD383,CD$7)</f>
        <v/>
      </c>
      <c r="CF383" s="152">
        <f>MAX(0,MIN(CD383-CE383,CL383-(AZ383+BD383+BH383+BL383+BP383+BT383+BX383+CB383)))</f>
        <v/>
      </c>
      <c r="CG383" s="152">
        <f>CD383-CE383-CF383</f>
        <v/>
      </c>
      <c r="CH383" s="152">
        <f>IF(CK382&lt;=0.005,0,CK382*(1+CH$6))</f>
        <v/>
      </c>
      <c r="CI383" s="152">
        <f>MIN(CH383,CH$7)</f>
        <v/>
      </c>
      <c r="CJ383" s="152">
        <f>MAX(0,MIN(CH383-CI383,CL383-(AZ383+BD383+BH383+BL383+BP383+BT383+BX383+CB383+CF383)))</f>
        <v/>
      </c>
      <c r="CK383" s="152">
        <f>CH383-CI383-CJ383</f>
        <v/>
      </c>
      <c r="CL383" s="152">
        <f>'Debt Payoff'!$C$8-SUM(AY383,BC383,BG383,BK383,BO383,BS383,BW383,CA383,CE383,CI383)</f>
        <v/>
      </c>
      <c r="CM383" s="152">
        <f>SUM(AY383,BC383,BG383,BK383,BO383,BS383,BW383,CA383,CE383,CI383)+SUM(AZ383,BD383,BH383,BL383,BP383,BT383,BX383,CB383,CF383,CJ383)</f>
        <v/>
      </c>
      <c r="CN383" s="152">
        <f>SUM(BA383,BE383,BI383,BM383,BQ383,BU383,BY383,CC383,CG383,CK383)</f>
        <v/>
      </c>
      <c r="CO383" s="152">
        <f>IF(AW383&gt;CN$6,NA(),AW383)</f>
        <v/>
      </c>
      <c r="CP383" s="152">
        <f>IF(AW383&gt;CN$6,NA(),CN383)</f>
        <v/>
      </c>
    </row>
    <row r="384">
      <c r="B384" s="152" t="n">
        <v>373</v>
      </c>
      <c r="C384" s="152">
        <f>IF(F383&lt;=0.005,0,F383*(1+C$6))</f>
        <v/>
      </c>
      <c r="D384" s="152">
        <f>MIN(C384,C$7)</f>
        <v/>
      </c>
      <c r="E384" s="152">
        <f>MAX(0,MIN(C384-D384,AQ384))</f>
        <v/>
      </c>
      <c r="F384" s="152">
        <f>C384-D384-E384</f>
        <v/>
      </c>
      <c r="G384" s="152">
        <f>IF(J383&lt;=0.005,0,J383*(1+G$6))</f>
        <v/>
      </c>
      <c r="H384" s="152">
        <f>MIN(G384,G$7)</f>
        <v/>
      </c>
      <c r="I384" s="152">
        <f>MAX(0,MIN(G384-H384,AQ384-(E384)))</f>
        <v/>
      </c>
      <c r="J384" s="152">
        <f>G384-H384-I384</f>
        <v/>
      </c>
      <c r="K384" s="152">
        <f>IF(N383&lt;=0.005,0,N383*(1+K$6))</f>
        <v/>
      </c>
      <c r="L384" s="152">
        <f>MIN(K384,K$7)</f>
        <v/>
      </c>
      <c r="M384" s="152">
        <f>MAX(0,MIN(K384-L384,AQ384-(E384+I384)))</f>
        <v/>
      </c>
      <c r="N384" s="152">
        <f>K384-L384-M384</f>
        <v/>
      </c>
      <c r="O384" s="152">
        <f>IF(R383&lt;=0.005,0,R383*(1+O$6))</f>
        <v/>
      </c>
      <c r="P384" s="152">
        <f>MIN(O384,O$7)</f>
        <v/>
      </c>
      <c r="Q384" s="152">
        <f>MAX(0,MIN(O384-P384,AQ384-(E384+I384+M384)))</f>
        <v/>
      </c>
      <c r="R384" s="152">
        <f>O384-P384-Q384</f>
        <v/>
      </c>
      <c r="S384" s="152">
        <f>IF(V383&lt;=0.005,0,V383*(1+S$6))</f>
        <v/>
      </c>
      <c r="T384" s="152">
        <f>MIN(S384,S$7)</f>
        <v/>
      </c>
      <c r="U384" s="152">
        <f>MAX(0,MIN(S384-T384,AQ384-(E384+I384+M384+Q384)))</f>
        <v/>
      </c>
      <c r="V384" s="152">
        <f>S384-T384-U384</f>
        <v/>
      </c>
      <c r="W384" s="152">
        <f>IF(Z383&lt;=0.005,0,Z383*(1+W$6))</f>
        <v/>
      </c>
      <c r="X384" s="152">
        <f>MIN(W384,W$7)</f>
        <v/>
      </c>
      <c r="Y384" s="152">
        <f>MAX(0,MIN(W384-X384,AQ384-(E384+I384+M384+Q384+U384)))</f>
        <v/>
      </c>
      <c r="Z384" s="152">
        <f>W384-X384-Y384</f>
        <v/>
      </c>
      <c r="AA384" s="152">
        <f>IF(AD383&lt;=0.005,0,AD383*(1+AA$6))</f>
        <v/>
      </c>
      <c r="AB384" s="152">
        <f>MIN(AA384,AA$7)</f>
        <v/>
      </c>
      <c r="AC384" s="152">
        <f>MAX(0,MIN(AA384-AB384,AQ384-(E384+I384+M384+Q384+U384+Y384)))</f>
        <v/>
      </c>
      <c r="AD384" s="152">
        <f>AA384-AB384-AC384</f>
        <v/>
      </c>
      <c r="AE384" s="152">
        <f>IF(AH383&lt;=0.005,0,AH383*(1+AE$6))</f>
        <v/>
      </c>
      <c r="AF384" s="152">
        <f>MIN(AE384,AE$7)</f>
        <v/>
      </c>
      <c r="AG384" s="152">
        <f>MAX(0,MIN(AE384-AF384,AQ384-(E384+I384+M384+Q384+U384+Y384+AC384)))</f>
        <v/>
      </c>
      <c r="AH384" s="152">
        <f>AE384-AF384-AG384</f>
        <v/>
      </c>
      <c r="AI384" s="152">
        <f>IF(AL383&lt;=0.005,0,AL383*(1+AI$6))</f>
        <v/>
      </c>
      <c r="AJ384" s="152">
        <f>MIN(AI384,AI$7)</f>
        <v/>
      </c>
      <c r="AK384" s="152">
        <f>MAX(0,MIN(AI384-AJ384,AQ384-(E384+I384+M384+Q384+U384+Y384+AC384+AG384)))</f>
        <v/>
      </c>
      <c r="AL384" s="152">
        <f>AI384-AJ384-AK384</f>
        <v/>
      </c>
      <c r="AM384" s="152">
        <f>IF(AP383&lt;=0.005,0,AP383*(1+AM$6))</f>
        <v/>
      </c>
      <c r="AN384" s="152">
        <f>MIN(AM384,AM$7)</f>
        <v/>
      </c>
      <c r="AO384" s="152">
        <f>MAX(0,MIN(AM384-AN384,AQ384-(E384+I384+M384+Q384+U384+Y384+AC384+AG384+AK384)))</f>
        <v/>
      </c>
      <c r="AP384" s="152">
        <f>AM384-AN384-AO384</f>
        <v/>
      </c>
      <c r="AQ384" s="152">
        <f>'Debt Payoff'!$C$8-SUM(D384,H384,L384,P384,T384,X384,AB384,AF384,AJ384,AN384)</f>
        <v/>
      </c>
      <c r="AR384" s="152">
        <f>SUM(D384,H384,L384,P384,T384,X384,AB384,AF384,AJ384,AN384)+SUM(E384,I384,M384,Q384,U384,Y384,AC384,AG384,AK384,AO384)</f>
        <v/>
      </c>
      <c r="AS384" s="152">
        <f>SUM(F384,J384,N384,R384,V384,Z384,AD384,AH384,AL384,AP384)</f>
        <v/>
      </c>
      <c r="AT384" s="152">
        <f>IF(B384&gt;AS$6,NA(),B384)</f>
        <v/>
      </c>
      <c r="AU384" s="152">
        <f>IF(B384&gt;AS$6,NA(),AS384)</f>
        <v/>
      </c>
      <c r="AV384" s="152" t="n"/>
      <c r="AW384" s="152" t="n">
        <v>373</v>
      </c>
      <c r="AX384" s="152">
        <f>IF(BA383&lt;=0.005,0,BA383*(1+AX$6))</f>
        <v/>
      </c>
      <c r="AY384" s="152">
        <f>MIN(AX384,AX$7)</f>
        <v/>
      </c>
      <c r="AZ384" s="152">
        <f>MAX(0,MIN(AX384-AY384,CL384))</f>
        <v/>
      </c>
      <c r="BA384" s="152">
        <f>AX384-AY384-AZ384</f>
        <v/>
      </c>
      <c r="BB384" s="152">
        <f>IF(BE383&lt;=0.005,0,BE383*(1+BB$6))</f>
        <v/>
      </c>
      <c r="BC384" s="152">
        <f>MIN(BB384,BB$7)</f>
        <v/>
      </c>
      <c r="BD384" s="152">
        <f>MAX(0,MIN(BB384-BC384,CL384-(AZ384)))</f>
        <v/>
      </c>
      <c r="BE384" s="152">
        <f>BB384-BC384-BD384</f>
        <v/>
      </c>
      <c r="BF384" s="152">
        <f>IF(BI383&lt;=0.005,0,BI383*(1+BF$6))</f>
        <v/>
      </c>
      <c r="BG384" s="152">
        <f>MIN(BF384,BF$7)</f>
        <v/>
      </c>
      <c r="BH384" s="152">
        <f>MAX(0,MIN(BF384-BG384,CL384-(AZ384+BD384)))</f>
        <v/>
      </c>
      <c r="BI384" s="152">
        <f>BF384-BG384-BH384</f>
        <v/>
      </c>
      <c r="BJ384" s="152">
        <f>IF(BM383&lt;=0.005,0,BM383*(1+BJ$6))</f>
        <v/>
      </c>
      <c r="BK384" s="152">
        <f>MIN(BJ384,BJ$7)</f>
        <v/>
      </c>
      <c r="BL384" s="152">
        <f>MAX(0,MIN(BJ384-BK384,CL384-(AZ384+BD384+BH384)))</f>
        <v/>
      </c>
      <c r="BM384" s="152">
        <f>BJ384-BK384-BL384</f>
        <v/>
      </c>
      <c r="BN384" s="152">
        <f>IF(BQ383&lt;=0.005,0,BQ383*(1+BN$6))</f>
        <v/>
      </c>
      <c r="BO384" s="152">
        <f>MIN(BN384,BN$7)</f>
        <v/>
      </c>
      <c r="BP384" s="152">
        <f>MAX(0,MIN(BN384-BO384,CL384-(AZ384+BD384+BH384+BL384)))</f>
        <v/>
      </c>
      <c r="BQ384" s="152">
        <f>BN384-BO384-BP384</f>
        <v/>
      </c>
      <c r="BR384" s="152">
        <f>IF(BU383&lt;=0.005,0,BU383*(1+BR$6))</f>
        <v/>
      </c>
      <c r="BS384" s="152">
        <f>MIN(BR384,BR$7)</f>
        <v/>
      </c>
      <c r="BT384" s="152">
        <f>MAX(0,MIN(BR384-BS384,CL384-(AZ384+BD384+BH384+BL384+BP384)))</f>
        <v/>
      </c>
      <c r="BU384" s="152">
        <f>BR384-BS384-BT384</f>
        <v/>
      </c>
      <c r="BV384" s="152">
        <f>IF(BY383&lt;=0.005,0,BY383*(1+BV$6))</f>
        <v/>
      </c>
      <c r="BW384" s="152">
        <f>MIN(BV384,BV$7)</f>
        <v/>
      </c>
      <c r="BX384" s="152">
        <f>MAX(0,MIN(BV384-BW384,CL384-(AZ384+BD384+BH384+BL384+BP384+BT384)))</f>
        <v/>
      </c>
      <c r="BY384" s="152">
        <f>BV384-BW384-BX384</f>
        <v/>
      </c>
      <c r="BZ384" s="152">
        <f>IF(CC383&lt;=0.005,0,CC383*(1+BZ$6))</f>
        <v/>
      </c>
      <c r="CA384" s="152">
        <f>MIN(BZ384,BZ$7)</f>
        <v/>
      </c>
      <c r="CB384" s="152">
        <f>MAX(0,MIN(BZ384-CA384,CL384-(AZ384+BD384+BH384+BL384+BP384+BT384+BX384)))</f>
        <v/>
      </c>
      <c r="CC384" s="152">
        <f>BZ384-CA384-CB384</f>
        <v/>
      </c>
      <c r="CD384" s="152">
        <f>IF(CG383&lt;=0.005,0,CG383*(1+CD$6))</f>
        <v/>
      </c>
      <c r="CE384" s="152">
        <f>MIN(CD384,CD$7)</f>
        <v/>
      </c>
      <c r="CF384" s="152">
        <f>MAX(0,MIN(CD384-CE384,CL384-(AZ384+BD384+BH384+BL384+BP384+BT384+BX384+CB384)))</f>
        <v/>
      </c>
      <c r="CG384" s="152">
        <f>CD384-CE384-CF384</f>
        <v/>
      </c>
      <c r="CH384" s="152">
        <f>IF(CK383&lt;=0.005,0,CK383*(1+CH$6))</f>
        <v/>
      </c>
      <c r="CI384" s="152">
        <f>MIN(CH384,CH$7)</f>
        <v/>
      </c>
      <c r="CJ384" s="152">
        <f>MAX(0,MIN(CH384-CI384,CL384-(AZ384+BD384+BH384+BL384+BP384+BT384+BX384+CB384+CF384)))</f>
        <v/>
      </c>
      <c r="CK384" s="152">
        <f>CH384-CI384-CJ384</f>
        <v/>
      </c>
      <c r="CL384" s="152">
        <f>'Debt Payoff'!$C$8-SUM(AY384,BC384,BG384,BK384,BO384,BS384,BW384,CA384,CE384,CI384)</f>
        <v/>
      </c>
      <c r="CM384" s="152">
        <f>SUM(AY384,BC384,BG384,BK384,BO384,BS384,BW384,CA384,CE384,CI384)+SUM(AZ384,BD384,BH384,BL384,BP384,BT384,BX384,CB384,CF384,CJ384)</f>
        <v/>
      </c>
      <c r="CN384" s="152">
        <f>SUM(BA384,BE384,BI384,BM384,BQ384,BU384,BY384,CC384,CG384,CK384)</f>
        <v/>
      </c>
      <c r="CO384" s="152">
        <f>IF(AW384&gt;CN$6,NA(),AW384)</f>
        <v/>
      </c>
      <c r="CP384" s="152">
        <f>IF(AW384&gt;CN$6,NA(),CN384)</f>
        <v/>
      </c>
    </row>
    <row r="385">
      <c r="B385" s="152" t="n">
        <v>374</v>
      </c>
      <c r="C385" s="152">
        <f>IF(F384&lt;=0.005,0,F384*(1+C$6))</f>
        <v/>
      </c>
      <c r="D385" s="152">
        <f>MIN(C385,C$7)</f>
        <v/>
      </c>
      <c r="E385" s="152">
        <f>MAX(0,MIN(C385-D385,AQ385))</f>
        <v/>
      </c>
      <c r="F385" s="152">
        <f>C385-D385-E385</f>
        <v/>
      </c>
      <c r="G385" s="152">
        <f>IF(J384&lt;=0.005,0,J384*(1+G$6))</f>
        <v/>
      </c>
      <c r="H385" s="152">
        <f>MIN(G385,G$7)</f>
        <v/>
      </c>
      <c r="I385" s="152">
        <f>MAX(0,MIN(G385-H385,AQ385-(E385)))</f>
        <v/>
      </c>
      <c r="J385" s="152">
        <f>G385-H385-I385</f>
        <v/>
      </c>
      <c r="K385" s="152">
        <f>IF(N384&lt;=0.005,0,N384*(1+K$6))</f>
        <v/>
      </c>
      <c r="L385" s="152">
        <f>MIN(K385,K$7)</f>
        <v/>
      </c>
      <c r="M385" s="152">
        <f>MAX(0,MIN(K385-L385,AQ385-(E385+I385)))</f>
        <v/>
      </c>
      <c r="N385" s="152">
        <f>K385-L385-M385</f>
        <v/>
      </c>
      <c r="O385" s="152">
        <f>IF(R384&lt;=0.005,0,R384*(1+O$6))</f>
        <v/>
      </c>
      <c r="P385" s="152">
        <f>MIN(O385,O$7)</f>
        <v/>
      </c>
      <c r="Q385" s="152">
        <f>MAX(0,MIN(O385-P385,AQ385-(E385+I385+M385)))</f>
        <v/>
      </c>
      <c r="R385" s="152">
        <f>O385-P385-Q385</f>
        <v/>
      </c>
      <c r="S385" s="152">
        <f>IF(V384&lt;=0.005,0,V384*(1+S$6))</f>
        <v/>
      </c>
      <c r="T385" s="152">
        <f>MIN(S385,S$7)</f>
        <v/>
      </c>
      <c r="U385" s="152">
        <f>MAX(0,MIN(S385-T385,AQ385-(E385+I385+M385+Q385)))</f>
        <v/>
      </c>
      <c r="V385" s="152">
        <f>S385-T385-U385</f>
        <v/>
      </c>
      <c r="W385" s="152">
        <f>IF(Z384&lt;=0.005,0,Z384*(1+W$6))</f>
        <v/>
      </c>
      <c r="X385" s="152">
        <f>MIN(W385,W$7)</f>
        <v/>
      </c>
      <c r="Y385" s="152">
        <f>MAX(0,MIN(W385-X385,AQ385-(E385+I385+M385+Q385+U385)))</f>
        <v/>
      </c>
      <c r="Z385" s="152">
        <f>W385-X385-Y385</f>
        <v/>
      </c>
      <c r="AA385" s="152">
        <f>IF(AD384&lt;=0.005,0,AD384*(1+AA$6))</f>
        <v/>
      </c>
      <c r="AB385" s="152">
        <f>MIN(AA385,AA$7)</f>
        <v/>
      </c>
      <c r="AC385" s="152">
        <f>MAX(0,MIN(AA385-AB385,AQ385-(E385+I385+M385+Q385+U385+Y385)))</f>
        <v/>
      </c>
      <c r="AD385" s="152">
        <f>AA385-AB385-AC385</f>
        <v/>
      </c>
      <c r="AE385" s="152">
        <f>IF(AH384&lt;=0.005,0,AH384*(1+AE$6))</f>
        <v/>
      </c>
      <c r="AF385" s="152">
        <f>MIN(AE385,AE$7)</f>
        <v/>
      </c>
      <c r="AG385" s="152">
        <f>MAX(0,MIN(AE385-AF385,AQ385-(E385+I385+M385+Q385+U385+Y385+AC385)))</f>
        <v/>
      </c>
      <c r="AH385" s="152">
        <f>AE385-AF385-AG385</f>
        <v/>
      </c>
      <c r="AI385" s="152">
        <f>IF(AL384&lt;=0.005,0,AL384*(1+AI$6))</f>
        <v/>
      </c>
      <c r="AJ385" s="152">
        <f>MIN(AI385,AI$7)</f>
        <v/>
      </c>
      <c r="AK385" s="152">
        <f>MAX(0,MIN(AI385-AJ385,AQ385-(E385+I385+M385+Q385+U385+Y385+AC385+AG385)))</f>
        <v/>
      </c>
      <c r="AL385" s="152">
        <f>AI385-AJ385-AK385</f>
        <v/>
      </c>
      <c r="AM385" s="152">
        <f>IF(AP384&lt;=0.005,0,AP384*(1+AM$6))</f>
        <v/>
      </c>
      <c r="AN385" s="152">
        <f>MIN(AM385,AM$7)</f>
        <v/>
      </c>
      <c r="AO385" s="152">
        <f>MAX(0,MIN(AM385-AN385,AQ385-(E385+I385+M385+Q385+U385+Y385+AC385+AG385+AK385)))</f>
        <v/>
      </c>
      <c r="AP385" s="152">
        <f>AM385-AN385-AO385</f>
        <v/>
      </c>
      <c r="AQ385" s="152">
        <f>'Debt Payoff'!$C$8-SUM(D385,H385,L385,P385,T385,X385,AB385,AF385,AJ385,AN385)</f>
        <v/>
      </c>
      <c r="AR385" s="152">
        <f>SUM(D385,H385,L385,P385,T385,X385,AB385,AF385,AJ385,AN385)+SUM(E385,I385,M385,Q385,U385,Y385,AC385,AG385,AK385,AO385)</f>
        <v/>
      </c>
      <c r="AS385" s="152">
        <f>SUM(F385,J385,N385,R385,V385,Z385,AD385,AH385,AL385,AP385)</f>
        <v/>
      </c>
      <c r="AT385" s="152">
        <f>IF(B385&gt;AS$6,NA(),B385)</f>
        <v/>
      </c>
      <c r="AU385" s="152">
        <f>IF(B385&gt;AS$6,NA(),AS385)</f>
        <v/>
      </c>
      <c r="AV385" s="152" t="n"/>
      <c r="AW385" s="152" t="n">
        <v>374</v>
      </c>
      <c r="AX385" s="152">
        <f>IF(BA384&lt;=0.005,0,BA384*(1+AX$6))</f>
        <v/>
      </c>
      <c r="AY385" s="152">
        <f>MIN(AX385,AX$7)</f>
        <v/>
      </c>
      <c r="AZ385" s="152">
        <f>MAX(0,MIN(AX385-AY385,CL385))</f>
        <v/>
      </c>
      <c r="BA385" s="152">
        <f>AX385-AY385-AZ385</f>
        <v/>
      </c>
      <c r="BB385" s="152">
        <f>IF(BE384&lt;=0.005,0,BE384*(1+BB$6))</f>
        <v/>
      </c>
      <c r="BC385" s="152">
        <f>MIN(BB385,BB$7)</f>
        <v/>
      </c>
      <c r="BD385" s="152">
        <f>MAX(0,MIN(BB385-BC385,CL385-(AZ385)))</f>
        <v/>
      </c>
      <c r="BE385" s="152">
        <f>BB385-BC385-BD385</f>
        <v/>
      </c>
      <c r="BF385" s="152">
        <f>IF(BI384&lt;=0.005,0,BI384*(1+BF$6))</f>
        <v/>
      </c>
      <c r="BG385" s="152">
        <f>MIN(BF385,BF$7)</f>
        <v/>
      </c>
      <c r="BH385" s="152">
        <f>MAX(0,MIN(BF385-BG385,CL385-(AZ385+BD385)))</f>
        <v/>
      </c>
      <c r="BI385" s="152">
        <f>BF385-BG385-BH385</f>
        <v/>
      </c>
      <c r="BJ385" s="152">
        <f>IF(BM384&lt;=0.005,0,BM384*(1+BJ$6))</f>
        <v/>
      </c>
      <c r="BK385" s="152">
        <f>MIN(BJ385,BJ$7)</f>
        <v/>
      </c>
      <c r="BL385" s="152">
        <f>MAX(0,MIN(BJ385-BK385,CL385-(AZ385+BD385+BH385)))</f>
        <v/>
      </c>
      <c r="BM385" s="152">
        <f>BJ385-BK385-BL385</f>
        <v/>
      </c>
      <c r="BN385" s="152">
        <f>IF(BQ384&lt;=0.005,0,BQ384*(1+BN$6))</f>
        <v/>
      </c>
      <c r="BO385" s="152">
        <f>MIN(BN385,BN$7)</f>
        <v/>
      </c>
      <c r="BP385" s="152">
        <f>MAX(0,MIN(BN385-BO385,CL385-(AZ385+BD385+BH385+BL385)))</f>
        <v/>
      </c>
      <c r="BQ385" s="152">
        <f>BN385-BO385-BP385</f>
        <v/>
      </c>
      <c r="BR385" s="152">
        <f>IF(BU384&lt;=0.005,0,BU384*(1+BR$6))</f>
        <v/>
      </c>
      <c r="BS385" s="152">
        <f>MIN(BR385,BR$7)</f>
        <v/>
      </c>
      <c r="BT385" s="152">
        <f>MAX(0,MIN(BR385-BS385,CL385-(AZ385+BD385+BH385+BL385+BP385)))</f>
        <v/>
      </c>
      <c r="BU385" s="152">
        <f>BR385-BS385-BT385</f>
        <v/>
      </c>
      <c r="BV385" s="152">
        <f>IF(BY384&lt;=0.005,0,BY384*(1+BV$6))</f>
        <v/>
      </c>
      <c r="BW385" s="152">
        <f>MIN(BV385,BV$7)</f>
        <v/>
      </c>
      <c r="BX385" s="152">
        <f>MAX(0,MIN(BV385-BW385,CL385-(AZ385+BD385+BH385+BL385+BP385+BT385)))</f>
        <v/>
      </c>
      <c r="BY385" s="152">
        <f>BV385-BW385-BX385</f>
        <v/>
      </c>
      <c r="BZ385" s="152">
        <f>IF(CC384&lt;=0.005,0,CC384*(1+BZ$6))</f>
        <v/>
      </c>
      <c r="CA385" s="152">
        <f>MIN(BZ385,BZ$7)</f>
        <v/>
      </c>
      <c r="CB385" s="152">
        <f>MAX(0,MIN(BZ385-CA385,CL385-(AZ385+BD385+BH385+BL385+BP385+BT385+BX385)))</f>
        <v/>
      </c>
      <c r="CC385" s="152">
        <f>BZ385-CA385-CB385</f>
        <v/>
      </c>
      <c r="CD385" s="152">
        <f>IF(CG384&lt;=0.005,0,CG384*(1+CD$6))</f>
        <v/>
      </c>
      <c r="CE385" s="152">
        <f>MIN(CD385,CD$7)</f>
        <v/>
      </c>
      <c r="CF385" s="152">
        <f>MAX(0,MIN(CD385-CE385,CL385-(AZ385+BD385+BH385+BL385+BP385+BT385+BX385+CB385)))</f>
        <v/>
      </c>
      <c r="CG385" s="152">
        <f>CD385-CE385-CF385</f>
        <v/>
      </c>
      <c r="CH385" s="152">
        <f>IF(CK384&lt;=0.005,0,CK384*(1+CH$6))</f>
        <v/>
      </c>
      <c r="CI385" s="152">
        <f>MIN(CH385,CH$7)</f>
        <v/>
      </c>
      <c r="CJ385" s="152">
        <f>MAX(0,MIN(CH385-CI385,CL385-(AZ385+BD385+BH385+BL385+BP385+BT385+BX385+CB385+CF385)))</f>
        <v/>
      </c>
      <c r="CK385" s="152">
        <f>CH385-CI385-CJ385</f>
        <v/>
      </c>
      <c r="CL385" s="152">
        <f>'Debt Payoff'!$C$8-SUM(AY385,BC385,BG385,BK385,BO385,BS385,BW385,CA385,CE385,CI385)</f>
        <v/>
      </c>
      <c r="CM385" s="152">
        <f>SUM(AY385,BC385,BG385,BK385,BO385,BS385,BW385,CA385,CE385,CI385)+SUM(AZ385,BD385,BH385,BL385,BP385,BT385,BX385,CB385,CF385,CJ385)</f>
        <v/>
      </c>
      <c r="CN385" s="152">
        <f>SUM(BA385,BE385,BI385,BM385,BQ385,BU385,BY385,CC385,CG385,CK385)</f>
        <v/>
      </c>
      <c r="CO385" s="152">
        <f>IF(AW385&gt;CN$6,NA(),AW385)</f>
        <v/>
      </c>
      <c r="CP385" s="152">
        <f>IF(AW385&gt;CN$6,NA(),CN385)</f>
        <v/>
      </c>
    </row>
    <row r="386">
      <c r="B386" s="152" t="n">
        <v>375</v>
      </c>
      <c r="C386" s="152">
        <f>IF(F385&lt;=0.005,0,F385*(1+C$6))</f>
        <v/>
      </c>
      <c r="D386" s="152">
        <f>MIN(C386,C$7)</f>
        <v/>
      </c>
      <c r="E386" s="152">
        <f>MAX(0,MIN(C386-D386,AQ386))</f>
        <v/>
      </c>
      <c r="F386" s="152">
        <f>C386-D386-E386</f>
        <v/>
      </c>
      <c r="G386" s="152">
        <f>IF(J385&lt;=0.005,0,J385*(1+G$6))</f>
        <v/>
      </c>
      <c r="H386" s="152">
        <f>MIN(G386,G$7)</f>
        <v/>
      </c>
      <c r="I386" s="152">
        <f>MAX(0,MIN(G386-H386,AQ386-(E386)))</f>
        <v/>
      </c>
      <c r="J386" s="152">
        <f>G386-H386-I386</f>
        <v/>
      </c>
      <c r="K386" s="152">
        <f>IF(N385&lt;=0.005,0,N385*(1+K$6))</f>
        <v/>
      </c>
      <c r="L386" s="152">
        <f>MIN(K386,K$7)</f>
        <v/>
      </c>
      <c r="M386" s="152">
        <f>MAX(0,MIN(K386-L386,AQ386-(E386+I386)))</f>
        <v/>
      </c>
      <c r="N386" s="152">
        <f>K386-L386-M386</f>
        <v/>
      </c>
      <c r="O386" s="152">
        <f>IF(R385&lt;=0.005,0,R385*(1+O$6))</f>
        <v/>
      </c>
      <c r="P386" s="152">
        <f>MIN(O386,O$7)</f>
        <v/>
      </c>
      <c r="Q386" s="152">
        <f>MAX(0,MIN(O386-P386,AQ386-(E386+I386+M386)))</f>
        <v/>
      </c>
      <c r="R386" s="152">
        <f>O386-P386-Q386</f>
        <v/>
      </c>
      <c r="S386" s="152">
        <f>IF(V385&lt;=0.005,0,V385*(1+S$6))</f>
        <v/>
      </c>
      <c r="T386" s="152">
        <f>MIN(S386,S$7)</f>
        <v/>
      </c>
      <c r="U386" s="152">
        <f>MAX(0,MIN(S386-T386,AQ386-(E386+I386+M386+Q386)))</f>
        <v/>
      </c>
      <c r="V386" s="152">
        <f>S386-T386-U386</f>
        <v/>
      </c>
      <c r="W386" s="152">
        <f>IF(Z385&lt;=0.005,0,Z385*(1+W$6))</f>
        <v/>
      </c>
      <c r="X386" s="152">
        <f>MIN(W386,W$7)</f>
        <v/>
      </c>
      <c r="Y386" s="152">
        <f>MAX(0,MIN(W386-X386,AQ386-(E386+I386+M386+Q386+U386)))</f>
        <v/>
      </c>
      <c r="Z386" s="152">
        <f>W386-X386-Y386</f>
        <v/>
      </c>
      <c r="AA386" s="152">
        <f>IF(AD385&lt;=0.005,0,AD385*(1+AA$6))</f>
        <v/>
      </c>
      <c r="AB386" s="152">
        <f>MIN(AA386,AA$7)</f>
        <v/>
      </c>
      <c r="AC386" s="152">
        <f>MAX(0,MIN(AA386-AB386,AQ386-(E386+I386+M386+Q386+U386+Y386)))</f>
        <v/>
      </c>
      <c r="AD386" s="152">
        <f>AA386-AB386-AC386</f>
        <v/>
      </c>
      <c r="AE386" s="152">
        <f>IF(AH385&lt;=0.005,0,AH385*(1+AE$6))</f>
        <v/>
      </c>
      <c r="AF386" s="152">
        <f>MIN(AE386,AE$7)</f>
        <v/>
      </c>
      <c r="AG386" s="152">
        <f>MAX(0,MIN(AE386-AF386,AQ386-(E386+I386+M386+Q386+U386+Y386+AC386)))</f>
        <v/>
      </c>
      <c r="AH386" s="152">
        <f>AE386-AF386-AG386</f>
        <v/>
      </c>
      <c r="AI386" s="152">
        <f>IF(AL385&lt;=0.005,0,AL385*(1+AI$6))</f>
        <v/>
      </c>
      <c r="AJ386" s="152">
        <f>MIN(AI386,AI$7)</f>
        <v/>
      </c>
      <c r="AK386" s="152">
        <f>MAX(0,MIN(AI386-AJ386,AQ386-(E386+I386+M386+Q386+U386+Y386+AC386+AG386)))</f>
        <v/>
      </c>
      <c r="AL386" s="152">
        <f>AI386-AJ386-AK386</f>
        <v/>
      </c>
      <c r="AM386" s="152">
        <f>IF(AP385&lt;=0.005,0,AP385*(1+AM$6))</f>
        <v/>
      </c>
      <c r="AN386" s="152">
        <f>MIN(AM386,AM$7)</f>
        <v/>
      </c>
      <c r="AO386" s="152">
        <f>MAX(0,MIN(AM386-AN386,AQ386-(E386+I386+M386+Q386+U386+Y386+AC386+AG386+AK386)))</f>
        <v/>
      </c>
      <c r="AP386" s="152">
        <f>AM386-AN386-AO386</f>
        <v/>
      </c>
      <c r="AQ386" s="152">
        <f>'Debt Payoff'!$C$8-SUM(D386,H386,L386,P386,T386,X386,AB386,AF386,AJ386,AN386)</f>
        <v/>
      </c>
      <c r="AR386" s="152">
        <f>SUM(D386,H386,L386,P386,T386,X386,AB386,AF386,AJ386,AN386)+SUM(E386,I386,M386,Q386,U386,Y386,AC386,AG386,AK386,AO386)</f>
        <v/>
      </c>
      <c r="AS386" s="152">
        <f>SUM(F386,J386,N386,R386,V386,Z386,AD386,AH386,AL386,AP386)</f>
        <v/>
      </c>
      <c r="AT386" s="152">
        <f>IF(B386&gt;AS$6,NA(),B386)</f>
        <v/>
      </c>
      <c r="AU386" s="152">
        <f>IF(B386&gt;AS$6,NA(),AS386)</f>
        <v/>
      </c>
      <c r="AV386" s="152" t="n"/>
      <c r="AW386" s="152" t="n">
        <v>375</v>
      </c>
      <c r="AX386" s="152">
        <f>IF(BA385&lt;=0.005,0,BA385*(1+AX$6))</f>
        <v/>
      </c>
      <c r="AY386" s="152">
        <f>MIN(AX386,AX$7)</f>
        <v/>
      </c>
      <c r="AZ386" s="152">
        <f>MAX(0,MIN(AX386-AY386,CL386))</f>
        <v/>
      </c>
      <c r="BA386" s="152">
        <f>AX386-AY386-AZ386</f>
        <v/>
      </c>
      <c r="BB386" s="152">
        <f>IF(BE385&lt;=0.005,0,BE385*(1+BB$6))</f>
        <v/>
      </c>
      <c r="BC386" s="152">
        <f>MIN(BB386,BB$7)</f>
        <v/>
      </c>
      <c r="BD386" s="152">
        <f>MAX(0,MIN(BB386-BC386,CL386-(AZ386)))</f>
        <v/>
      </c>
      <c r="BE386" s="152">
        <f>BB386-BC386-BD386</f>
        <v/>
      </c>
      <c r="BF386" s="152">
        <f>IF(BI385&lt;=0.005,0,BI385*(1+BF$6))</f>
        <v/>
      </c>
      <c r="BG386" s="152">
        <f>MIN(BF386,BF$7)</f>
        <v/>
      </c>
      <c r="BH386" s="152">
        <f>MAX(0,MIN(BF386-BG386,CL386-(AZ386+BD386)))</f>
        <v/>
      </c>
      <c r="BI386" s="152">
        <f>BF386-BG386-BH386</f>
        <v/>
      </c>
      <c r="BJ386" s="152">
        <f>IF(BM385&lt;=0.005,0,BM385*(1+BJ$6))</f>
        <v/>
      </c>
      <c r="BK386" s="152">
        <f>MIN(BJ386,BJ$7)</f>
        <v/>
      </c>
      <c r="BL386" s="152">
        <f>MAX(0,MIN(BJ386-BK386,CL386-(AZ386+BD386+BH386)))</f>
        <v/>
      </c>
      <c r="BM386" s="152">
        <f>BJ386-BK386-BL386</f>
        <v/>
      </c>
      <c r="BN386" s="152">
        <f>IF(BQ385&lt;=0.005,0,BQ385*(1+BN$6))</f>
        <v/>
      </c>
      <c r="BO386" s="152">
        <f>MIN(BN386,BN$7)</f>
        <v/>
      </c>
      <c r="BP386" s="152">
        <f>MAX(0,MIN(BN386-BO386,CL386-(AZ386+BD386+BH386+BL386)))</f>
        <v/>
      </c>
      <c r="BQ386" s="152">
        <f>BN386-BO386-BP386</f>
        <v/>
      </c>
      <c r="BR386" s="152">
        <f>IF(BU385&lt;=0.005,0,BU385*(1+BR$6))</f>
        <v/>
      </c>
      <c r="BS386" s="152">
        <f>MIN(BR386,BR$7)</f>
        <v/>
      </c>
      <c r="BT386" s="152">
        <f>MAX(0,MIN(BR386-BS386,CL386-(AZ386+BD386+BH386+BL386+BP386)))</f>
        <v/>
      </c>
      <c r="BU386" s="152">
        <f>BR386-BS386-BT386</f>
        <v/>
      </c>
      <c r="BV386" s="152">
        <f>IF(BY385&lt;=0.005,0,BY385*(1+BV$6))</f>
        <v/>
      </c>
      <c r="BW386" s="152">
        <f>MIN(BV386,BV$7)</f>
        <v/>
      </c>
      <c r="BX386" s="152">
        <f>MAX(0,MIN(BV386-BW386,CL386-(AZ386+BD386+BH386+BL386+BP386+BT386)))</f>
        <v/>
      </c>
      <c r="BY386" s="152">
        <f>BV386-BW386-BX386</f>
        <v/>
      </c>
      <c r="BZ386" s="152">
        <f>IF(CC385&lt;=0.005,0,CC385*(1+BZ$6))</f>
        <v/>
      </c>
      <c r="CA386" s="152">
        <f>MIN(BZ386,BZ$7)</f>
        <v/>
      </c>
      <c r="CB386" s="152">
        <f>MAX(0,MIN(BZ386-CA386,CL386-(AZ386+BD386+BH386+BL386+BP386+BT386+BX386)))</f>
        <v/>
      </c>
      <c r="CC386" s="152">
        <f>BZ386-CA386-CB386</f>
        <v/>
      </c>
      <c r="CD386" s="152">
        <f>IF(CG385&lt;=0.005,0,CG385*(1+CD$6))</f>
        <v/>
      </c>
      <c r="CE386" s="152">
        <f>MIN(CD386,CD$7)</f>
        <v/>
      </c>
      <c r="CF386" s="152">
        <f>MAX(0,MIN(CD386-CE386,CL386-(AZ386+BD386+BH386+BL386+BP386+BT386+BX386+CB386)))</f>
        <v/>
      </c>
      <c r="CG386" s="152">
        <f>CD386-CE386-CF386</f>
        <v/>
      </c>
      <c r="CH386" s="152">
        <f>IF(CK385&lt;=0.005,0,CK385*(1+CH$6))</f>
        <v/>
      </c>
      <c r="CI386" s="152">
        <f>MIN(CH386,CH$7)</f>
        <v/>
      </c>
      <c r="CJ386" s="152">
        <f>MAX(0,MIN(CH386-CI386,CL386-(AZ386+BD386+BH386+BL386+BP386+BT386+BX386+CB386+CF386)))</f>
        <v/>
      </c>
      <c r="CK386" s="152">
        <f>CH386-CI386-CJ386</f>
        <v/>
      </c>
      <c r="CL386" s="152">
        <f>'Debt Payoff'!$C$8-SUM(AY386,BC386,BG386,BK386,BO386,BS386,BW386,CA386,CE386,CI386)</f>
        <v/>
      </c>
      <c r="CM386" s="152">
        <f>SUM(AY386,BC386,BG386,BK386,BO386,BS386,BW386,CA386,CE386,CI386)+SUM(AZ386,BD386,BH386,BL386,BP386,BT386,BX386,CB386,CF386,CJ386)</f>
        <v/>
      </c>
      <c r="CN386" s="152">
        <f>SUM(BA386,BE386,BI386,BM386,BQ386,BU386,BY386,CC386,CG386,CK386)</f>
        <v/>
      </c>
      <c r="CO386" s="152">
        <f>IF(AW386&gt;CN$6,NA(),AW386)</f>
        <v/>
      </c>
      <c r="CP386" s="152">
        <f>IF(AW386&gt;CN$6,NA(),CN386)</f>
        <v/>
      </c>
    </row>
    <row r="387">
      <c r="B387" s="152" t="n">
        <v>376</v>
      </c>
      <c r="C387" s="152">
        <f>IF(F386&lt;=0.005,0,F386*(1+C$6))</f>
        <v/>
      </c>
      <c r="D387" s="152">
        <f>MIN(C387,C$7)</f>
        <v/>
      </c>
      <c r="E387" s="152">
        <f>MAX(0,MIN(C387-D387,AQ387))</f>
        <v/>
      </c>
      <c r="F387" s="152">
        <f>C387-D387-E387</f>
        <v/>
      </c>
      <c r="G387" s="152">
        <f>IF(J386&lt;=0.005,0,J386*(1+G$6))</f>
        <v/>
      </c>
      <c r="H387" s="152">
        <f>MIN(G387,G$7)</f>
        <v/>
      </c>
      <c r="I387" s="152">
        <f>MAX(0,MIN(G387-H387,AQ387-(E387)))</f>
        <v/>
      </c>
      <c r="J387" s="152">
        <f>G387-H387-I387</f>
        <v/>
      </c>
      <c r="K387" s="152">
        <f>IF(N386&lt;=0.005,0,N386*(1+K$6))</f>
        <v/>
      </c>
      <c r="L387" s="152">
        <f>MIN(K387,K$7)</f>
        <v/>
      </c>
      <c r="M387" s="152">
        <f>MAX(0,MIN(K387-L387,AQ387-(E387+I387)))</f>
        <v/>
      </c>
      <c r="N387" s="152">
        <f>K387-L387-M387</f>
        <v/>
      </c>
      <c r="O387" s="152">
        <f>IF(R386&lt;=0.005,0,R386*(1+O$6))</f>
        <v/>
      </c>
      <c r="P387" s="152">
        <f>MIN(O387,O$7)</f>
        <v/>
      </c>
      <c r="Q387" s="152">
        <f>MAX(0,MIN(O387-P387,AQ387-(E387+I387+M387)))</f>
        <v/>
      </c>
      <c r="R387" s="152">
        <f>O387-P387-Q387</f>
        <v/>
      </c>
      <c r="S387" s="152">
        <f>IF(V386&lt;=0.005,0,V386*(1+S$6))</f>
        <v/>
      </c>
      <c r="T387" s="152">
        <f>MIN(S387,S$7)</f>
        <v/>
      </c>
      <c r="U387" s="152">
        <f>MAX(0,MIN(S387-T387,AQ387-(E387+I387+M387+Q387)))</f>
        <v/>
      </c>
      <c r="V387" s="152">
        <f>S387-T387-U387</f>
        <v/>
      </c>
      <c r="W387" s="152">
        <f>IF(Z386&lt;=0.005,0,Z386*(1+W$6))</f>
        <v/>
      </c>
      <c r="X387" s="152">
        <f>MIN(W387,W$7)</f>
        <v/>
      </c>
      <c r="Y387" s="152">
        <f>MAX(0,MIN(W387-X387,AQ387-(E387+I387+M387+Q387+U387)))</f>
        <v/>
      </c>
      <c r="Z387" s="152">
        <f>W387-X387-Y387</f>
        <v/>
      </c>
      <c r="AA387" s="152">
        <f>IF(AD386&lt;=0.005,0,AD386*(1+AA$6))</f>
        <v/>
      </c>
      <c r="AB387" s="152">
        <f>MIN(AA387,AA$7)</f>
        <v/>
      </c>
      <c r="AC387" s="152">
        <f>MAX(0,MIN(AA387-AB387,AQ387-(E387+I387+M387+Q387+U387+Y387)))</f>
        <v/>
      </c>
      <c r="AD387" s="152">
        <f>AA387-AB387-AC387</f>
        <v/>
      </c>
      <c r="AE387" s="152">
        <f>IF(AH386&lt;=0.005,0,AH386*(1+AE$6))</f>
        <v/>
      </c>
      <c r="AF387" s="152">
        <f>MIN(AE387,AE$7)</f>
        <v/>
      </c>
      <c r="AG387" s="152">
        <f>MAX(0,MIN(AE387-AF387,AQ387-(E387+I387+M387+Q387+U387+Y387+AC387)))</f>
        <v/>
      </c>
      <c r="AH387" s="152">
        <f>AE387-AF387-AG387</f>
        <v/>
      </c>
      <c r="AI387" s="152">
        <f>IF(AL386&lt;=0.005,0,AL386*(1+AI$6))</f>
        <v/>
      </c>
      <c r="AJ387" s="152">
        <f>MIN(AI387,AI$7)</f>
        <v/>
      </c>
      <c r="AK387" s="152">
        <f>MAX(0,MIN(AI387-AJ387,AQ387-(E387+I387+M387+Q387+U387+Y387+AC387+AG387)))</f>
        <v/>
      </c>
      <c r="AL387" s="152">
        <f>AI387-AJ387-AK387</f>
        <v/>
      </c>
      <c r="AM387" s="152">
        <f>IF(AP386&lt;=0.005,0,AP386*(1+AM$6))</f>
        <v/>
      </c>
      <c r="AN387" s="152">
        <f>MIN(AM387,AM$7)</f>
        <v/>
      </c>
      <c r="AO387" s="152">
        <f>MAX(0,MIN(AM387-AN387,AQ387-(E387+I387+M387+Q387+U387+Y387+AC387+AG387+AK387)))</f>
        <v/>
      </c>
      <c r="AP387" s="152">
        <f>AM387-AN387-AO387</f>
        <v/>
      </c>
      <c r="AQ387" s="152">
        <f>'Debt Payoff'!$C$8-SUM(D387,H387,L387,P387,T387,X387,AB387,AF387,AJ387,AN387)</f>
        <v/>
      </c>
      <c r="AR387" s="152">
        <f>SUM(D387,H387,L387,P387,T387,X387,AB387,AF387,AJ387,AN387)+SUM(E387,I387,M387,Q387,U387,Y387,AC387,AG387,AK387,AO387)</f>
        <v/>
      </c>
      <c r="AS387" s="152">
        <f>SUM(F387,J387,N387,R387,V387,Z387,AD387,AH387,AL387,AP387)</f>
        <v/>
      </c>
      <c r="AT387" s="152">
        <f>IF(B387&gt;AS$6,NA(),B387)</f>
        <v/>
      </c>
      <c r="AU387" s="152">
        <f>IF(B387&gt;AS$6,NA(),AS387)</f>
        <v/>
      </c>
      <c r="AV387" s="152" t="n"/>
      <c r="AW387" s="152" t="n">
        <v>376</v>
      </c>
      <c r="AX387" s="152">
        <f>IF(BA386&lt;=0.005,0,BA386*(1+AX$6))</f>
        <v/>
      </c>
      <c r="AY387" s="152">
        <f>MIN(AX387,AX$7)</f>
        <v/>
      </c>
      <c r="AZ387" s="152">
        <f>MAX(0,MIN(AX387-AY387,CL387))</f>
        <v/>
      </c>
      <c r="BA387" s="152">
        <f>AX387-AY387-AZ387</f>
        <v/>
      </c>
      <c r="BB387" s="152">
        <f>IF(BE386&lt;=0.005,0,BE386*(1+BB$6))</f>
        <v/>
      </c>
      <c r="BC387" s="152">
        <f>MIN(BB387,BB$7)</f>
        <v/>
      </c>
      <c r="BD387" s="152">
        <f>MAX(0,MIN(BB387-BC387,CL387-(AZ387)))</f>
        <v/>
      </c>
      <c r="BE387" s="152">
        <f>BB387-BC387-BD387</f>
        <v/>
      </c>
      <c r="BF387" s="152">
        <f>IF(BI386&lt;=0.005,0,BI386*(1+BF$6))</f>
        <v/>
      </c>
      <c r="BG387" s="152">
        <f>MIN(BF387,BF$7)</f>
        <v/>
      </c>
      <c r="BH387" s="152">
        <f>MAX(0,MIN(BF387-BG387,CL387-(AZ387+BD387)))</f>
        <v/>
      </c>
      <c r="BI387" s="152">
        <f>BF387-BG387-BH387</f>
        <v/>
      </c>
      <c r="BJ387" s="152">
        <f>IF(BM386&lt;=0.005,0,BM386*(1+BJ$6))</f>
        <v/>
      </c>
      <c r="BK387" s="152">
        <f>MIN(BJ387,BJ$7)</f>
        <v/>
      </c>
      <c r="BL387" s="152">
        <f>MAX(0,MIN(BJ387-BK387,CL387-(AZ387+BD387+BH387)))</f>
        <v/>
      </c>
      <c r="BM387" s="152">
        <f>BJ387-BK387-BL387</f>
        <v/>
      </c>
      <c r="BN387" s="152">
        <f>IF(BQ386&lt;=0.005,0,BQ386*(1+BN$6))</f>
        <v/>
      </c>
      <c r="BO387" s="152">
        <f>MIN(BN387,BN$7)</f>
        <v/>
      </c>
      <c r="BP387" s="152">
        <f>MAX(0,MIN(BN387-BO387,CL387-(AZ387+BD387+BH387+BL387)))</f>
        <v/>
      </c>
      <c r="BQ387" s="152">
        <f>BN387-BO387-BP387</f>
        <v/>
      </c>
      <c r="BR387" s="152">
        <f>IF(BU386&lt;=0.005,0,BU386*(1+BR$6))</f>
        <v/>
      </c>
      <c r="BS387" s="152">
        <f>MIN(BR387,BR$7)</f>
        <v/>
      </c>
      <c r="BT387" s="152">
        <f>MAX(0,MIN(BR387-BS387,CL387-(AZ387+BD387+BH387+BL387+BP387)))</f>
        <v/>
      </c>
      <c r="BU387" s="152">
        <f>BR387-BS387-BT387</f>
        <v/>
      </c>
      <c r="BV387" s="152">
        <f>IF(BY386&lt;=0.005,0,BY386*(1+BV$6))</f>
        <v/>
      </c>
      <c r="BW387" s="152">
        <f>MIN(BV387,BV$7)</f>
        <v/>
      </c>
      <c r="BX387" s="152">
        <f>MAX(0,MIN(BV387-BW387,CL387-(AZ387+BD387+BH387+BL387+BP387+BT387)))</f>
        <v/>
      </c>
      <c r="BY387" s="152">
        <f>BV387-BW387-BX387</f>
        <v/>
      </c>
      <c r="BZ387" s="152">
        <f>IF(CC386&lt;=0.005,0,CC386*(1+BZ$6))</f>
        <v/>
      </c>
      <c r="CA387" s="152">
        <f>MIN(BZ387,BZ$7)</f>
        <v/>
      </c>
      <c r="CB387" s="152">
        <f>MAX(0,MIN(BZ387-CA387,CL387-(AZ387+BD387+BH387+BL387+BP387+BT387+BX387)))</f>
        <v/>
      </c>
      <c r="CC387" s="152">
        <f>BZ387-CA387-CB387</f>
        <v/>
      </c>
      <c r="CD387" s="152">
        <f>IF(CG386&lt;=0.005,0,CG386*(1+CD$6))</f>
        <v/>
      </c>
      <c r="CE387" s="152">
        <f>MIN(CD387,CD$7)</f>
        <v/>
      </c>
      <c r="CF387" s="152">
        <f>MAX(0,MIN(CD387-CE387,CL387-(AZ387+BD387+BH387+BL387+BP387+BT387+BX387+CB387)))</f>
        <v/>
      </c>
      <c r="CG387" s="152">
        <f>CD387-CE387-CF387</f>
        <v/>
      </c>
      <c r="CH387" s="152">
        <f>IF(CK386&lt;=0.005,0,CK386*(1+CH$6))</f>
        <v/>
      </c>
      <c r="CI387" s="152">
        <f>MIN(CH387,CH$7)</f>
        <v/>
      </c>
      <c r="CJ387" s="152">
        <f>MAX(0,MIN(CH387-CI387,CL387-(AZ387+BD387+BH387+BL387+BP387+BT387+BX387+CB387+CF387)))</f>
        <v/>
      </c>
      <c r="CK387" s="152">
        <f>CH387-CI387-CJ387</f>
        <v/>
      </c>
      <c r="CL387" s="152">
        <f>'Debt Payoff'!$C$8-SUM(AY387,BC387,BG387,BK387,BO387,BS387,BW387,CA387,CE387,CI387)</f>
        <v/>
      </c>
      <c r="CM387" s="152">
        <f>SUM(AY387,BC387,BG387,BK387,BO387,BS387,BW387,CA387,CE387,CI387)+SUM(AZ387,BD387,BH387,BL387,BP387,BT387,BX387,CB387,CF387,CJ387)</f>
        <v/>
      </c>
      <c r="CN387" s="152">
        <f>SUM(BA387,BE387,BI387,BM387,BQ387,BU387,BY387,CC387,CG387,CK387)</f>
        <v/>
      </c>
      <c r="CO387" s="152">
        <f>IF(AW387&gt;CN$6,NA(),AW387)</f>
        <v/>
      </c>
      <c r="CP387" s="152">
        <f>IF(AW387&gt;CN$6,NA(),CN387)</f>
        <v/>
      </c>
    </row>
    <row r="388">
      <c r="B388" s="152" t="n">
        <v>377</v>
      </c>
      <c r="C388" s="152">
        <f>IF(F387&lt;=0.005,0,F387*(1+C$6))</f>
        <v/>
      </c>
      <c r="D388" s="152">
        <f>MIN(C388,C$7)</f>
        <v/>
      </c>
      <c r="E388" s="152">
        <f>MAX(0,MIN(C388-D388,AQ388))</f>
        <v/>
      </c>
      <c r="F388" s="152">
        <f>C388-D388-E388</f>
        <v/>
      </c>
      <c r="G388" s="152">
        <f>IF(J387&lt;=0.005,0,J387*(1+G$6))</f>
        <v/>
      </c>
      <c r="H388" s="152">
        <f>MIN(G388,G$7)</f>
        <v/>
      </c>
      <c r="I388" s="152">
        <f>MAX(0,MIN(G388-H388,AQ388-(E388)))</f>
        <v/>
      </c>
      <c r="J388" s="152">
        <f>G388-H388-I388</f>
        <v/>
      </c>
      <c r="K388" s="152">
        <f>IF(N387&lt;=0.005,0,N387*(1+K$6))</f>
        <v/>
      </c>
      <c r="L388" s="152">
        <f>MIN(K388,K$7)</f>
        <v/>
      </c>
      <c r="M388" s="152">
        <f>MAX(0,MIN(K388-L388,AQ388-(E388+I388)))</f>
        <v/>
      </c>
      <c r="N388" s="152">
        <f>K388-L388-M388</f>
        <v/>
      </c>
      <c r="O388" s="152">
        <f>IF(R387&lt;=0.005,0,R387*(1+O$6))</f>
        <v/>
      </c>
      <c r="P388" s="152">
        <f>MIN(O388,O$7)</f>
        <v/>
      </c>
      <c r="Q388" s="152">
        <f>MAX(0,MIN(O388-P388,AQ388-(E388+I388+M388)))</f>
        <v/>
      </c>
      <c r="R388" s="152">
        <f>O388-P388-Q388</f>
        <v/>
      </c>
      <c r="S388" s="152">
        <f>IF(V387&lt;=0.005,0,V387*(1+S$6))</f>
        <v/>
      </c>
      <c r="T388" s="152">
        <f>MIN(S388,S$7)</f>
        <v/>
      </c>
      <c r="U388" s="152">
        <f>MAX(0,MIN(S388-T388,AQ388-(E388+I388+M388+Q388)))</f>
        <v/>
      </c>
      <c r="V388" s="152">
        <f>S388-T388-U388</f>
        <v/>
      </c>
      <c r="W388" s="152">
        <f>IF(Z387&lt;=0.005,0,Z387*(1+W$6))</f>
        <v/>
      </c>
      <c r="X388" s="152">
        <f>MIN(W388,W$7)</f>
        <v/>
      </c>
      <c r="Y388" s="152">
        <f>MAX(0,MIN(W388-X388,AQ388-(E388+I388+M388+Q388+U388)))</f>
        <v/>
      </c>
      <c r="Z388" s="152">
        <f>W388-X388-Y388</f>
        <v/>
      </c>
      <c r="AA388" s="152">
        <f>IF(AD387&lt;=0.005,0,AD387*(1+AA$6))</f>
        <v/>
      </c>
      <c r="AB388" s="152">
        <f>MIN(AA388,AA$7)</f>
        <v/>
      </c>
      <c r="AC388" s="152">
        <f>MAX(0,MIN(AA388-AB388,AQ388-(E388+I388+M388+Q388+U388+Y388)))</f>
        <v/>
      </c>
      <c r="AD388" s="152">
        <f>AA388-AB388-AC388</f>
        <v/>
      </c>
      <c r="AE388" s="152">
        <f>IF(AH387&lt;=0.005,0,AH387*(1+AE$6))</f>
        <v/>
      </c>
      <c r="AF388" s="152">
        <f>MIN(AE388,AE$7)</f>
        <v/>
      </c>
      <c r="AG388" s="152">
        <f>MAX(0,MIN(AE388-AF388,AQ388-(E388+I388+M388+Q388+U388+Y388+AC388)))</f>
        <v/>
      </c>
      <c r="AH388" s="152">
        <f>AE388-AF388-AG388</f>
        <v/>
      </c>
      <c r="AI388" s="152">
        <f>IF(AL387&lt;=0.005,0,AL387*(1+AI$6))</f>
        <v/>
      </c>
      <c r="AJ388" s="152">
        <f>MIN(AI388,AI$7)</f>
        <v/>
      </c>
      <c r="AK388" s="152">
        <f>MAX(0,MIN(AI388-AJ388,AQ388-(E388+I388+M388+Q388+U388+Y388+AC388+AG388)))</f>
        <v/>
      </c>
      <c r="AL388" s="152">
        <f>AI388-AJ388-AK388</f>
        <v/>
      </c>
      <c r="AM388" s="152">
        <f>IF(AP387&lt;=0.005,0,AP387*(1+AM$6))</f>
        <v/>
      </c>
      <c r="AN388" s="152">
        <f>MIN(AM388,AM$7)</f>
        <v/>
      </c>
      <c r="AO388" s="152">
        <f>MAX(0,MIN(AM388-AN388,AQ388-(E388+I388+M388+Q388+U388+Y388+AC388+AG388+AK388)))</f>
        <v/>
      </c>
      <c r="AP388" s="152">
        <f>AM388-AN388-AO388</f>
        <v/>
      </c>
      <c r="AQ388" s="152">
        <f>'Debt Payoff'!$C$8-SUM(D388,H388,L388,P388,T388,X388,AB388,AF388,AJ388,AN388)</f>
        <v/>
      </c>
      <c r="AR388" s="152">
        <f>SUM(D388,H388,L388,P388,T388,X388,AB388,AF388,AJ388,AN388)+SUM(E388,I388,M388,Q388,U388,Y388,AC388,AG388,AK388,AO388)</f>
        <v/>
      </c>
      <c r="AS388" s="152">
        <f>SUM(F388,J388,N388,R388,V388,Z388,AD388,AH388,AL388,AP388)</f>
        <v/>
      </c>
      <c r="AT388" s="152">
        <f>IF(B388&gt;AS$6,NA(),B388)</f>
        <v/>
      </c>
      <c r="AU388" s="152">
        <f>IF(B388&gt;AS$6,NA(),AS388)</f>
        <v/>
      </c>
      <c r="AV388" s="152" t="n"/>
      <c r="AW388" s="152" t="n">
        <v>377</v>
      </c>
      <c r="AX388" s="152">
        <f>IF(BA387&lt;=0.005,0,BA387*(1+AX$6))</f>
        <v/>
      </c>
      <c r="AY388" s="152">
        <f>MIN(AX388,AX$7)</f>
        <v/>
      </c>
      <c r="AZ388" s="152">
        <f>MAX(0,MIN(AX388-AY388,CL388))</f>
        <v/>
      </c>
      <c r="BA388" s="152">
        <f>AX388-AY388-AZ388</f>
        <v/>
      </c>
      <c r="BB388" s="152">
        <f>IF(BE387&lt;=0.005,0,BE387*(1+BB$6))</f>
        <v/>
      </c>
      <c r="BC388" s="152">
        <f>MIN(BB388,BB$7)</f>
        <v/>
      </c>
      <c r="BD388" s="152">
        <f>MAX(0,MIN(BB388-BC388,CL388-(AZ388)))</f>
        <v/>
      </c>
      <c r="BE388" s="152">
        <f>BB388-BC388-BD388</f>
        <v/>
      </c>
      <c r="BF388" s="152">
        <f>IF(BI387&lt;=0.005,0,BI387*(1+BF$6))</f>
        <v/>
      </c>
      <c r="BG388" s="152">
        <f>MIN(BF388,BF$7)</f>
        <v/>
      </c>
      <c r="BH388" s="152">
        <f>MAX(0,MIN(BF388-BG388,CL388-(AZ388+BD388)))</f>
        <v/>
      </c>
      <c r="BI388" s="152">
        <f>BF388-BG388-BH388</f>
        <v/>
      </c>
      <c r="BJ388" s="152">
        <f>IF(BM387&lt;=0.005,0,BM387*(1+BJ$6))</f>
        <v/>
      </c>
      <c r="BK388" s="152">
        <f>MIN(BJ388,BJ$7)</f>
        <v/>
      </c>
      <c r="BL388" s="152">
        <f>MAX(0,MIN(BJ388-BK388,CL388-(AZ388+BD388+BH388)))</f>
        <v/>
      </c>
      <c r="BM388" s="152">
        <f>BJ388-BK388-BL388</f>
        <v/>
      </c>
      <c r="BN388" s="152">
        <f>IF(BQ387&lt;=0.005,0,BQ387*(1+BN$6))</f>
        <v/>
      </c>
      <c r="BO388" s="152">
        <f>MIN(BN388,BN$7)</f>
        <v/>
      </c>
      <c r="BP388" s="152">
        <f>MAX(0,MIN(BN388-BO388,CL388-(AZ388+BD388+BH388+BL388)))</f>
        <v/>
      </c>
      <c r="BQ388" s="152">
        <f>BN388-BO388-BP388</f>
        <v/>
      </c>
      <c r="BR388" s="152">
        <f>IF(BU387&lt;=0.005,0,BU387*(1+BR$6))</f>
        <v/>
      </c>
      <c r="BS388" s="152">
        <f>MIN(BR388,BR$7)</f>
        <v/>
      </c>
      <c r="BT388" s="152">
        <f>MAX(0,MIN(BR388-BS388,CL388-(AZ388+BD388+BH388+BL388+BP388)))</f>
        <v/>
      </c>
      <c r="BU388" s="152">
        <f>BR388-BS388-BT388</f>
        <v/>
      </c>
      <c r="BV388" s="152">
        <f>IF(BY387&lt;=0.005,0,BY387*(1+BV$6))</f>
        <v/>
      </c>
      <c r="BW388" s="152">
        <f>MIN(BV388,BV$7)</f>
        <v/>
      </c>
      <c r="BX388" s="152">
        <f>MAX(0,MIN(BV388-BW388,CL388-(AZ388+BD388+BH388+BL388+BP388+BT388)))</f>
        <v/>
      </c>
      <c r="BY388" s="152">
        <f>BV388-BW388-BX388</f>
        <v/>
      </c>
      <c r="BZ388" s="152">
        <f>IF(CC387&lt;=0.005,0,CC387*(1+BZ$6))</f>
        <v/>
      </c>
      <c r="CA388" s="152">
        <f>MIN(BZ388,BZ$7)</f>
        <v/>
      </c>
      <c r="CB388" s="152">
        <f>MAX(0,MIN(BZ388-CA388,CL388-(AZ388+BD388+BH388+BL388+BP388+BT388+BX388)))</f>
        <v/>
      </c>
      <c r="CC388" s="152">
        <f>BZ388-CA388-CB388</f>
        <v/>
      </c>
      <c r="CD388" s="152">
        <f>IF(CG387&lt;=0.005,0,CG387*(1+CD$6))</f>
        <v/>
      </c>
      <c r="CE388" s="152">
        <f>MIN(CD388,CD$7)</f>
        <v/>
      </c>
      <c r="CF388" s="152">
        <f>MAX(0,MIN(CD388-CE388,CL388-(AZ388+BD388+BH388+BL388+BP388+BT388+BX388+CB388)))</f>
        <v/>
      </c>
      <c r="CG388" s="152">
        <f>CD388-CE388-CF388</f>
        <v/>
      </c>
      <c r="CH388" s="152">
        <f>IF(CK387&lt;=0.005,0,CK387*(1+CH$6))</f>
        <v/>
      </c>
      <c r="CI388" s="152">
        <f>MIN(CH388,CH$7)</f>
        <v/>
      </c>
      <c r="CJ388" s="152">
        <f>MAX(0,MIN(CH388-CI388,CL388-(AZ388+BD388+BH388+BL388+BP388+BT388+BX388+CB388+CF388)))</f>
        <v/>
      </c>
      <c r="CK388" s="152">
        <f>CH388-CI388-CJ388</f>
        <v/>
      </c>
      <c r="CL388" s="152">
        <f>'Debt Payoff'!$C$8-SUM(AY388,BC388,BG388,BK388,BO388,BS388,BW388,CA388,CE388,CI388)</f>
        <v/>
      </c>
      <c r="CM388" s="152">
        <f>SUM(AY388,BC388,BG388,BK388,BO388,BS388,BW388,CA388,CE388,CI388)+SUM(AZ388,BD388,BH388,BL388,BP388,BT388,BX388,CB388,CF388,CJ388)</f>
        <v/>
      </c>
      <c r="CN388" s="152">
        <f>SUM(BA388,BE388,BI388,BM388,BQ388,BU388,BY388,CC388,CG388,CK388)</f>
        <v/>
      </c>
      <c r="CO388" s="152">
        <f>IF(AW388&gt;CN$6,NA(),AW388)</f>
        <v/>
      </c>
      <c r="CP388" s="152">
        <f>IF(AW388&gt;CN$6,NA(),CN388)</f>
        <v/>
      </c>
    </row>
    <row r="389">
      <c r="B389" s="152" t="n">
        <v>378</v>
      </c>
      <c r="C389" s="152">
        <f>IF(F388&lt;=0.005,0,F388*(1+C$6))</f>
        <v/>
      </c>
      <c r="D389" s="152">
        <f>MIN(C389,C$7)</f>
        <v/>
      </c>
      <c r="E389" s="152">
        <f>MAX(0,MIN(C389-D389,AQ389))</f>
        <v/>
      </c>
      <c r="F389" s="152">
        <f>C389-D389-E389</f>
        <v/>
      </c>
      <c r="G389" s="152">
        <f>IF(J388&lt;=0.005,0,J388*(1+G$6))</f>
        <v/>
      </c>
      <c r="H389" s="152">
        <f>MIN(G389,G$7)</f>
        <v/>
      </c>
      <c r="I389" s="152">
        <f>MAX(0,MIN(G389-H389,AQ389-(E389)))</f>
        <v/>
      </c>
      <c r="J389" s="152">
        <f>G389-H389-I389</f>
        <v/>
      </c>
      <c r="K389" s="152">
        <f>IF(N388&lt;=0.005,0,N388*(1+K$6))</f>
        <v/>
      </c>
      <c r="L389" s="152">
        <f>MIN(K389,K$7)</f>
        <v/>
      </c>
      <c r="M389" s="152">
        <f>MAX(0,MIN(K389-L389,AQ389-(E389+I389)))</f>
        <v/>
      </c>
      <c r="N389" s="152">
        <f>K389-L389-M389</f>
        <v/>
      </c>
      <c r="O389" s="152">
        <f>IF(R388&lt;=0.005,0,R388*(1+O$6))</f>
        <v/>
      </c>
      <c r="P389" s="152">
        <f>MIN(O389,O$7)</f>
        <v/>
      </c>
      <c r="Q389" s="152">
        <f>MAX(0,MIN(O389-P389,AQ389-(E389+I389+M389)))</f>
        <v/>
      </c>
      <c r="R389" s="152">
        <f>O389-P389-Q389</f>
        <v/>
      </c>
      <c r="S389" s="152">
        <f>IF(V388&lt;=0.005,0,V388*(1+S$6))</f>
        <v/>
      </c>
      <c r="T389" s="152">
        <f>MIN(S389,S$7)</f>
        <v/>
      </c>
      <c r="U389" s="152">
        <f>MAX(0,MIN(S389-T389,AQ389-(E389+I389+M389+Q389)))</f>
        <v/>
      </c>
      <c r="V389" s="152">
        <f>S389-T389-U389</f>
        <v/>
      </c>
      <c r="W389" s="152">
        <f>IF(Z388&lt;=0.005,0,Z388*(1+W$6))</f>
        <v/>
      </c>
      <c r="X389" s="152">
        <f>MIN(W389,W$7)</f>
        <v/>
      </c>
      <c r="Y389" s="152">
        <f>MAX(0,MIN(W389-X389,AQ389-(E389+I389+M389+Q389+U389)))</f>
        <v/>
      </c>
      <c r="Z389" s="152">
        <f>W389-X389-Y389</f>
        <v/>
      </c>
      <c r="AA389" s="152">
        <f>IF(AD388&lt;=0.005,0,AD388*(1+AA$6))</f>
        <v/>
      </c>
      <c r="AB389" s="152">
        <f>MIN(AA389,AA$7)</f>
        <v/>
      </c>
      <c r="AC389" s="152">
        <f>MAX(0,MIN(AA389-AB389,AQ389-(E389+I389+M389+Q389+U389+Y389)))</f>
        <v/>
      </c>
      <c r="AD389" s="152">
        <f>AA389-AB389-AC389</f>
        <v/>
      </c>
      <c r="AE389" s="152">
        <f>IF(AH388&lt;=0.005,0,AH388*(1+AE$6))</f>
        <v/>
      </c>
      <c r="AF389" s="152">
        <f>MIN(AE389,AE$7)</f>
        <v/>
      </c>
      <c r="AG389" s="152">
        <f>MAX(0,MIN(AE389-AF389,AQ389-(E389+I389+M389+Q389+U389+Y389+AC389)))</f>
        <v/>
      </c>
      <c r="AH389" s="152">
        <f>AE389-AF389-AG389</f>
        <v/>
      </c>
      <c r="AI389" s="152">
        <f>IF(AL388&lt;=0.005,0,AL388*(1+AI$6))</f>
        <v/>
      </c>
      <c r="AJ389" s="152">
        <f>MIN(AI389,AI$7)</f>
        <v/>
      </c>
      <c r="AK389" s="152">
        <f>MAX(0,MIN(AI389-AJ389,AQ389-(E389+I389+M389+Q389+U389+Y389+AC389+AG389)))</f>
        <v/>
      </c>
      <c r="AL389" s="152">
        <f>AI389-AJ389-AK389</f>
        <v/>
      </c>
      <c r="AM389" s="152">
        <f>IF(AP388&lt;=0.005,0,AP388*(1+AM$6))</f>
        <v/>
      </c>
      <c r="AN389" s="152">
        <f>MIN(AM389,AM$7)</f>
        <v/>
      </c>
      <c r="AO389" s="152">
        <f>MAX(0,MIN(AM389-AN389,AQ389-(E389+I389+M389+Q389+U389+Y389+AC389+AG389+AK389)))</f>
        <v/>
      </c>
      <c r="AP389" s="152">
        <f>AM389-AN389-AO389</f>
        <v/>
      </c>
      <c r="AQ389" s="152">
        <f>'Debt Payoff'!$C$8-SUM(D389,H389,L389,P389,T389,X389,AB389,AF389,AJ389,AN389)</f>
        <v/>
      </c>
      <c r="AR389" s="152">
        <f>SUM(D389,H389,L389,P389,T389,X389,AB389,AF389,AJ389,AN389)+SUM(E389,I389,M389,Q389,U389,Y389,AC389,AG389,AK389,AO389)</f>
        <v/>
      </c>
      <c r="AS389" s="152">
        <f>SUM(F389,J389,N389,R389,V389,Z389,AD389,AH389,AL389,AP389)</f>
        <v/>
      </c>
      <c r="AT389" s="152">
        <f>IF(B389&gt;AS$6,NA(),B389)</f>
        <v/>
      </c>
      <c r="AU389" s="152">
        <f>IF(B389&gt;AS$6,NA(),AS389)</f>
        <v/>
      </c>
      <c r="AV389" s="152" t="n"/>
      <c r="AW389" s="152" t="n">
        <v>378</v>
      </c>
      <c r="AX389" s="152">
        <f>IF(BA388&lt;=0.005,0,BA388*(1+AX$6))</f>
        <v/>
      </c>
      <c r="AY389" s="152">
        <f>MIN(AX389,AX$7)</f>
        <v/>
      </c>
      <c r="AZ389" s="152">
        <f>MAX(0,MIN(AX389-AY389,CL389))</f>
        <v/>
      </c>
      <c r="BA389" s="152">
        <f>AX389-AY389-AZ389</f>
        <v/>
      </c>
      <c r="BB389" s="152">
        <f>IF(BE388&lt;=0.005,0,BE388*(1+BB$6))</f>
        <v/>
      </c>
      <c r="BC389" s="152">
        <f>MIN(BB389,BB$7)</f>
        <v/>
      </c>
      <c r="BD389" s="152">
        <f>MAX(0,MIN(BB389-BC389,CL389-(AZ389)))</f>
        <v/>
      </c>
      <c r="BE389" s="152">
        <f>BB389-BC389-BD389</f>
        <v/>
      </c>
      <c r="BF389" s="152">
        <f>IF(BI388&lt;=0.005,0,BI388*(1+BF$6))</f>
        <v/>
      </c>
      <c r="BG389" s="152">
        <f>MIN(BF389,BF$7)</f>
        <v/>
      </c>
      <c r="BH389" s="152">
        <f>MAX(0,MIN(BF389-BG389,CL389-(AZ389+BD389)))</f>
        <v/>
      </c>
      <c r="BI389" s="152">
        <f>BF389-BG389-BH389</f>
        <v/>
      </c>
      <c r="BJ389" s="152">
        <f>IF(BM388&lt;=0.005,0,BM388*(1+BJ$6))</f>
        <v/>
      </c>
      <c r="BK389" s="152">
        <f>MIN(BJ389,BJ$7)</f>
        <v/>
      </c>
      <c r="BL389" s="152">
        <f>MAX(0,MIN(BJ389-BK389,CL389-(AZ389+BD389+BH389)))</f>
        <v/>
      </c>
      <c r="BM389" s="152">
        <f>BJ389-BK389-BL389</f>
        <v/>
      </c>
      <c r="BN389" s="152">
        <f>IF(BQ388&lt;=0.005,0,BQ388*(1+BN$6))</f>
        <v/>
      </c>
      <c r="BO389" s="152">
        <f>MIN(BN389,BN$7)</f>
        <v/>
      </c>
      <c r="BP389" s="152">
        <f>MAX(0,MIN(BN389-BO389,CL389-(AZ389+BD389+BH389+BL389)))</f>
        <v/>
      </c>
      <c r="BQ389" s="152">
        <f>BN389-BO389-BP389</f>
        <v/>
      </c>
      <c r="BR389" s="152">
        <f>IF(BU388&lt;=0.005,0,BU388*(1+BR$6))</f>
        <v/>
      </c>
      <c r="BS389" s="152">
        <f>MIN(BR389,BR$7)</f>
        <v/>
      </c>
      <c r="BT389" s="152">
        <f>MAX(0,MIN(BR389-BS389,CL389-(AZ389+BD389+BH389+BL389+BP389)))</f>
        <v/>
      </c>
      <c r="BU389" s="152">
        <f>BR389-BS389-BT389</f>
        <v/>
      </c>
      <c r="BV389" s="152">
        <f>IF(BY388&lt;=0.005,0,BY388*(1+BV$6))</f>
        <v/>
      </c>
      <c r="BW389" s="152">
        <f>MIN(BV389,BV$7)</f>
        <v/>
      </c>
      <c r="BX389" s="152">
        <f>MAX(0,MIN(BV389-BW389,CL389-(AZ389+BD389+BH389+BL389+BP389+BT389)))</f>
        <v/>
      </c>
      <c r="BY389" s="152">
        <f>BV389-BW389-BX389</f>
        <v/>
      </c>
      <c r="BZ389" s="152">
        <f>IF(CC388&lt;=0.005,0,CC388*(1+BZ$6))</f>
        <v/>
      </c>
      <c r="CA389" s="152">
        <f>MIN(BZ389,BZ$7)</f>
        <v/>
      </c>
      <c r="CB389" s="152">
        <f>MAX(0,MIN(BZ389-CA389,CL389-(AZ389+BD389+BH389+BL389+BP389+BT389+BX389)))</f>
        <v/>
      </c>
      <c r="CC389" s="152">
        <f>BZ389-CA389-CB389</f>
        <v/>
      </c>
      <c r="CD389" s="152">
        <f>IF(CG388&lt;=0.005,0,CG388*(1+CD$6))</f>
        <v/>
      </c>
      <c r="CE389" s="152">
        <f>MIN(CD389,CD$7)</f>
        <v/>
      </c>
      <c r="CF389" s="152">
        <f>MAX(0,MIN(CD389-CE389,CL389-(AZ389+BD389+BH389+BL389+BP389+BT389+BX389+CB389)))</f>
        <v/>
      </c>
      <c r="CG389" s="152">
        <f>CD389-CE389-CF389</f>
        <v/>
      </c>
      <c r="CH389" s="152">
        <f>IF(CK388&lt;=0.005,0,CK388*(1+CH$6))</f>
        <v/>
      </c>
      <c r="CI389" s="152">
        <f>MIN(CH389,CH$7)</f>
        <v/>
      </c>
      <c r="CJ389" s="152">
        <f>MAX(0,MIN(CH389-CI389,CL389-(AZ389+BD389+BH389+BL389+BP389+BT389+BX389+CB389+CF389)))</f>
        <v/>
      </c>
      <c r="CK389" s="152">
        <f>CH389-CI389-CJ389</f>
        <v/>
      </c>
      <c r="CL389" s="152">
        <f>'Debt Payoff'!$C$8-SUM(AY389,BC389,BG389,BK389,BO389,BS389,BW389,CA389,CE389,CI389)</f>
        <v/>
      </c>
      <c r="CM389" s="152">
        <f>SUM(AY389,BC389,BG389,BK389,BO389,BS389,BW389,CA389,CE389,CI389)+SUM(AZ389,BD389,BH389,BL389,BP389,BT389,BX389,CB389,CF389,CJ389)</f>
        <v/>
      </c>
      <c r="CN389" s="152">
        <f>SUM(BA389,BE389,BI389,BM389,BQ389,BU389,BY389,CC389,CG389,CK389)</f>
        <v/>
      </c>
      <c r="CO389" s="152">
        <f>IF(AW389&gt;CN$6,NA(),AW389)</f>
        <v/>
      </c>
      <c r="CP389" s="152">
        <f>IF(AW389&gt;CN$6,NA(),CN389)</f>
        <v/>
      </c>
    </row>
    <row r="390">
      <c r="B390" s="152" t="n">
        <v>379</v>
      </c>
      <c r="C390" s="152">
        <f>IF(F389&lt;=0.005,0,F389*(1+C$6))</f>
        <v/>
      </c>
      <c r="D390" s="152">
        <f>MIN(C390,C$7)</f>
        <v/>
      </c>
      <c r="E390" s="152">
        <f>MAX(0,MIN(C390-D390,AQ390))</f>
        <v/>
      </c>
      <c r="F390" s="152">
        <f>C390-D390-E390</f>
        <v/>
      </c>
      <c r="G390" s="152">
        <f>IF(J389&lt;=0.005,0,J389*(1+G$6))</f>
        <v/>
      </c>
      <c r="H390" s="152">
        <f>MIN(G390,G$7)</f>
        <v/>
      </c>
      <c r="I390" s="152">
        <f>MAX(0,MIN(G390-H390,AQ390-(E390)))</f>
        <v/>
      </c>
      <c r="J390" s="152">
        <f>G390-H390-I390</f>
        <v/>
      </c>
      <c r="K390" s="152">
        <f>IF(N389&lt;=0.005,0,N389*(1+K$6))</f>
        <v/>
      </c>
      <c r="L390" s="152">
        <f>MIN(K390,K$7)</f>
        <v/>
      </c>
      <c r="M390" s="152">
        <f>MAX(0,MIN(K390-L390,AQ390-(E390+I390)))</f>
        <v/>
      </c>
      <c r="N390" s="152">
        <f>K390-L390-M390</f>
        <v/>
      </c>
      <c r="O390" s="152">
        <f>IF(R389&lt;=0.005,0,R389*(1+O$6))</f>
        <v/>
      </c>
      <c r="P390" s="152">
        <f>MIN(O390,O$7)</f>
        <v/>
      </c>
      <c r="Q390" s="152">
        <f>MAX(0,MIN(O390-P390,AQ390-(E390+I390+M390)))</f>
        <v/>
      </c>
      <c r="R390" s="152">
        <f>O390-P390-Q390</f>
        <v/>
      </c>
      <c r="S390" s="152">
        <f>IF(V389&lt;=0.005,0,V389*(1+S$6))</f>
        <v/>
      </c>
      <c r="T390" s="152">
        <f>MIN(S390,S$7)</f>
        <v/>
      </c>
      <c r="U390" s="152">
        <f>MAX(0,MIN(S390-T390,AQ390-(E390+I390+M390+Q390)))</f>
        <v/>
      </c>
      <c r="V390" s="152">
        <f>S390-T390-U390</f>
        <v/>
      </c>
      <c r="W390" s="152">
        <f>IF(Z389&lt;=0.005,0,Z389*(1+W$6))</f>
        <v/>
      </c>
      <c r="X390" s="152">
        <f>MIN(W390,W$7)</f>
        <v/>
      </c>
      <c r="Y390" s="152">
        <f>MAX(0,MIN(W390-X390,AQ390-(E390+I390+M390+Q390+U390)))</f>
        <v/>
      </c>
      <c r="Z390" s="152">
        <f>W390-X390-Y390</f>
        <v/>
      </c>
      <c r="AA390" s="152">
        <f>IF(AD389&lt;=0.005,0,AD389*(1+AA$6))</f>
        <v/>
      </c>
      <c r="AB390" s="152">
        <f>MIN(AA390,AA$7)</f>
        <v/>
      </c>
      <c r="AC390" s="152">
        <f>MAX(0,MIN(AA390-AB390,AQ390-(E390+I390+M390+Q390+U390+Y390)))</f>
        <v/>
      </c>
      <c r="AD390" s="152">
        <f>AA390-AB390-AC390</f>
        <v/>
      </c>
      <c r="AE390" s="152">
        <f>IF(AH389&lt;=0.005,0,AH389*(1+AE$6))</f>
        <v/>
      </c>
      <c r="AF390" s="152">
        <f>MIN(AE390,AE$7)</f>
        <v/>
      </c>
      <c r="AG390" s="152">
        <f>MAX(0,MIN(AE390-AF390,AQ390-(E390+I390+M390+Q390+U390+Y390+AC390)))</f>
        <v/>
      </c>
      <c r="AH390" s="152">
        <f>AE390-AF390-AG390</f>
        <v/>
      </c>
      <c r="AI390" s="152">
        <f>IF(AL389&lt;=0.005,0,AL389*(1+AI$6))</f>
        <v/>
      </c>
      <c r="AJ390" s="152">
        <f>MIN(AI390,AI$7)</f>
        <v/>
      </c>
      <c r="AK390" s="152">
        <f>MAX(0,MIN(AI390-AJ390,AQ390-(E390+I390+M390+Q390+U390+Y390+AC390+AG390)))</f>
        <v/>
      </c>
      <c r="AL390" s="152">
        <f>AI390-AJ390-AK390</f>
        <v/>
      </c>
      <c r="AM390" s="152">
        <f>IF(AP389&lt;=0.005,0,AP389*(1+AM$6))</f>
        <v/>
      </c>
      <c r="AN390" s="152">
        <f>MIN(AM390,AM$7)</f>
        <v/>
      </c>
      <c r="AO390" s="152">
        <f>MAX(0,MIN(AM390-AN390,AQ390-(E390+I390+M390+Q390+U390+Y390+AC390+AG390+AK390)))</f>
        <v/>
      </c>
      <c r="AP390" s="152">
        <f>AM390-AN390-AO390</f>
        <v/>
      </c>
      <c r="AQ390" s="152">
        <f>'Debt Payoff'!$C$8-SUM(D390,H390,L390,P390,T390,X390,AB390,AF390,AJ390,AN390)</f>
        <v/>
      </c>
      <c r="AR390" s="152">
        <f>SUM(D390,H390,L390,P390,T390,X390,AB390,AF390,AJ390,AN390)+SUM(E390,I390,M390,Q390,U390,Y390,AC390,AG390,AK390,AO390)</f>
        <v/>
      </c>
      <c r="AS390" s="152">
        <f>SUM(F390,J390,N390,R390,V390,Z390,AD390,AH390,AL390,AP390)</f>
        <v/>
      </c>
      <c r="AT390" s="152">
        <f>IF(B390&gt;AS$6,NA(),B390)</f>
        <v/>
      </c>
      <c r="AU390" s="152">
        <f>IF(B390&gt;AS$6,NA(),AS390)</f>
        <v/>
      </c>
      <c r="AV390" s="152" t="n"/>
      <c r="AW390" s="152" t="n">
        <v>379</v>
      </c>
      <c r="AX390" s="152">
        <f>IF(BA389&lt;=0.005,0,BA389*(1+AX$6))</f>
        <v/>
      </c>
      <c r="AY390" s="152">
        <f>MIN(AX390,AX$7)</f>
        <v/>
      </c>
      <c r="AZ390" s="152">
        <f>MAX(0,MIN(AX390-AY390,CL390))</f>
        <v/>
      </c>
      <c r="BA390" s="152">
        <f>AX390-AY390-AZ390</f>
        <v/>
      </c>
      <c r="BB390" s="152">
        <f>IF(BE389&lt;=0.005,0,BE389*(1+BB$6))</f>
        <v/>
      </c>
      <c r="BC390" s="152">
        <f>MIN(BB390,BB$7)</f>
        <v/>
      </c>
      <c r="BD390" s="152">
        <f>MAX(0,MIN(BB390-BC390,CL390-(AZ390)))</f>
        <v/>
      </c>
      <c r="BE390" s="152">
        <f>BB390-BC390-BD390</f>
        <v/>
      </c>
      <c r="BF390" s="152">
        <f>IF(BI389&lt;=0.005,0,BI389*(1+BF$6))</f>
        <v/>
      </c>
      <c r="BG390" s="152">
        <f>MIN(BF390,BF$7)</f>
        <v/>
      </c>
      <c r="BH390" s="152">
        <f>MAX(0,MIN(BF390-BG390,CL390-(AZ390+BD390)))</f>
        <v/>
      </c>
      <c r="BI390" s="152">
        <f>BF390-BG390-BH390</f>
        <v/>
      </c>
      <c r="BJ390" s="152">
        <f>IF(BM389&lt;=0.005,0,BM389*(1+BJ$6))</f>
        <v/>
      </c>
      <c r="BK390" s="152">
        <f>MIN(BJ390,BJ$7)</f>
        <v/>
      </c>
      <c r="BL390" s="152">
        <f>MAX(0,MIN(BJ390-BK390,CL390-(AZ390+BD390+BH390)))</f>
        <v/>
      </c>
      <c r="BM390" s="152">
        <f>BJ390-BK390-BL390</f>
        <v/>
      </c>
      <c r="BN390" s="152">
        <f>IF(BQ389&lt;=0.005,0,BQ389*(1+BN$6))</f>
        <v/>
      </c>
      <c r="BO390" s="152">
        <f>MIN(BN390,BN$7)</f>
        <v/>
      </c>
      <c r="BP390" s="152">
        <f>MAX(0,MIN(BN390-BO390,CL390-(AZ390+BD390+BH390+BL390)))</f>
        <v/>
      </c>
      <c r="BQ390" s="152">
        <f>BN390-BO390-BP390</f>
        <v/>
      </c>
      <c r="BR390" s="152">
        <f>IF(BU389&lt;=0.005,0,BU389*(1+BR$6))</f>
        <v/>
      </c>
      <c r="BS390" s="152">
        <f>MIN(BR390,BR$7)</f>
        <v/>
      </c>
      <c r="BT390" s="152">
        <f>MAX(0,MIN(BR390-BS390,CL390-(AZ390+BD390+BH390+BL390+BP390)))</f>
        <v/>
      </c>
      <c r="BU390" s="152">
        <f>BR390-BS390-BT390</f>
        <v/>
      </c>
      <c r="BV390" s="152">
        <f>IF(BY389&lt;=0.005,0,BY389*(1+BV$6))</f>
        <v/>
      </c>
      <c r="BW390" s="152">
        <f>MIN(BV390,BV$7)</f>
        <v/>
      </c>
      <c r="BX390" s="152">
        <f>MAX(0,MIN(BV390-BW390,CL390-(AZ390+BD390+BH390+BL390+BP390+BT390)))</f>
        <v/>
      </c>
      <c r="BY390" s="152">
        <f>BV390-BW390-BX390</f>
        <v/>
      </c>
      <c r="BZ390" s="152">
        <f>IF(CC389&lt;=0.005,0,CC389*(1+BZ$6))</f>
        <v/>
      </c>
      <c r="CA390" s="152">
        <f>MIN(BZ390,BZ$7)</f>
        <v/>
      </c>
      <c r="CB390" s="152">
        <f>MAX(0,MIN(BZ390-CA390,CL390-(AZ390+BD390+BH390+BL390+BP390+BT390+BX390)))</f>
        <v/>
      </c>
      <c r="CC390" s="152">
        <f>BZ390-CA390-CB390</f>
        <v/>
      </c>
      <c r="CD390" s="152">
        <f>IF(CG389&lt;=0.005,0,CG389*(1+CD$6))</f>
        <v/>
      </c>
      <c r="CE390" s="152">
        <f>MIN(CD390,CD$7)</f>
        <v/>
      </c>
      <c r="CF390" s="152">
        <f>MAX(0,MIN(CD390-CE390,CL390-(AZ390+BD390+BH390+BL390+BP390+BT390+BX390+CB390)))</f>
        <v/>
      </c>
      <c r="CG390" s="152">
        <f>CD390-CE390-CF390</f>
        <v/>
      </c>
      <c r="CH390" s="152">
        <f>IF(CK389&lt;=0.005,0,CK389*(1+CH$6))</f>
        <v/>
      </c>
      <c r="CI390" s="152">
        <f>MIN(CH390,CH$7)</f>
        <v/>
      </c>
      <c r="CJ390" s="152">
        <f>MAX(0,MIN(CH390-CI390,CL390-(AZ390+BD390+BH390+BL390+BP390+BT390+BX390+CB390+CF390)))</f>
        <v/>
      </c>
      <c r="CK390" s="152">
        <f>CH390-CI390-CJ390</f>
        <v/>
      </c>
      <c r="CL390" s="152">
        <f>'Debt Payoff'!$C$8-SUM(AY390,BC390,BG390,BK390,BO390,BS390,BW390,CA390,CE390,CI390)</f>
        <v/>
      </c>
      <c r="CM390" s="152">
        <f>SUM(AY390,BC390,BG390,BK390,BO390,BS390,BW390,CA390,CE390,CI390)+SUM(AZ390,BD390,BH390,BL390,BP390,BT390,BX390,CB390,CF390,CJ390)</f>
        <v/>
      </c>
      <c r="CN390" s="152">
        <f>SUM(BA390,BE390,BI390,BM390,BQ390,BU390,BY390,CC390,CG390,CK390)</f>
        <v/>
      </c>
      <c r="CO390" s="152">
        <f>IF(AW390&gt;CN$6,NA(),AW390)</f>
        <v/>
      </c>
      <c r="CP390" s="152">
        <f>IF(AW390&gt;CN$6,NA(),CN390)</f>
        <v/>
      </c>
    </row>
    <row r="391">
      <c r="B391" s="152" t="n">
        <v>380</v>
      </c>
      <c r="C391" s="152">
        <f>IF(F390&lt;=0.005,0,F390*(1+C$6))</f>
        <v/>
      </c>
      <c r="D391" s="152">
        <f>MIN(C391,C$7)</f>
        <v/>
      </c>
      <c r="E391" s="152">
        <f>MAX(0,MIN(C391-D391,AQ391))</f>
        <v/>
      </c>
      <c r="F391" s="152">
        <f>C391-D391-E391</f>
        <v/>
      </c>
      <c r="G391" s="152">
        <f>IF(J390&lt;=0.005,0,J390*(1+G$6))</f>
        <v/>
      </c>
      <c r="H391" s="152">
        <f>MIN(G391,G$7)</f>
        <v/>
      </c>
      <c r="I391" s="152">
        <f>MAX(0,MIN(G391-H391,AQ391-(E391)))</f>
        <v/>
      </c>
      <c r="J391" s="152">
        <f>G391-H391-I391</f>
        <v/>
      </c>
      <c r="K391" s="152">
        <f>IF(N390&lt;=0.005,0,N390*(1+K$6))</f>
        <v/>
      </c>
      <c r="L391" s="152">
        <f>MIN(K391,K$7)</f>
        <v/>
      </c>
      <c r="M391" s="152">
        <f>MAX(0,MIN(K391-L391,AQ391-(E391+I391)))</f>
        <v/>
      </c>
      <c r="N391" s="152">
        <f>K391-L391-M391</f>
        <v/>
      </c>
      <c r="O391" s="152">
        <f>IF(R390&lt;=0.005,0,R390*(1+O$6))</f>
        <v/>
      </c>
      <c r="P391" s="152">
        <f>MIN(O391,O$7)</f>
        <v/>
      </c>
      <c r="Q391" s="152">
        <f>MAX(0,MIN(O391-P391,AQ391-(E391+I391+M391)))</f>
        <v/>
      </c>
      <c r="R391" s="152">
        <f>O391-P391-Q391</f>
        <v/>
      </c>
      <c r="S391" s="152">
        <f>IF(V390&lt;=0.005,0,V390*(1+S$6))</f>
        <v/>
      </c>
      <c r="T391" s="152">
        <f>MIN(S391,S$7)</f>
        <v/>
      </c>
      <c r="U391" s="152">
        <f>MAX(0,MIN(S391-T391,AQ391-(E391+I391+M391+Q391)))</f>
        <v/>
      </c>
      <c r="V391" s="152">
        <f>S391-T391-U391</f>
        <v/>
      </c>
      <c r="W391" s="152">
        <f>IF(Z390&lt;=0.005,0,Z390*(1+W$6))</f>
        <v/>
      </c>
      <c r="X391" s="152">
        <f>MIN(W391,W$7)</f>
        <v/>
      </c>
      <c r="Y391" s="152">
        <f>MAX(0,MIN(W391-X391,AQ391-(E391+I391+M391+Q391+U391)))</f>
        <v/>
      </c>
      <c r="Z391" s="152">
        <f>W391-X391-Y391</f>
        <v/>
      </c>
      <c r="AA391" s="152">
        <f>IF(AD390&lt;=0.005,0,AD390*(1+AA$6))</f>
        <v/>
      </c>
      <c r="AB391" s="152">
        <f>MIN(AA391,AA$7)</f>
        <v/>
      </c>
      <c r="AC391" s="152">
        <f>MAX(0,MIN(AA391-AB391,AQ391-(E391+I391+M391+Q391+U391+Y391)))</f>
        <v/>
      </c>
      <c r="AD391" s="152">
        <f>AA391-AB391-AC391</f>
        <v/>
      </c>
      <c r="AE391" s="152">
        <f>IF(AH390&lt;=0.005,0,AH390*(1+AE$6))</f>
        <v/>
      </c>
      <c r="AF391" s="152">
        <f>MIN(AE391,AE$7)</f>
        <v/>
      </c>
      <c r="AG391" s="152">
        <f>MAX(0,MIN(AE391-AF391,AQ391-(E391+I391+M391+Q391+U391+Y391+AC391)))</f>
        <v/>
      </c>
      <c r="AH391" s="152">
        <f>AE391-AF391-AG391</f>
        <v/>
      </c>
      <c r="AI391" s="152">
        <f>IF(AL390&lt;=0.005,0,AL390*(1+AI$6))</f>
        <v/>
      </c>
      <c r="AJ391" s="152">
        <f>MIN(AI391,AI$7)</f>
        <v/>
      </c>
      <c r="AK391" s="152">
        <f>MAX(0,MIN(AI391-AJ391,AQ391-(E391+I391+M391+Q391+U391+Y391+AC391+AG391)))</f>
        <v/>
      </c>
      <c r="AL391" s="152">
        <f>AI391-AJ391-AK391</f>
        <v/>
      </c>
      <c r="AM391" s="152">
        <f>IF(AP390&lt;=0.005,0,AP390*(1+AM$6))</f>
        <v/>
      </c>
      <c r="AN391" s="152">
        <f>MIN(AM391,AM$7)</f>
        <v/>
      </c>
      <c r="AO391" s="152">
        <f>MAX(0,MIN(AM391-AN391,AQ391-(E391+I391+M391+Q391+U391+Y391+AC391+AG391+AK391)))</f>
        <v/>
      </c>
      <c r="AP391" s="152">
        <f>AM391-AN391-AO391</f>
        <v/>
      </c>
      <c r="AQ391" s="152">
        <f>'Debt Payoff'!$C$8-SUM(D391,H391,L391,P391,T391,X391,AB391,AF391,AJ391,AN391)</f>
        <v/>
      </c>
      <c r="AR391" s="152">
        <f>SUM(D391,H391,L391,P391,T391,X391,AB391,AF391,AJ391,AN391)+SUM(E391,I391,M391,Q391,U391,Y391,AC391,AG391,AK391,AO391)</f>
        <v/>
      </c>
      <c r="AS391" s="152">
        <f>SUM(F391,J391,N391,R391,V391,Z391,AD391,AH391,AL391,AP391)</f>
        <v/>
      </c>
      <c r="AT391" s="152">
        <f>IF(B391&gt;AS$6,NA(),B391)</f>
        <v/>
      </c>
      <c r="AU391" s="152">
        <f>IF(B391&gt;AS$6,NA(),AS391)</f>
        <v/>
      </c>
      <c r="AV391" s="152" t="n"/>
      <c r="AW391" s="152" t="n">
        <v>380</v>
      </c>
      <c r="AX391" s="152">
        <f>IF(BA390&lt;=0.005,0,BA390*(1+AX$6))</f>
        <v/>
      </c>
      <c r="AY391" s="152">
        <f>MIN(AX391,AX$7)</f>
        <v/>
      </c>
      <c r="AZ391" s="152">
        <f>MAX(0,MIN(AX391-AY391,CL391))</f>
        <v/>
      </c>
      <c r="BA391" s="152">
        <f>AX391-AY391-AZ391</f>
        <v/>
      </c>
      <c r="BB391" s="152">
        <f>IF(BE390&lt;=0.005,0,BE390*(1+BB$6))</f>
        <v/>
      </c>
      <c r="BC391" s="152">
        <f>MIN(BB391,BB$7)</f>
        <v/>
      </c>
      <c r="BD391" s="152">
        <f>MAX(0,MIN(BB391-BC391,CL391-(AZ391)))</f>
        <v/>
      </c>
      <c r="BE391" s="152">
        <f>BB391-BC391-BD391</f>
        <v/>
      </c>
      <c r="BF391" s="152">
        <f>IF(BI390&lt;=0.005,0,BI390*(1+BF$6))</f>
        <v/>
      </c>
      <c r="BG391" s="152">
        <f>MIN(BF391,BF$7)</f>
        <v/>
      </c>
      <c r="BH391" s="152">
        <f>MAX(0,MIN(BF391-BG391,CL391-(AZ391+BD391)))</f>
        <v/>
      </c>
      <c r="BI391" s="152">
        <f>BF391-BG391-BH391</f>
        <v/>
      </c>
      <c r="BJ391" s="152">
        <f>IF(BM390&lt;=0.005,0,BM390*(1+BJ$6))</f>
        <v/>
      </c>
      <c r="BK391" s="152">
        <f>MIN(BJ391,BJ$7)</f>
        <v/>
      </c>
      <c r="BL391" s="152">
        <f>MAX(0,MIN(BJ391-BK391,CL391-(AZ391+BD391+BH391)))</f>
        <v/>
      </c>
      <c r="BM391" s="152">
        <f>BJ391-BK391-BL391</f>
        <v/>
      </c>
      <c r="BN391" s="152">
        <f>IF(BQ390&lt;=0.005,0,BQ390*(1+BN$6))</f>
        <v/>
      </c>
      <c r="BO391" s="152">
        <f>MIN(BN391,BN$7)</f>
        <v/>
      </c>
      <c r="BP391" s="152">
        <f>MAX(0,MIN(BN391-BO391,CL391-(AZ391+BD391+BH391+BL391)))</f>
        <v/>
      </c>
      <c r="BQ391" s="152">
        <f>BN391-BO391-BP391</f>
        <v/>
      </c>
      <c r="BR391" s="152">
        <f>IF(BU390&lt;=0.005,0,BU390*(1+BR$6))</f>
        <v/>
      </c>
      <c r="BS391" s="152">
        <f>MIN(BR391,BR$7)</f>
        <v/>
      </c>
      <c r="BT391" s="152">
        <f>MAX(0,MIN(BR391-BS391,CL391-(AZ391+BD391+BH391+BL391+BP391)))</f>
        <v/>
      </c>
      <c r="BU391" s="152">
        <f>BR391-BS391-BT391</f>
        <v/>
      </c>
      <c r="BV391" s="152">
        <f>IF(BY390&lt;=0.005,0,BY390*(1+BV$6))</f>
        <v/>
      </c>
      <c r="BW391" s="152">
        <f>MIN(BV391,BV$7)</f>
        <v/>
      </c>
      <c r="BX391" s="152">
        <f>MAX(0,MIN(BV391-BW391,CL391-(AZ391+BD391+BH391+BL391+BP391+BT391)))</f>
        <v/>
      </c>
      <c r="BY391" s="152">
        <f>BV391-BW391-BX391</f>
        <v/>
      </c>
      <c r="BZ391" s="152">
        <f>IF(CC390&lt;=0.005,0,CC390*(1+BZ$6))</f>
        <v/>
      </c>
      <c r="CA391" s="152">
        <f>MIN(BZ391,BZ$7)</f>
        <v/>
      </c>
      <c r="CB391" s="152">
        <f>MAX(0,MIN(BZ391-CA391,CL391-(AZ391+BD391+BH391+BL391+BP391+BT391+BX391)))</f>
        <v/>
      </c>
      <c r="CC391" s="152">
        <f>BZ391-CA391-CB391</f>
        <v/>
      </c>
      <c r="CD391" s="152">
        <f>IF(CG390&lt;=0.005,0,CG390*(1+CD$6))</f>
        <v/>
      </c>
      <c r="CE391" s="152">
        <f>MIN(CD391,CD$7)</f>
        <v/>
      </c>
      <c r="CF391" s="152">
        <f>MAX(0,MIN(CD391-CE391,CL391-(AZ391+BD391+BH391+BL391+BP391+BT391+BX391+CB391)))</f>
        <v/>
      </c>
      <c r="CG391" s="152">
        <f>CD391-CE391-CF391</f>
        <v/>
      </c>
      <c r="CH391" s="152">
        <f>IF(CK390&lt;=0.005,0,CK390*(1+CH$6))</f>
        <v/>
      </c>
      <c r="CI391" s="152">
        <f>MIN(CH391,CH$7)</f>
        <v/>
      </c>
      <c r="CJ391" s="152">
        <f>MAX(0,MIN(CH391-CI391,CL391-(AZ391+BD391+BH391+BL391+BP391+BT391+BX391+CB391+CF391)))</f>
        <v/>
      </c>
      <c r="CK391" s="152">
        <f>CH391-CI391-CJ391</f>
        <v/>
      </c>
      <c r="CL391" s="152">
        <f>'Debt Payoff'!$C$8-SUM(AY391,BC391,BG391,BK391,BO391,BS391,BW391,CA391,CE391,CI391)</f>
        <v/>
      </c>
      <c r="CM391" s="152">
        <f>SUM(AY391,BC391,BG391,BK391,BO391,BS391,BW391,CA391,CE391,CI391)+SUM(AZ391,BD391,BH391,BL391,BP391,BT391,BX391,CB391,CF391,CJ391)</f>
        <v/>
      </c>
      <c r="CN391" s="152">
        <f>SUM(BA391,BE391,BI391,BM391,BQ391,BU391,BY391,CC391,CG391,CK391)</f>
        <v/>
      </c>
      <c r="CO391" s="152">
        <f>IF(AW391&gt;CN$6,NA(),AW391)</f>
        <v/>
      </c>
      <c r="CP391" s="152">
        <f>IF(AW391&gt;CN$6,NA(),CN391)</f>
        <v/>
      </c>
    </row>
    <row r="392">
      <c r="B392" s="152" t="n">
        <v>381</v>
      </c>
      <c r="C392" s="152">
        <f>IF(F391&lt;=0.005,0,F391*(1+C$6))</f>
        <v/>
      </c>
      <c r="D392" s="152">
        <f>MIN(C392,C$7)</f>
        <v/>
      </c>
      <c r="E392" s="152">
        <f>MAX(0,MIN(C392-D392,AQ392))</f>
        <v/>
      </c>
      <c r="F392" s="152">
        <f>C392-D392-E392</f>
        <v/>
      </c>
      <c r="G392" s="152">
        <f>IF(J391&lt;=0.005,0,J391*(1+G$6))</f>
        <v/>
      </c>
      <c r="H392" s="152">
        <f>MIN(G392,G$7)</f>
        <v/>
      </c>
      <c r="I392" s="152">
        <f>MAX(0,MIN(G392-H392,AQ392-(E392)))</f>
        <v/>
      </c>
      <c r="J392" s="152">
        <f>G392-H392-I392</f>
        <v/>
      </c>
      <c r="K392" s="152">
        <f>IF(N391&lt;=0.005,0,N391*(1+K$6))</f>
        <v/>
      </c>
      <c r="L392" s="152">
        <f>MIN(K392,K$7)</f>
        <v/>
      </c>
      <c r="M392" s="152">
        <f>MAX(0,MIN(K392-L392,AQ392-(E392+I392)))</f>
        <v/>
      </c>
      <c r="N392" s="152">
        <f>K392-L392-M392</f>
        <v/>
      </c>
      <c r="O392" s="152">
        <f>IF(R391&lt;=0.005,0,R391*(1+O$6))</f>
        <v/>
      </c>
      <c r="P392" s="152">
        <f>MIN(O392,O$7)</f>
        <v/>
      </c>
      <c r="Q392" s="152">
        <f>MAX(0,MIN(O392-P392,AQ392-(E392+I392+M392)))</f>
        <v/>
      </c>
      <c r="R392" s="152">
        <f>O392-P392-Q392</f>
        <v/>
      </c>
      <c r="S392" s="152">
        <f>IF(V391&lt;=0.005,0,V391*(1+S$6))</f>
        <v/>
      </c>
      <c r="T392" s="152">
        <f>MIN(S392,S$7)</f>
        <v/>
      </c>
      <c r="U392" s="152">
        <f>MAX(0,MIN(S392-T392,AQ392-(E392+I392+M392+Q392)))</f>
        <v/>
      </c>
      <c r="V392" s="152">
        <f>S392-T392-U392</f>
        <v/>
      </c>
      <c r="W392" s="152">
        <f>IF(Z391&lt;=0.005,0,Z391*(1+W$6))</f>
        <v/>
      </c>
      <c r="X392" s="152">
        <f>MIN(W392,W$7)</f>
        <v/>
      </c>
      <c r="Y392" s="152">
        <f>MAX(0,MIN(W392-X392,AQ392-(E392+I392+M392+Q392+U392)))</f>
        <v/>
      </c>
      <c r="Z392" s="152">
        <f>W392-X392-Y392</f>
        <v/>
      </c>
      <c r="AA392" s="152">
        <f>IF(AD391&lt;=0.005,0,AD391*(1+AA$6))</f>
        <v/>
      </c>
      <c r="AB392" s="152">
        <f>MIN(AA392,AA$7)</f>
        <v/>
      </c>
      <c r="AC392" s="152">
        <f>MAX(0,MIN(AA392-AB392,AQ392-(E392+I392+M392+Q392+U392+Y392)))</f>
        <v/>
      </c>
      <c r="AD392" s="152">
        <f>AA392-AB392-AC392</f>
        <v/>
      </c>
      <c r="AE392" s="152">
        <f>IF(AH391&lt;=0.005,0,AH391*(1+AE$6))</f>
        <v/>
      </c>
      <c r="AF392" s="152">
        <f>MIN(AE392,AE$7)</f>
        <v/>
      </c>
      <c r="AG392" s="152">
        <f>MAX(0,MIN(AE392-AF392,AQ392-(E392+I392+M392+Q392+U392+Y392+AC392)))</f>
        <v/>
      </c>
      <c r="AH392" s="152">
        <f>AE392-AF392-AG392</f>
        <v/>
      </c>
      <c r="AI392" s="152">
        <f>IF(AL391&lt;=0.005,0,AL391*(1+AI$6))</f>
        <v/>
      </c>
      <c r="AJ392" s="152">
        <f>MIN(AI392,AI$7)</f>
        <v/>
      </c>
      <c r="AK392" s="152">
        <f>MAX(0,MIN(AI392-AJ392,AQ392-(E392+I392+M392+Q392+U392+Y392+AC392+AG392)))</f>
        <v/>
      </c>
      <c r="AL392" s="152">
        <f>AI392-AJ392-AK392</f>
        <v/>
      </c>
      <c r="AM392" s="152">
        <f>IF(AP391&lt;=0.005,0,AP391*(1+AM$6))</f>
        <v/>
      </c>
      <c r="AN392" s="152">
        <f>MIN(AM392,AM$7)</f>
        <v/>
      </c>
      <c r="AO392" s="152">
        <f>MAX(0,MIN(AM392-AN392,AQ392-(E392+I392+M392+Q392+U392+Y392+AC392+AG392+AK392)))</f>
        <v/>
      </c>
      <c r="AP392" s="152">
        <f>AM392-AN392-AO392</f>
        <v/>
      </c>
      <c r="AQ392" s="152">
        <f>'Debt Payoff'!$C$8-SUM(D392,H392,L392,P392,T392,X392,AB392,AF392,AJ392,AN392)</f>
        <v/>
      </c>
      <c r="AR392" s="152">
        <f>SUM(D392,H392,L392,P392,T392,X392,AB392,AF392,AJ392,AN392)+SUM(E392,I392,M392,Q392,U392,Y392,AC392,AG392,AK392,AO392)</f>
        <v/>
      </c>
      <c r="AS392" s="152">
        <f>SUM(F392,J392,N392,R392,V392,Z392,AD392,AH392,AL392,AP392)</f>
        <v/>
      </c>
      <c r="AT392" s="152">
        <f>IF(B392&gt;AS$6,NA(),B392)</f>
        <v/>
      </c>
      <c r="AU392" s="152">
        <f>IF(B392&gt;AS$6,NA(),AS392)</f>
        <v/>
      </c>
      <c r="AV392" s="152" t="n"/>
      <c r="AW392" s="152" t="n">
        <v>381</v>
      </c>
      <c r="AX392" s="152">
        <f>IF(BA391&lt;=0.005,0,BA391*(1+AX$6))</f>
        <v/>
      </c>
      <c r="AY392" s="152">
        <f>MIN(AX392,AX$7)</f>
        <v/>
      </c>
      <c r="AZ392" s="152">
        <f>MAX(0,MIN(AX392-AY392,CL392))</f>
        <v/>
      </c>
      <c r="BA392" s="152">
        <f>AX392-AY392-AZ392</f>
        <v/>
      </c>
      <c r="BB392" s="152">
        <f>IF(BE391&lt;=0.005,0,BE391*(1+BB$6))</f>
        <v/>
      </c>
      <c r="BC392" s="152">
        <f>MIN(BB392,BB$7)</f>
        <v/>
      </c>
      <c r="BD392" s="152">
        <f>MAX(0,MIN(BB392-BC392,CL392-(AZ392)))</f>
        <v/>
      </c>
      <c r="BE392" s="152">
        <f>BB392-BC392-BD392</f>
        <v/>
      </c>
      <c r="BF392" s="152">
        <f>IF(BI391&lt;=0.005,0,BI391*(1+BF$6))</f>
        <v/>
      </c>
      <c r="BG392" s="152">
        <f>MIN(BF392,BF$7)</f>
        <v/>
      </c>
      <c r="BH392" s="152">
        <f>MAX(0,MIN(BF392-BG392,CL392-(AZ392+BD392)))</f>
        <v/>
      </c>
      <c r="BI392" s="152">
        <f>BF392-BG392-BH392</f>
        <v/>
      </c>
      <c r="BJ392" s="152">
        <f>IF(BM391&lt;=0.005,0,BM391*(1+BJ$6))</f>
        <v/>
      </c>
      <c r="BK392" s="152">
        <f>MIN(BJ392,BJ$7)</f>
        <v/>
      </c>
      <c r="BL392" s="152">
        <f>MAX(0,MIN(BJ392-BK392,CL392-(AZ392+BD392+BH392)))</f>
        <v/>
      </c>
      <c r="BM392" s="152">
        <f>BJ392-BK392-BL392</f>
        <v/>
      </c>
      <c r="BN392" s="152">
        <f>IF(BQ391&lt;=0.005,0,BQ391*(1+BN$6))</f>
        <v/>
      </c>
      <c r="BO392" s="152">
        <f>MIN(BN392,BN$7)</f>
        <v/>
      </c>
      <c r="BP392" s="152">
        <f>MAX(0,MIN(BN392-BO392,CL392-(AZ392+BD392+BH392+BL392)))</f>
        <v/>
      </c>
      <c r="BQ392" s="152">
        <f>BN392-BO392-BP392</f>
        <v/>
      </c>
      <c r="BR392" s="152">
        <f>IF(BU391&lt;=0.005,0,BU391*(1+BR$6))</f>
        <v/>
      </c>
      <c r="BS392" s="152">
        <f>MIN(BR392,BR$7)</f>
        <v/>
      </c>
      <c r="BT392" s="152">
        <f>MAX(0,MIN(BR392-BS392,CL392-(AZ392+BD392+BH392+BL392+BP392)))</f>
        <v/>
      </c>
      <c r="BU392" s="152">
        <f>BR392-BS392-BT392</f>
        <v/>
      </c>
      <c r="BV392" s="152">
        <f>IF(BY391&lt;=0.005,0,BY391*(1+BV$6))</f>
        <v/>
      </c>
      <c r="BW392" s="152">
        <f>MIN(BV392,BV$7)</f>
        <v/>
      </c>
      <c r="BX392" s="152">
        <f>MAX(0,MIN(BV392-BW392,CL392-(AZ392+BD392+BH392+BL392+BP392+BT392)))</f>
        <v/>
      </c>
      <c r="BY392" s="152">
        <f>BV392-BW392-BX392</f>
        <v/>
      </c>
      <c r="BZ392" s="152">
        <f>IF(CC391&lt;=0.005,0,CC391*(1+BZ$6))</f>
        <v/>
      </c>
      <c r="CA392" s="152">
        <f>MIN(BZ392,BZ$7)</f>
        <v/>
      </c>
      <c r="CB392" s="152">
        <f>MAX(0,MIN(BZ392-CA392,CL392-(AZ392+BD392+BH392+BL392+BP392+BT392+BX392)))</f>
        <v/>
      </c>
      <c r="CC392" s="152">
        <f>BZ392-CA392-CB392</f>
        <v/>
      </c>
      <c r="CD392" s="152">
        <f>IF(CG391&lt;=0.005,0,CG391*(1+CD$6))</f>
        <v/>
      </c>
      <c r="CE392" s="152">
        <f>MIN(CD392,CD$7)</f>
        <v/>
      </c>
      <c r="CF392" s="152">
        <f>MAX(0,MIN(CD392-CE392,CL392-(AZ392+BD392+BH392+BL392+BP392+BT392+BX392+CB392)))</f>
        <v/>
      </c>
      <c r="CG392" s="152">
        <f>CD392-CE392-CF392</f>
        <v/>
      </c>
      <c r="CH392" s="152">
        <f>IF(CK391&lt;=0.005,0,CK391*(1+CH$6))</f>
        <v/>
      </c>
      <c r="CI392" s="152">
        <f>MIN(CH392,CH$7)</f>
        <v/>
      </c>
      <c r="CJ392" s="152">
        <f>MAX(0,MIN(CH392-CI392,CL392-(AZ392+BD392+BH392+BL392+BP392+BT392+BX392+CB392+CF392)))</f>
        <v/>
      </c>
      <c r="CK392" s="152">
        <f>CH392-CI392-CJ392</f>
        <v/>
      </c>
      <c r="CL392" s="152">
        <f>'Debt Payoff'!$C$8-SUM(AY392,BC392,BG392,BK392,BO392,BS392,BW392,CA392,CE392,CI392)</f>
        <v/>
      </c>
      <c r="CM392" s="152">
        <f>SUM(AY392,BC392,BG392,BK392,BO392,BS392,BW392,CA392,CE392,CI392)+SUM(AZ392,BD392,BH392,BL392,BP392,BT392,BX392,CB392,CF392,CJ392)</f>
        <v/>
      </c>
      <c r="CN392" s="152">
        <f>SUM(BA392,BE392,BI392,BM392,BQ392,BU392,BY392,CC392,CG392,CK392)</f>
        <v/>
      </c>
      <c r="CO392" s="152">
        <f>IF(AW392&gt;CN$6,NA(),AW392)</f>
        <v/>
      </c>
      <c r="CP392" s="152">
        <f>IF(AW392&gt;CN$6,NA(),CN392)</f>
        <v/>
      </c>
    </row>
    <row r="393">
      <c r="B393" s="152" t="n">
        <v>382</v>
      </c>
      <c r="C393" s="152">
        <f>IF(F392&lt;=0.005,0,F392*(1+C$6))</f>
        <v/>
      </c>
      <c r="D393" s="152">
        <f>MIN(C393,C$7)</f>
        <v/>
      </c>
      <c r="E393" s="152">
        <f>MAX(0,MIN(C393-D393,AQ393))</f>
        <v/>
      </c>
      <c r="F393" s="152">
        <f>C393-D393-E393</f>
        <v/>
      </c>
      <c r="G393" s="152">
        <f>IF(J392&lt;=0.005,0,J392*(1+G$6))</f>
        <v/>
      </c>
      <c r="H393" s="152">
        <f>MIN(G393,G$7)</f>
        <v/>
      </c>
      <c r="I393" s="152">
        <f>MAX(0,MIN(G393-H393,AQ393-(E393)))</f>
        <v/>
      </c>
      <c r="J393" s="152">
        <f>G393-H393-I393</f>
        <v/>
      </c>
      <c r="K393" s="152">
        <f>IF(N392&lt;=0.005,0,N392*(1+K$6))</f>
        <v/>
      </c>
      <c r="L393" s="152">
        <f>MIN(K393,K$7)</f>
        <v/>
      </c>
      <c r="M393" s="152">
        <f>MAX(0,MIN(K393-L393,AQ393-(E393+I393)))</f>
        <v/>
      </c>
      <c r="N393" s="152">
        <f>K393-L393-M393</f>
        <v/>
      </c>
      <c r="O393" s="152">
        <f>IF(R392&lt;=0.005,0,R392*(1+O$6))</f>
        <v/>
      </c>
      <c r="P393" s="152">
        <f>MIN(O393,O$7)</f>
        <v/>
      </c>
      <c r="Q393" s="152">
        <f>MAX(0,MIN(O393-P393,AQ393-(E393+I393+M393)))</f>
        <v/>
      </c>
      <c r="R393" s="152">
        <f>O393-P393-Q393</f>
        <v/>
      </c>
      <c r="S393" s="152">
        <f>IF(V392&lt;=0.005,0,V392*(1+S$6))</f>
        <v/>
      </c>
      <c r="T393" s="152">
        <f>MIN(S393,S$7)</f>
        <v/>
      </c>
      <c r="U393" s="152">
        <f>MAX(0,MIN(S393-T393,AQ393-(E393+I393+M393+Q393)))</f>
        <v/>
      </c>
      <c r="V393" s="152">
        <f>S393-T393-U393</f>
        <v/>
      </c>
      <c r="W393" s="152">
        <f>IF(Z392&lt;=0.005,0,Z392*(1+W$6))</f>
        <v/>
      </c>
      <c r="X393" s="152">
        <f>MIN(W393,W$7)</f>
        <v/>
      </c>
      <c r="Y393" s="152">
        <f>MAX(0,MIN(W393-X393,AQ393-(E393+I393+M393+Q393+U393)))</f>
        <v/>
      </c>
      <c r="Z393" s="152">
        <f>W393-X393-Y393</f>
        <v/>
      </c>
      <c r="AA393" s="152">
        <f>IF(AD392&lt;=0.005,0,AD392*(1+AA$6))</f>
        <v/>
      </c>
      <c r="AB393" s="152">
        <f>MIN(AA393,AA$7)</f>
        <v/>
      </c>
      <c r="AC393" s="152">
        <f>MAX(0,MIN(AA393-AB393,AQ393-(E393+I393+M393+Q393+U393+Y393)))</f>
        <v/>
      </c>
      <c r="AD393" s="152">
        <f>AA393-AB393-AC393</f>
        <v/>
      </c>
      <c r="AE393" s="152">
        <f>IF(AH392&lt;=0.005,0,AH392*(1+AE$6))</f>
        <v/>
      </c>
      <c r="AF393" s="152">
        <f>MIN(AE393,AE$7)</f>
        <v/>
      </c>
      <c r="AG393" s="152">
        <f>MAX(0,MIN(AE393-AF393,AQ393-(E393+I393+M393+Q393+U393+Y393+AC393)))</f>
        <v/>
      </c>
      <c r="AH393" s="152">
        <f>AE393-AF393-AG393</f>
        <v/>
      </c>
      <c r="AI393" s="152">
        <f>IF(AL392&lt;=0.005,0,AL392*(1+AI$6))</f>
        <v/>
      </c>
      <c r="AJ393" s="152">
        <f>MIN(AI393,AI$7)</f>
        <v/>
      </c>
      <c r="AK393" s="152">
        <f>MAX(0,MIN(AI393-AJ393,AQ393-(E393+I393+M393+Q393+U393+Y393+AC393+AG393)))</f>
        <v/>
      </c>
      <c r="AL393" s="152">
        <f>AI393-AJ393-AK393</f>
        <v/>
      </c>
      <c r="AM393" s="152">
        <f>IF(AP392&lt;=0.005,0,AP392*(1+AM$6))</f>
        <v/>
      </c>
      <c r="AN393" s="152">
        <f>MIN(AM393,AM$7)</f>
        <v/>
      </c>
      <c r="AO393" s="152">
        <f>MAX(0,MIN(AM393-AN393,AQ393-(E393+I393+M393+Q393+U393+Y393+AC393+AG393+AK393)))</f>
        <v/>
      </c>
      <c r="AP393" s="152">
        <f>AM393-AN393-AO393</f>
        <v/>
      </c>
      <c r="AQ393" s="152">
        <f>'Debt Payoff'!$C$8-SUM(D393,H393,L393,P393,T393,X393,AB393,AF393,AJ393,AN393)</f>
        <v/>
      </c>
      <c r="AR393" s="152">
        <f>SUM(D393,H393,L393,P393,T393,X393,AB393,AF393,AJ393,AN393)+SUM(E393,I393,M393,Q393,U393,Y393,AC393,AG393,AK393,AO393)</f>
        <v/>
      </c>
      <c r="AS393" s="152">
        <f>SUM(F393,J393,N393,R393,V393,Z393,AD393,AH393,AL393,AP393)</f>
        <v/>
      </c>
      <c r="AT393" s="152">
        <f>IF(B393&gt;AS$6,NA(),B393)</f>
        <v/>
      </c>
      <c r="AU393" s="152">
        <f>IF(B393&gt;AS$6,NA(),AS393)</f>
        <v/>
      </c>
      <c r="AV393" s="152" t="n"/>
      <c r="AW393" s="152" t="n">
        <v>382</v>
      </c>
      <c r="AX393" s="152">
        <f>IF(BA392&lt;=0.005,0,BA392*(1+AX$6))</f>
        <v/>
      </c>
      <c r="AY393" s="152">
        <f>MIN(AX393,AX$7)</f>
        <v/>
      </c>
      <c r="AZ393" s="152">
        <f>MAX(0,MIN(AX393-AY393,CL393))</f>
        <v/>
      </c>
      <c r="BA393" s="152">
        <f>AX393-AY393-AZ393</f>
        <v/>
      </c>
      <c r="BB393" s="152">
        <f>IF(BE392&lt;=0.005,0,BE392*(1+BB$6))</f>
        <v/>
      </c>
      <c r="BC393" s="152">
        <f>MIN(BB393,BB$7)</f>
        <v/>
      </c>
      <c r="BD393" s="152">
        <f>MAX(0,MIN(BB393-BC393,CL393-(AZ393)))</f>
        <v/>
      </c>
      <c r="BE393" s="152">
        <f>BB393-BC393-BD393</f>
        <v/>
      </c>
      <c r="BF393" s="152">
        <f>IF(BI392&lt;=0.005,0,BI392*(1+BF$6))</f>
        <v/>
      </c>
      <c r="BG393" s="152">
        <f>MIN(BF393,BF$7)</f>
        <v/>
      </c>
      <c r="BH393" s="152">
        <f>MAX(0,MIN(BF393-BG393,CL393-(AZ393+BD393)))</f>
        <v/>
      </c>
      <c r="BI393" s="152">
        <f>BF393-BG393-BH393</f>
        <v/>
      </c>
      <c r="BJ393" s="152">
        <f>IF(BM392&lt;=0.005,0,BM392*(1+BJ$6))</f>
        <v/>
      </c>
      <c r="BK393" s="152">
        <f>MIN(BJ393,BJ$7)</f>
        <v/>
      </c>
      <c r="BL393" s="152">
        <f>MAX(0,MIN(BJ393-BK393,CL393-(AZ393+BD393+BH393)))</f>
        <v/>
      </c>
      <c r="BM393" s="152">
        <f>BJ393-BK393-BL393</f>
        <v/>
      </c>
      <c r="BN393" s="152">
        <f>IF(BQ392&lt;=0.005,0,BQ392*(1+BN$6))</f>
        <v/>
      </c>
      <c r="BO393" s="152">
        <f>MIN(BN393,BN$7)</f>
        <v/>
      </c>
      <c r="BP393" s="152">
        <f>MAX(0,MIN(BN393-BO393,CL393-(AZ393+BD393+BH393+BL393)))</f>
        <v/>
      </c>
      <c r="BQ393" s="152">
        <f>BN393-BO393-BP393</f>
        <v/>
      </c>
      <c r="BR393" s="152">
        <f>IF(BU392&lt;=0.005,0,BU392*(1+BR$6))</f>
        <v/>
      </c>
      <c r="BS393" s="152">
        <f>MIN(BR393,BR$7)</f>
        <v/>
      </c>
      <c r="BT393" s="152">
        <f>MAX(0,MIN(BR393-BS393,CL393-(AZ393+BD393+BH393+BL393+BP393)))</f>
        <v/>
      </c>
      <c r="BU393" s="152">
        <f>BR393-BS393-BT393</f>
        <v/>
      </c>
      <c r="BV393" s="152">
        <f>IF(BY392&lt;=0.005,0,BY392*(1+BV$6))</f>
        <v/>
      </c>
      <c r="BW393" s="152">
        <f>MIN(BV393,BV$7)</f>
        <v/>
      </c>
      <c r="BX393" s="152">
        <f>MAX(0,MIN(BV393-BW393,CL393-(AZ393+BD393+BH393+BL393+BP393+BT393)))</f>
        <v/>
      </c>
      <c r="BY393" s="152">
        <f>BV393-BW393-BX393</f>
        <v/>
      </c>
      <c r="BZ393" s="152">
        <f>IF(CC392&lt;=0.005,0,CC392*(1+BZ$6))</f>
        <v/>
      </c>
      <c r="CA393" s="152">
        <f>MIN(BZ393,BZ$7)</f>
        <v/>
      </c>
      <c r="CB393" s="152">
        <f>MAX(0,MIN(BZ393-CA393,CL393-(AZ393+BD393+BH393+BL393+BP393+BT393+BX393)))</f>
        <v/>
      </c>
      <c r="CC393" s="152">
        <f>BZ393-CA393-CB393</f>
        <v/>
      </c>
      <c r="CD393" s="152">
        <f>IF(CG392&lt;=0.005,0,CG392*(1+CD$6))</f>
        <v/>
      </c>
      <c r="CE393" s="152">
        <f>MIN(CD393,CD$7)</f>
        <v/>
      </c>
      <c r="CF393" s="152">
        <f>MAX(0,MIN(CD393-CE393,CL393-(AZ393+BD393+BH393+BL393+BP393+BT393+BX393+CB393)))</f>
        <v/>
      </c>
      <c r="CG393" s="152">
        <f>CD393-CE393-CF393</f>
        <v/>
      </c>
      <c r="CH393" s="152">
        <f>IF(CK392&lt;=0.005,0,CK392*(1+CH$6))</f>
        <v/>
      </c>
      <c r="CI393" s="152">
        <f>MIN(CH393,CH$7)</f>
        <v/>
      </c>
      <c r="CJ393" s="152">
        <f>MAX(0,MIN(CH393-CI393,CL393-(AZ393+BD393+BH393+BL393+BP393+BT393+BX393+CB393+CF393)))</f>
        <v/>
      </c>
      <c r="CK393" s="152">
        <f>CH393-CI393-CJ393</f>
        <v/>
      </c>
      <c r="CL393" s="152">
        <f>'Debt Payoff'!$C$8-SUM(AY393,BC393,BG393,BK393,BO393,BS393,BW393,CA393,CE393,CI393)</f>
        <v/>
      </c>
      <c r="CM393" s="152">
        <f>SUM(AY393,BC393,BG393,BK393,BO393,BS393,BW393,CA393,CE393,CI393)+SUM(AZ393,BD393,BH393,BL393,BP393,BT393,BX393,CB393,CF393,CJ393)</f>
        <v/>
      </c>
      <c r="CN393" s="152">
        <f>SUM(BA393,BE393,BI393,BM393,BQ393,BU393,BY393,CC393,CG393,CK393)</f>
        <v/>
      </c>
      <c r="CO393" s="152">
        <f>IF(AW393&gt;CN$6,NA(),AW393)</f>
        <v/>
      </c>
      <c r="CP393" s="152">
        <f>IF(AW393&gt;CN$6,NA(),CN393)</f>
        <v/>
      </c>
    </row>
    <row r="394">
      <c r="B394" s="152" t="n">
        <v>383</v>
      </c>
      <c r="C394" s="152">
        <f>IF(F393&lt;=0.005,0,F393*(1+C$6))</f>
        <v/>
      </c>
      <c r="D394" s="152">
        <f>MIN(C394,C$7)</f>
        <v/>
      </c>
      <c r="E394" s="152">
        <f>MAX(0,MIN(C394-D394,AQ394))</f>
        <v/>
      </c>
      <c r="F394" s="152">
        <f>C394-D394-E394</f>
        <v/>
      </c>
      <c r="G394" s="152">
        <f>IF(J393&lt;=0.005,0,J393*(1+G$6))</f>
        <v/>
      </c>
      <c r="H394" s="152">
        <f>MIN(G394,G$7)</f>
        <v/>
      </c>
      <c r="I394" s="152">
        <f>MAX(0,MIN(G394-H394,AQ394-(E394)))</f>
        <v/>
      </c>
      <c r="J394" s="152">
        <f>G394-H394-I394</f>
        <v/>
      </c>
      <c r="K394" s="152">
        <f>IF(N393&lt;=0.005,0,N393*(1+K$6))</f>
        <v/>
      </c>
      <c r="L394" s="152">
        <f>MIN(K394,K$7)</f>
        <v/>
      </c>
      <c r="M394" s="152">
        <f>MAX(0,MIN(K394-L394,AQ394-(E394+I394)))</f>
        <v/>
      </c>
      <c r="N394" s="152">
        <f>K394-L394-M394</f>
        <v/>
      </c>
      <c r="O394" s="152">
        <f>IF(R393&lt;=0.005,0,R393*(1+O$6))</f>
        <v/>
      </c>
      <c r="P394" s="152">
        <f>MIN(O394,O$7)</f>
        <v/>
      </c>
      <c r="Q394" s="152">
        <f>MAX(0,MIN(O394-P394,AQ394-(E394+I394+M394)))</f>
        <v/>
      </c>
      <c r="R394" s="152">
        <f>O394-P394-Q394</f>
        <v/>
      </c>
      <c r="S394" s="152">
        <f>IF(V393&lt;=0.005,0,V393*(1+S$6))</f>
        <v/>
      </c>
      <c r="T394" s="152">
        <f>MIN(S394,S$7)</f>
        <v/>
      </c>
      <c r="U394" s="152">
        <f>MAX(0,MIN(S394-T394,AQ394-(E394+I394+M394+Q394)))</f>
        <v/>
      </c>
      <c r="V394" s="152">
        <f>S394-T394-U394</f>
        <v/>
      </c>
      <c r="W394" s="152">
        <f>IF(Z393&lt;=0.005,0,Z393*(1+W$6))</f>
        <v/>
      </c>
      <c r="X394" s="152">
        <f>MIN(W394,W$7)</f>
        <v/>
      </c>
      <c r="Y394" s="152">
        <f>MAX(0,MIN(W394-X394,AQ394-(E394+I394+M394+Q394+U394)))</f>
        <v/>
      </c>
      <c r="Z394" s="152">
        <f>W394-X394-Y394</f>
        <v/>
      </c>
      <c r="AA394" s="152">
        <f>IF(AD393&lt;=0.005,0,AD393*(1+AA$6))</f>
        <v/>
      </c>
      <c r="AB394" s="152">
        <f>MIN(AA394,AA$7)</f>
        <v/>
      </c>
      <c r="AC394" s="152">
        <f>MAX(0,MIN(AA394-AB394,AQ394-(E394+I394+M394+Q394+U394+Y394)))</f>
        <v/>
      </c>
      <c r="AD394" s="152">
        <f>AA394-AB394-AC394</f>
        <v/>
      </c>
      <c r="AE394" s="152">
        <f>IF(AH393&lt;=0.005,0,AH393*(1+AE$6))</f>
        <v/>
      </c>
      <c r="AF394" s="152">
        <f>MIN(AE394,AE$7)</f>
        <v/>
      </c>
      <c r="AG394" s="152">
        <f>MAX(0,MIN(AE394-AF394,AQ394-(E394+I394+M394+Q394+U394+Y394+AC394)))</f>
        <v/>
      </c>
      <c r="AH394" s="152">
        <f>AE394-AF394-AG394</f>
        <v/>
      </c>
      <c r="AI394" s="152">
        <f>IF(AL393&lt;=0.005,0,AL393*(1+AI$6))</f>
        <v/>
      </c>
      <c r="AJ394" s="152">
        <f>MIN(AI394,AI$7)</f>
        <v/>
      </c>
      <c r="AK394" s="152">
        <f>MAX(0,MIN(AI394-AJ394,AQ394-(E394+I394+M394+Q394+U394+Y394+AC394+AG394)))</f>
        <v/>
      </c>
      <c r="AL394" s="152">
        <f>AI394-AJ394-AK394</f>
        <v/>
      </c>
      <c r="AM394" s="152">
        <f>IF(AP393&lt;=0.005,0,AP393*(1+AM$6))</f>
        <v/>
      </c>
      <c r="AN394" s="152">
        <f>MIN(AM394,AM$7)</f>
        <v/>
      </c>
      <c r="AO394" s="152">
        <f>MAX(0,MIN(AM394-AN394,AQ394-(E394+I394+M394+Q394+U394+Y394+AC394+AG394+AK394)))</f>
        <v/>
      </c>
      <c r="AP394" s="152">
        <f>AM394-AN394-AO394</f>
        <v/>
      </c>
      <c r="AQ394" s="152">
        <f>'Debt Payoff'!$C$8-SUM(D394,H394,L394,P394,T394,X394,AB394,AF394,AJ394,AN394)</f>
        <v/>
      </c>
      <c r="AR394" s="152">
        <f>SUM(D394,H394,L394,P394,T394,X394,AB394,AF394,AJ394,AN394)+SUM(E394,I394,M394,Q394,U394,Y394,AC394,AG394,AK394,AO394)</f>
        <v/>
      </c>
      <c r="AS394" s="152">
        <f>SUM(F394,J394,N394,R394,V394,Z394,AD394,AH394,AL394,AP394)</f>
        <v/>
      </c>
      <c r="AT394" s="152">
        <f>IF(B394&gt;AS$6,NA(),B394)</f>
        <v/>
      </c>
      <c r="AU394" s="152">
        <f>IF(B394&gt;AS$6,NA(),AS394)</f>
        <v/>
      </c>
      <c r="AV394" s="152" t="n"/>
      <c r="AW394" s="152" t="n">
        <v>383</v>
      </c>
      <c r="AX394" s="152">
        <f>IF(BA393&lt;=0.005,0,BA393*(1+AX$6))</f>
        <v/>
      </c>
      <c r="AY394" s="152">
        <f>MIN(AX394,AX$7)</f>
        <v/>
      </c>
      <c r="AZ394" s="152">
        <f>MAX(0,MIN(AX394-AY394,CL394))</f>
        <v/>
      </c>
      <c r="BA394" s="152">
        <f>AX394-AY394-AZ394</f>
        <v/>
      </c>
      <c r="BB394" s="152">
        <f>IF(BE393&lt;=0.005,0,BE393*(1+BB$6))</f>
        <v/>
      </c>
      <c r="BC394" s="152">
        <f>MIN(BB394,BB$7)</f>
        <v/>
      </c>
      <c r="BD394" s="152">
        <f>MAX(0,MIN(BB394-BC394,CL394-(AZ394)))</f>
        <v/>
      </c>
      <c r="BE394" s="152">
        <f>BB394-BC394-BD394</f>
        <v/>
      </c>
      <c r="BF394" s="152">
        <f>IF(BI393&lt;=0.005,0,BI393*(1+BF$6))</f>
        <v/>
      </c>
      <c r="BG394" s="152">
        <f>MIN(BF394,BF$7)</f>
        <v/>
      </c>
      <c r="BH394" s="152">
        <f>MAX(0,MIN(BF394-BG394,CL394-(AZ394+BD394)))</f>
        <v/>
      </c>
      <c r="BI394" s="152">
        <f>BF394-BG394-BH394</f>
        <v/>
      </c>
      <c r="BJ394" s="152">
        <f>IF(BM393&lt;=0.005,0,BM393*(1+BJ$6))</f>
        <v/>
      </c>
      <c r="BK394" s="152">
        <f>MIN(BJ394,BJ$7)</f>
        <v/>
      </c>
      <c r="BL394" s="152">
        <f>MAX(0,MIN(BJ394-BK394,CL394-(AZ394+BD394+BH394)))</f>
        <v/>
      </c>
      <c r="BM394" s="152">
        <f>BJ394-BK394-BL394</f>
        <v/>
      </c>
      <c r="BN394" s="152">
        <f>IF(BQ393&lt;=0.005,0,BQ393*(1+BN$6))</f>
        <v/>
      </c>
      <c r="BO394" s="152">
        <f>MIN(BN394,BN$7)</f>
        <v/>
      </c>
      <c r="BP394" s="152">
        <f>MAX(0,MIN(BN394-BO394,CL394-(AZ394+BD394+BH394+BL394)))</f>
        <v/>
      </c>
      <c r="BQ394" s="152">
        <f>BN394-BO394-BP394</f>
        <v/>
      </c>
      <c r="BR394" s="152">
        <f>IF(BU393&lt;=0.005,0,BU393*(1+BR$6))</f>
        <v/>
      </c>
      <c r="BS394" s="152">
        <f>MIN(BR394,BR$7)</f>
        <v/>
      </c>
      <c r="BT394" s="152">
        <f>MAX(0,MIN(BR394-BS394,CL394-(AZ394+BD394+BH394+BL394+BP394)))</f>
        <v/>
      </c>
      <c r="BU394" s="152">
        <f>BR394-BS394-BT394</f>
        <v/>
      </c>
      <c r="BV394" s="152">
        <f>IF(BY393&lt;=0.005,0,BY393*(1+BV$6))</f>
        <v/>
      </c>
      <c r="BW394" s="152">
        <f>MIN(BV394,BV$7)</f>
        <v/>
      </c>
      <c r="BX394" s="152">
        <f>MAX(0,MIN(BV394-BW394,CL394-(AZ394+BD394+BH394+BL394+BP394+BT394)))</f>
        <v/>
      </c>
      <c r="BY394" s="152">
        <f>BV394-BW394-BX394</f>
        <v/>
      </c>
      <c r="BZ394" s="152">
        <f>IF(CC393&lt;=0.005,0,CC393*(1+BZ$6))</f>
        <v/>
      </c>
      <c r="CA394" s="152">
        <f>MIN(BZ394,BZ$7)</f>
        <v/>
      </c>
      <c r="CB394" s="152">
        <f>MAX(0,MIN(BZ394-CA394,CL394-(AZ394+BD394+BH394+BL394+BP394+BT394+BX394)))</f>
        <v/>
      </c>
      <c r="CC394" s="152">
        <f>BZ394-CA394-CB394</f>
        <v/>
      </c>
      <c r="CD394" s="152">
        <f>IF(CG393&lt;=0.005,0,CG393*(1+CD$6))</f>
        <v/>
      </c>
      <c r="CE394" s="152">
        <f>MIN(CD394,CD$7)</f>
        <v/>
      </c>
      <c r="CF394" s="152">
        <f>MAX(0,MIN(CD394-CE394,CL394-(AZ394+BD394+BH394+BL394+BP394+BT394+BX394+CB394)))</f>
        <v/>
      </c>
      <c r="CG394" s="152">
        <f>CD394-CE394-CF394</f>
        <v/>
      </c>
      <c r="CH394" s="152">
        <f>IF(CK393&lt;=0.005,0,CK393*(1+CH$6))</f>
        <v/>
      </c>
      <c r="CI394" s="152">
        <f>MIN(CH394,CH$7)</f>
        <v/>
      </c>
      <c r="CJ394" s="152">
        <f>MAX(0,MIN(CH394-CI394,CL394-(AZ394+BD394+BH394+BL394+BP394+BT394+BX394+CB394+CF394)))</f>
        <v/>
      </c>
      <c r="CK394" s="152">
        <f>CH394-CI394-CJ394</f>
        <v/>
      </c>
      <c r="CL394" s="152">
        <f>'Debt Payoff'!$C$8-SUM(AY394,BC394,BG394,BK394,BO394,BS394,BW394,CA394,CE394,CI394)</f>
        <v/>
      </c>
      <c r="CM394" s="152">
        <f>SUM(AY394,BC394,BG394,BK394,BO394,BS394,BW394,CA394,CE394,CI394)+SUM(AZ394,BD394,BH394,BL394,BP394,BT394,BX394,CB394,CF394,CJ394)</f>
        <v/>
      </c>
      <c r="CN394" s="152">
        <f>SUM(BA394,BE394,BI394,BM394,BQ394,BU394,BY394,CC394,CG394,CK394)</f>
        <v/>
      </c>
      <c r="CO394" s="152">
        <f>IF(AW394&gt;CN$6,NA(),AW394)</f>
        <v/>
      </c>
      <c r="CP394" s="152">
        <f>IF(AW394&gt;CN$6,NA(),CN394)</f>
        <v/>
      </c>
    </row>
    <row r="395">
      <c r="B395" s="152" t="n">
        <v>384</v>
      </c>
      <c r="C395" s="152">
        <f>IF(F394&lt;=0.005,0,F394*(1+C$6))</f>
        <v/>
      </c>
      <c r="D395" s="152">
        <f>MIN(C395,C$7)</f>
        <v/>
      </c>
      <c r="E395" s="152">
        <f>MAX(0,MIN(C395-D395,AQ395))</f>
        <v/>
      </c>
      <c r="F395" s="152">
        <f>C395-D395-E395</f>
        <v/>
      </c>
      <c r="G395" s="152">
        <f>IF(J394&lt;=0.005,0,J394*(1+G$6))</f>
        <v/>
      </c>
      <c r="H395" s="152">
        <f>MIN(G395,G$7)</f>
        <v/>
      </c>
      <c r="I395" s="152">
        <f>MAX(0,MIN(G395-H395,AQ395-(E395)))</f>
        <v/>
      </c>
      <c r="J395" s="152">
        <f>G395-H395-I395</f>
        <v/>
      </c>
      <c r="K395" s="152">
        <f>IF(N394&lt;=0.005,0,N394*(1+K$6))</f>
        <v/>
      </c>
      <c r="L395" s="152">
        <f>MIN(K395,K$7)</f>
        <v/>
      </c>
      <c r="M395" s="152">
        <f>MAX(0,MIN(K395-L395,AQ395-(E395+I395)))</f>
        <v/>
      </c>
      <c r="N395" s="152">
        <f>K395-L395-M395</f>
        <v/>
      </c>
      <c r="O395" s="152">
        <f>IF(R394&lt;=0.005,0,R394*(1+O$6))</f>
        <v/>
      </c>
      <c r="P395" s="152">
        <f>MIN(O395,O$7)</f>
        <v/>
      </c>
      <c r="Q395" s="152">
        <f>MAX(0,MIN(O395-P395,AQ395-(E395+I395+M395)))</f>
        <v/>
      </c>
      <c r="R395" s="152">
        <f>O395-P395-Q395</f>
        <v/>
      </c>
      <c r="S395" s="152">
        <f>IF(V394&lt;=0.005,0,V394*(1+S$6))</f>
        <v/>
      </c>
      <c r="T395" s="152">
        <f>MIN(S395,S$7)</f>
        <v/>
      </c>
      <c r="U395" s="152">
        <f>MAX(0,MIN(S395-T395,AQ395-(E395+I395+M395+Q395)))</f>
        <v/>
      </c>
      <c r="V395" s="152">
        <f>S395-T395-U395</f>
        <v/>
      </c>
      <c r="W395" s="152">
        <f>IF(Z394&lt;=0.005,0,Z394*(1+W$6))</f>
        <v/>
      </c>
      <c r="X395" s="152">
        <f>MIN(W395,W$7)</f>
        <v/>
      </c>
      <c r="Y395" s="152">
        <f>MAX(0,MIN(W395-X395,AQ395-(E395+I395+M395+Q395+U395)))</f>
        <v/>
      </c>
      <c r="Z395" s="152">
        <f>W395-X395-Y395</f>
        <v/>
      </c>
      <c r="AA395" s="152">
        <f>IF(AD394&lt;=0.005,0,AD394*(1+AA$6))</f>
        <v/>
      </c>
      <c r="AB395" s="152">
        <f>MIN(AA395,AA$7)</f>
        <v/>
      </c>
      <c r="AC395" s="152">
        <f>MAX(0,MIN(AA395-AB395,AQ395-(E395+I395+M395+Q395+U395+Y395)))</f>
        <v/>
      </c>
      <c r="AD395" s="152">
        <f>AA395-AB395-AC395</f>
        <v/>
      </c>
      <c r="AE395" s="152">
        <f>IF(AH394&lt;=0.005,0,AH394*(1+AE$6))</f>
        <v/>
      </c>
      <c r="AF395" s="152">
        <f>MIN(AE395,AE$7)</f>
        <v/>
      </c>
      <c r="AG395" s="152">
        <f>MAX(0,MIN(AE395-AF395,AQ395-(E395+I395+M395+Q395+U395+Y395+AC395)))</f>
        <v/>
      </c>
      <c r="AH395" s="152">
        <f>AE395-AF395-AG395</f>
        <v/>
      </c>
      <c r="AI395" s="152">
        <f>IF(AL394&lt;=0.005,0,AL394*(1+AI$6))</f>
        <v/>
      </c>
      <c r="AJ395" s="152">
        <f>MIN(AI395,AI$7)</f>
        <v/>
      </c>
      <c r="AK395" s="152">
        <f>MAX(0,MIN(AI395-AJ395,AQ395-(E395+I395+M395+Q395+U395+Y395+AC395+AG395)))</f>
        <v/>
      </c>
      <c r="AL395" s="152">
        <f>AI395-AJ395-AK395</f>
        <v/>
      </c>
      <c r="AM395" s="152">
        <f>IF(AP394&lt;=0.005,0,AP394*(1+AM$6))</f>
        <v/>
      </c>
      <c r="AN395" s="152">
        <f>MIN(AM395,AM$7)</f>
        <v/>
      </c>
      <c r="AO395" s="152">
        <f>MAX(0,MIN(AM395-AN395,AQ395-(E395+I395+M395+Q395+U395+Y395+AC395+AG395+AK395)))</f>
        <v/>
      </c>
      <c r="AP395" s="152">
        <f>AM395-AN395-AO395</f>
        <v/>
      </c>
      <c r="AQ395" s="152">
        <f>'Debt Payoff'!$C$8-SUM(D395,H395,L395,P395,T395,X395,AB395,AF395,AJ395,AN395)</f>
        <v/>
      </c>
      <c r="AR395" s="152">
        <f>SUM(D395,H395,L395,P395,T395,X395,AB395,AF395,AJ395,AN395)+SUM(E395,I395,M395,Q395,U395,Y395,AC395,AG395,AK395,AO395)</f>
        <v/>
      </c>
      <c r="AS395" s="152">
        <f>SUM(F395,J395,N395,R395,V395,Z395,AD395,AH395,AL395,AP395)</f>
        <v/>
      </c>
      <c r="AT395" s="152">
        <f>IF(B395&gt;AS$6,NA(),B395)</f>
        <v/>
      </c>
      <c r="AU395" s="152">
        <f>IF(B395&gt;AS$6,NA(),AS395)</f>
        <v/>
      </c>
      <c r="AV395" s="152" t="n"/>
      <c r="AW395" s="152" t="n">
        <v>384</v>
      </c>
      <c r="AX395" s="152">
        <f>IF(BA394&lt;=0.005,0,BA394*(1+AX$6))</f>
        <v/>
      </c>
      <c r="AY395" s="152">
        <f>MIN(AX395,AX$7)</f>
        <v/>
      </c>
      <c r="AZ395" s="152">
        <f>MAX(0,MIN(AX395-AY395,CL395))</f>
        <v/>
      </c>
      <c r="BA395" s="152">
        <f>AX395-AY395-AZ395</f>
        <v/>
      </c>
      <c r="BB395" s="152">
        <f>IF(BE394&lt;=0.005,0,BE394*(1+BB$6))</f>
        <v/>
      </c>
      <c r="BC395" s="152">
        <f>MIN(BB395,BB$7)</f>
        <v/>
      </c>
      <c r="BD395" s="152">
        <f>MAX(0,MIN(BB395-BC395,CL395-(AZ395)))</f>
        <v/>
      </c>
      <c r="BE395" s="152">
        <f>BB395-BC395-BD395</f>
        <v/>
      </c>
      <c r="BF395" s="152">
        <f>IF(BI394&lt;=0.005,0,BI394*(1+BF$6))</f>
        <v/>
      </c>
      <c r="BG395" s="152">
        <f>MIN(BF395,BF$7)</f>
        <v/>
      </c>
      <c r="BH395" s="152">
        <f>MAX(0,MIN(BF395-BG395,CL395-(AZ395+BD395)))</f>
        <v/>
      </c>
      <c r="BI395" s="152">
        <f>BF395-BG395-BH395</f>
        <v/>
      </c>
      <c r="BJ395" s="152">
        <f>IF(BM394&lt;=0.005,0,BM394*(1+BJ$6))</f>
        <v/>
      </c>
      <c r="BK395" s="152">
        <f>MIN(BJ395,BJ$7)</f>
        <v/>
      </c>
      <c r="BL395" s="152">
        <f>MAX(0,MIN(BJ395-BK395,CL395-(AZ395+BD395+BH395)))</f>
        <v/>
      </c>
      <c r="BM395" s="152">
        <f>BJ395-BK395-BL395</f>
        <v/>
      </c>
      <c r="BN395" s="152">
        <f>IF(BQ394&lt;=0.005,0,BQ394*(1+BN$6))</f>
        <v/>
      </c>
      <c r="BO395" s="152">
        <f>MIN(BN395,BN$7)</f>
        <v/>
      </c>
      <c r="BP395" s="152">
        <f>MAX(0,MIN(BN395-BO395,CL395-(AZ395+BD395+BH395+BL395)))</f>
        <v/>
      </c>
      <c r="BQ395" s="152">
        <f>BN395-BO395-BP395</f>
        <v/>
      </c>
      <c r="BR395" s="152">
        <f>IF(BU394&lt;=0.005,0,BU394*(1+BR$6))</f>
        <v/>
      </c>
      <c r="BS395" s="152">
        <f>MIN(BR395,BR$7)</f>
        <v/>
      </c>
      <c r="BT395" s="152">
        <f>MAX(0,MIN(BR395-BS395,CL395-(AZ395+BD395+BH395+BL395+BP395)))</f>
        <v/>
      </c>
      <c r="BU395" s="152">
        <f>BR395-BS395-BT395</f>
        <v/>
      </c>
      <c r="BV395" s="152">
        <f>IF(BY394&lt;=0.005,0,BY394*(1+BV$6))</f>
        <v/>
      </c>
      <c r="BW395" s="152">
        <f>MIN(BV395,BV$7)</f>
        <v/>
      </c>
      <c r="BX395" s="152">
        <f>MAX(0,MIN(BV395-BW395,CL395-(AZ395+BD395+BH395+BL395+BP395+BT395)))</f>
        <v/>
      </c>
      <c r="BY395" s="152">
        <f>BV395-BW395-BX395</f>
        <v/>
      </c>
      <c r="BZ395" s="152">
        <f>IF(CC394&lt;=0.005,0,CC394*(1+BZ$6))</f>
        <v/>
      </c>
      <c r="CA395" s="152">
        <f>MIN(BZ395,BZ$7)</f>
        <v/>
      </c>
      <c r="CB395" s="152">
        <f>MAX(0,MIN(BZ395-CA395,CL395-(AZ395+BD395+BH395+BL395+BP395+BT395+BX395)))</f>
        <v/>
      </c>
      <c r="CC395" s="152">
        <f>BZ395-CA395-CB395</f>
        <v/>
      </c>
      <c r="CD395" s="152">
        <f>IF(CG394&lt;=0.005,0,CG394*(1+CD$6))</f>
        <v/>
      </c>
      <c r="CE395" s="152">
        <f>MIN(CD395,CD$7)</f>
        <v/>
      </c>
      <c r="CF395" s="152">
        <f>MAX(0,MIN(CD395-CE395,CL395-(AZ395+BD395+BH395+BL395+BP395+BT395+BX395+CB395)))</f>
        <v/>
      </c>
      <c r="CG395" s="152">
        <f>CD395-CE395-CF395</f>
        <v/>
      </c>
      <c r="CH395" s="152">
        <f>IF(CK394&lt;=0.005,0,CK394*(1+CH$6))</f>
        <v/>
      </c>
      <c r="CI395" s="152">
        <f>MIN(CH395,CH$7)</f>
        <v/>
      </c>
      <c r="CJ395" s="152">
        <f>MAX(0,MIN(CH395-CI395,CL395-(AZ395+BD395+BH395+BL395+BP395+BT395+BX395+CB395+CF395)))</f>
        <v/>
      </c>
      <c r="CK395" s="152">
        <f>CH395-CI395-CJ395</f>
        <v/>
      </c>
      <c r="CL395" s="152">
        <f>'Debt Payoff'!$C$8-SUM(AY395,BC395,BG395,BK395,BO395,BS395,BW395,CA395,CE395,CI395)</f>
        <v/>
      </c>
      <c r="CM395" s="152">
        <f>SUM(AY395,BC395,BG395,BK395,BO395,BS395,BW395,CA395,CE395,CI395)+SUM(AZ395,BD395,BH395,BL395,BP395,BT395,BX395,CB395,CF395,CJ395)</f>
        <v/>
      </c>
      <c r="CN395" s="152">
        <f>SUM(BA395,BE395,BI395,BM395,BQ395,BU395,BY395,CC395,CG395,CK395)</f>
        <v/>
      </c>
      <c r="CO395" s="152">
        <f>IF(AW395&gt;CN$6,NA(),AW395)</f>
        <v/>
      </c>
      <c r="CP395" s="152">
        <f>IF(AW395&gt;CN$6,NA(),CN395)</f>
        <v/>
      </c>
    </row>
    <row r="396">
      <c r="B396" s="152" t="n">
        <v>385</v>
      </c>
      <c r="C396" s="152">
        <f>IF(F395&lt;=0.005,0,F395*(1+C$6))</f>
        <v/>
      </c>
      <c r="D396" s="152">
        <f>MIN(C396,C$7)</f>
        <v/>
      </c>
      <c r="E396" s="152">
        <f>MAX(0,MIN(C396-D396,AQ396))</f>
        <v/>
      </c>
      <c r="F396" s="152">
        <f>C396-D396-E396</f>
        <v/>
      </c>
      <c r="G396" s="152">
        <f>IF(J395&lt;=0.005,0,J395*(1+G$6))</f>
        <v/>
      </c>
      <c r="H396" s="152">
        <f>MIN(G396,G$7)</f>
        <v/>
      </c>
      <c r="I396" s="152">
        <f>MAX(0,MIN(G396-H396,AQ396-(E396)))</f>
        <v/>
      </c>
      <c r="J396" s="152">
        <f>G396-H396-I396</f>
        <v/>
      </c>
      <c r="K396" s="152">
        <f>IF(N395&lt;=0.005,0,N395*(1+K$6))</f>
        <v/>
      </c>
      <c r="L396" s="152">
        <f>MIN(K396,K$7)</f>
        <v/>
      </c>
      <c r="M396" s="152">
        <f>MAX(0,MIN(K396-L396,AQ396-(E396+I396)))</f>
        <v/>
      </c>
      <c r="N396" s="152">
        <f>K396-L396-M396</f>
        <v/>
      </c>
      <c r="O396" s="152">
        <f>IF(R395&lt;=0.005,0,R395*(1+O$6))</f>
        <v/>
      </c>
      <c r="P396" s="152">
        <f>MIN(O396,O$7)</f>
        <v/>
      </c>
      <c r="Q396" s="152">
        <f>MAX(0,MIN(O396-P396,AQ396-(E396+I396+M396)))</f>
        <v/>
      </c>
      <c r="R396" s="152">
        <f>O396-P396-Q396</f>
        <v/>
      </c>
      <c r="S396" s="152">
        <f>IF(V395&lt;=0.005,0,V395*(1+S$6))</f>
        <v/>
      </c>
      <c r="T396" s="152">
        <f>MIN(S396,S$7)</f>
        <v/>
      </c>
      <c r="U396" s="152">
        <f>MAX(0,MIN(S396-T396,AQ396-(E396+I396+M396+Q396)))</f>
        <v/>
      </c>
      <c r="V396" s="152">
        <f>S396-T396-U396</f>
        <v/>
      </c>
      <c r="W396" s="152">
        <f>IF(Z395&lt;=0.005,0,Z395*(1+W$6))</f>
        <v/>
      </c>
      <c r="X396" s="152">
        <f>MIN(W396,W$7)</f>
        <v/>
      </c>
      <c r="Y396" s="152">
        <f>MAX(0,MIN(W396-X396,AQ396-(E396+I396+M396+Q396+U396)))</f>
        <v/>
      </c>
      <c r="Z396" s="152">
        <f>W396-X396-Y396</f>
        <v/>
      </c>
      <c r="AA396" s="152">
        <f>IF(AD395&lt;=0.005,0,AD395*(1+AA$6))</f>
        <v/>
      </c>
      <c r="AB396" s="152">
        <f>MIN(AA396,AA$7)</f>
        <v/>
      </c>
      <c r="AC396" s="152">
        <f>MAX(0,MIN(AA396-AB396,AQ396-(E396+I396+M396+Q396+U396+Y396)))</f>
        <v/>
      </c>
      <c r="AD396" s="152">
        <f>AA396-AB396-AC396</f>
        <v/>
      </c>
      <c r="AE396" s="152">
        <f>IF(AH395&lt;=0.005,0,AH395*(1+AE$6))</f>
        <v/>
      </c>
      <c r="AF396" s="152">
        <f>MIN(AE396,AE$7)</f>
        <v/>
      </c>
      <c r="AG396" s="152">
        <f>MAX(0,MIN(AE396-AF396,AQ396-(E396+I396+M396+Q396+U396+Y396+AC396)))</f>
        <v/>
      </c>
      <c r="AH396" s="152">
        <f>AE396-AF396-AG396</f>
        <v/>
      </c>
      <c r="AI396" s="152">
        <f>IF(AL395&lt;=0.005,0,AL395*(1+AI$6))</f>
        <v/>
      </c>
      <c r="AJ396" s="152">
        <f>MIN(AI396,AI$7)</f>
        <v/>
      </c>
      <c r="AK396" s="152">
        <f>MAX(0,MIN(AI396-AJ396,AQ396-(E396+I396+M396+Q396+U396+Y396+AC396+AG396)))</f>
        <v/>
      </c>
      <c r="AL396" s="152">
        <f>AI396-AJ396-AK396</f>
        <v/>
      </c>
      <c r="AM396" s="152">
        <f>IF(AP395&lt;=0.005,0,AP395*(1+AM$6))</f>
        <v/>
      </c>
      <c r="AN396" s="152">
        <f>MIN(AM396,AM$7)</f>
        <v/>
      </c>
      <c r="AO396" s="152">
        <f>MAX(0,MIN(AM396-AN396,AQ396-(E396+I396+M396+Q396+U396+Y396+AC396+AG396+AK396)))</f>
        <v/>
      </c>
      <c r="AP396" s="152">
        <f>AM396-AN396-AO396</f>
        <v/>
      </c>
      <c r="AQ396" s="152">
        <f>'Debt Payoff'!$C$8-SUM(D396,H396,L396,P396,T396,X396,AB396,AF396,AJ396,AN396)</f>
        <v/>
      </c>
      <c r="AR396" s="152">
        <f>SUM(D396,H396,L396,P396,T396,X396,AB396,AF396,AJ396,AN396)+SUM(E396,I396,M396,Q396,U396,Y396,AC396,AG396,AK396,AO396)</f>
        <v/>
      </c>
      <c r="AS396" s="152">
        <f>SUM(F396,J396,N396,R396,V396,Z396,AD396,AH396,AL396,AP396)</f>
        <v/>
      </c>
      <c r="AT396" s="152">
        <f>IF(B396&gt;AS$6,NA(),B396)</f>
        <v/>
      </c>
      <c r="AU396" s="152">
        <f>IF(B396&gt;AS$6,NA(),AS396)</f>
        <v/>
      </c>
      <c r="AV396" s="152" t="n"/>
      <c r="AW396" s="152" t="n">
        <v>385</v>
      </c>
      <c r="AX396" s="152">
        <f>IF(BA395&lt;=0.005,0,BA395*(1+AX$6))</f>
        <v/>
      </c>
      <c r="AY396" s="152">
        <f>MIN(AX396,AX$7)</f>
        <v/>
      </c>
      <c r="AZ396" s="152">
        <f>MAX(0,MIN(AX396-AY396,CL396))</f>
        <v/>
      </c>
      <c r="BA396" s="152">
        <f>AX396-AY396-AZ396</f>
        <v/>
      </c>
      <c r="BB396" s="152">
        <f>IF(BE395&lt;=0.005,0,BE395*(1+BB$6))</f>
        <v/>
      </c>
      <c r="BC396" s="152">
        <f>MIN(BB396,BB$7)</f>
        <v/>
      </c>
      <c r="BD396" s="152">
        <f>MAX(0,MIN(BB396-BC396,CL396-(AZ396)))</f>
        <v/>
      </c>
      <c r="BE396" s="152">
        <f>BB396-BC396-BD396</f>
        <v/>
      </c>
      <c r="BF396" s="152">
        <f>IF(BI395&lt;=0.005,0,BI395*(1+BF$6))</f>
        <v/>
      </c>
      <c r="BG396" s="152">
        <f>MIN(BF396,BF$7)</f>
        <v/>
      </c>
      <c r="BH396" s="152">
        <f>MAX(0,MIN(BF396-BG396,CL396-(AZ396+BD396)))</f>
        <v/>
      </c>
      <c r="BI396" s="152">
        <f>BF396-BG396-BH396</f>
        <v/>
      </c>
      <c r="BJ396" s="152">
        <f>IF(BM395&lt;=0.005,0,BM395*(1+BJ$6))</f>
        <v/>
      </c>
      <c r="BK396" s="152">
        <f>MIN(BJ396,BJ$7)</f>
        <v/>
      </c>
      <c r="BL396" s="152">
        <f>MAX(0,MIN(BJ396-BK396,CL396-(AZ396+BD396+BH396)))</f>
        <v/>
      </c>
      <c r="BM396" s="152">
        <f>BJ396-BK396-BL396</f>
        <v/>
      </c>
      <c r="BN396" s="152">
        <f>IF(BQ395&lt;=0.005,0,BQ395*(1+BN$6))</f>
        <v/>
      </c>
      <c r="BO396" s="152">
        <f>MIN(BN396,BN$7)</f>
        <v/>
      </c>
      <c r="BP396" s="152">
        <f>MAX(0,MIN(BN396-BO396,CL396-(AZ396+BD396+BH396+BL396)))</f>
        <v/>
      </c>
      <c r="BQ396" s="152">
        <f>BN396-BO396-BP396</f>
        <v/>
      </c>
      <c r="BR396" s="152">
        <f>IF(BU395&lt;=0.005,0,BU395*(1+BR$6))</f>
        <v/>
      </c>
      <c r="BS396" s="152">
        <f>MIN(BR396,BR$7)</f>
        <v/>
      </c>
      <c r="BT396" s="152">
        <f>MAX(0,MIN(BR396-BS396,CL396-(AZ396+BD396+BH396+BL396+BP396)))</f>
        <v/>
      </c>
      <c r="BU396" s="152">
        <f>BR396-BS396-BT396</f>
        <v/>
      </c>
      <c r="BV396" s="152">
        <f>IF(BY395&lt;=0.005,0,BY395*(1+BV$6))</f>
        <v/>
      </c>
      <c r="BW396" s="152">
        <f>MIN(BV396,BV$7)</f>
        <v/>
      </c>
      <c r="BX396" s="152">
        <f>MAX(0,MIN(BV396-BW396,CL396-(AZ396+BD396+BH396+BL396+BP396+BT396)))</f>
        <v/>
      </c>
      <c r="BY396" s="152">
        <f>BV396-BW396-BX396</f>
        <v/>
      </c>
      <c r="BZ396" s="152">
        <f>IF(CC395&lt;=0.005,0,CC395*(1+BZ$6))</f>
        <v/>
      </c>
      <c r="CA396" s="152">
        <f>MIN(BZ396,BZ$7)</f>
        <v/>
      </c>
      <c r="CB396" s="152">
        <f>MAX(0,MIN(BZ396-CA396,CL396-(AZ396+BD396+BH396+BL396+BP396+BT396+BX396)))</f>
        <v/>
      </c>
      <c r="CC396" s="152">
        <f>BZ396-CA396-CB396</f>
        <v/>
      </c>
      <c r="CD396" s="152">
        <f>IF(CG395&lt;=0.005,0,CG395*(1+CD$6))</f>
        <v/>
      </c>
      <c r="CE396" s="152">
        <f>MIN(CD396,CD$7)</f>
        <v/>
      </c>
      <c r="CF396" s="152">
        <f>MAX(0,MIN(CD396-CE396,CL396-(AZ396+BD396+BH396+BL396+BP396+BT396+BX396+CB396)))</f>
        <v/>
      </c>
      <c r="CG396" s="152">
        <f>CD396-CE396-CF396</f>
        <v/>
      </c>
      <c r="CH396" s="152">
        <f>IF(CK395&lt;=0.005,0,CK395*(1+CH$6))</f>
        <v/>
      </c>
      <c r="CI396" s="152">
        <f>MIN(CH396,CH$7)</f>
        <v/>
      </c>
      <c r="CJ396" s="152">
        <f>MAX(0,MIN(CH396-CI396,CL396-(AZ396+BD396+BH396+BL396+BP396+BT396+BX396+CB396+CF396)))</f>
        <v/>
      </c>
      <c r="CK396" s="152">
        <f>CH396-CI396-CJ396</f>
        <v/>
      </c>
      <c r="CL396" s="152">
        <f>'Debt Payoff'!$C$8-SUM(AY396,BC396,BG396,BK396,BO396,BS396,BW396,CA396,CE396,CI396)</f>
        <v/>
      </c>
      <c r="CM396" s="152">
        <f>SUM(AY396,BC396,BG396,BK396,BO396,BS396,BW396,CA396,CE396,CI396)+SUM(AZ396,BD396,BH396,BL396,BP396,BT396,BX396,CB396,CF396,CJ396)</f>
        <v/>
      </c>
      <c r="CN396" s="152">
        <f>SUM(BA396,BE396,BI396,BM396,BQ396,BU396,BY396,CC396,CG396,CK396)</f>
        <v/>
      </c>
      <c r="CO396" s="152">
        <f>IF(AW396&gt;CN$6,NA(),AW396)</f>
        <v/>
      </c>
      <c r="CP396" s="152">
        <f>IF(AW396&gt;CN$6,NA(),CN396)</f>
        <v/>
      </c>
    </row>
    <row r="397">
      <c r="B397" s="152" t="n">
        <v>386</v>
      </c>
      <c r="C397" s="152">
        <f>IF(F396&lt;=0.005,0,F396*(1+C$6))</f>
        <v/>
      </c>
      <c r="D397" s="152">
        <f>MIN(C397,C$7)</f>
        <v/>
      </c>
      <c r="E397" s="152">
        <f>MAX(0,MIN(C397-D397,AQ397))</f>
        <v/>
      </c>
      <c r="F397" s="152">
        <f>C397-D397-E397</f>
        <v/>
      </c>
      <c r="G397" s="152">
        <f>IF(J396&lt;=0.005,0,J396*(1+G$6))</f>
        <v/>
      </c>
      <c r="H397" s="152">
        <f>MIN(G397,G$7)</f>
        <v/>
      </c>
      <c r="I397" s="152">
        <f>MAX(0,MIN(G397-H397,AQ397-(E397)))</f>
        <v/>
      </c>
      <c r="J397" s="152">
        <f>G397-H397-I397</f>
        <v/>
      </c>
      <c r="K397" s="152">
        <f>IF(N396&lt;=0.005,0,N396*(1+K$6))</f>
        <v/>
      </c>
      <c r="L397" s="152">
        <f>MIN(K397,K$7)</f>
        <v/>
      </c>
      <c r="M397" s="152">
        <f>MAX(0,MIN(K397-L397,AQ397-(E397+I397)))</f>
        <v/>
      </c>
      <c r="N397" s="152">
        <f>K397-L397-M397</f>
        <v/>
      </c>
      <c r="O397" s="152">
        <f>IF(R396&lt;=0.005,0,R396*(1+O$6))</f>
        <v/>
      </c>
      <c r="P397" s="152">
        <f>MIN(O397,O$7)</f>
        <v/>
      </c>
      <c r="Q397" s="152">
        <f>MAX(0,MIN(O397-P397,AQ397-(E397+I397+M397)))</f>
        <v/>
      </c>
      <c r="R397" s="152">
        <f>O397-P397-Q397</f>
        <v/>
      </c>
      <c r="S397" s="152">
        <f>IF(V396&lt;=0.005,0,V396*(1+S$6))</f>
        <v/>
      </c>
      <c r="T397" s="152">
        <f>MIN(S397,S$7)</f>
        <v/>
      </c>
      <c r="U397" s="152">
        <f>MAX(0,MIN(S397-T397,AQ397-(E397+I397+M397+Q397)))</f>
        <v/>
      </c>
      <c r="V397" s="152">
        <f>S397-T397-U397</f>
        <v/>
      </c>
      <c r="W397" s="152">
        <f>IF(Z396&lt;=0.005,0,Z396*(1+W$6))</f>
        <v/>
      </c>
      <c r="X397" s="152">
        <f>MIN(W397,W$7)</f>
        <v/>
      </c>
      <c r="Y397" s="152">
        <f>MAX(0,MIN(W397-X397,AQ397-(E397+I397+M397+Q397+U397)))</f>
        <v/>
      </c>
      <c r="Z397" s="152">
        <f>W397-X397-Y397</f>
        <v/>
      </c>
      <c r="AA397" s="152">
        <f>IF(AD396&lt;=0.005,0,AD396*(1+AA$6))</f>
        <v/>
      </c>
      <c r="AB397" s="152">
        <f>MIN(AA397,AA$7)</f>
        <v/>
      </c>
      <c r="AC397" s="152">
        <f>MAX(0,MIN(AA397-AB397,AQ397-(E397+I397+M397+Q397+U397+Y397)))</f>
        <v/>
      </c>
      <c r="AD397" s="152">
        <f>AA397-AB397-AC397</f>
        <v/>
      </c>
      <c r="AE397" s="152">
        <f>IF(AH396&lt;=0.005,0,AH396*(1+AE$6))</f>
        <v/>
      </c>
      <c r="AF397" s="152">
        <f>MIN(AE397,AE$7)</f>
        <v/>
      </c>
      <c r="AG397" s="152">
        <f>MAX(0,MIN(AE397-AF397,AQ397-(E397+I397+M397+Q397+U397+Y397+AC397)))</f>
        <v/>
      </c>
      <c r="AH397" s="152">
        <f>AE397-AF397-AG397</f>
        <v/>
      </c>
      <c r="AI397" s="152">
        <f>IF(AL396&lt;=0.005,0,AL396*(1+AI$6))</f>
        <v/>
      </c>
      <c r="AJ397" s="152">
        <f>MIN(AI397,AI$7)</f>
        <v/>
      </c>
      <c r="AK397" s="152">
        <f>MAX(0,MIN(AI397-AJ397,AQ397-(E397+I397+M397+Q397+U397+Y397+AC397+AG397)))</f>
        <v/>
      </c>
      <c r="AL397" s="152">
        <f>AI397-AJ397-AK397</f>
        <v/>
      </c>
      <c r="AM397" s="152">
        <f>IF(AP396&lt;=0.005,0,AP396*(1+AM$6))</f>
        <v/>
      </c>
      <c r="AN397" s="152">
        <f>MIN(AM397,AM$7)</f>
        <v/>
      </c>
      <c r="AO397" s="152">
        <f>MAX(0,MIN(AM397-AN397,AQ397-(E397+I397+M397+Q397+U397+Y397+AC397+AG397+AK397)))</f>
        <v/>
      </c>
      <c r="AP397" s="152">
        <f>AM397-AN397-AO397</f>
        <v/>
      </c>
      <c r="AQ397" s="152">
        <f>'Debt Payoff'!$C$8-SUM(D397,H397,L397,P397,T397,X397,AB397,AF397,AJ397,AN397)</f>
        <v/>
      </c>
      <c r="AR397" s="152">
        <f>SUM(D397,H397,L397,P397,T397,X397,AB397,AF397,AJ397,AN397)+SUM(E397,I397,M397,Q397,U397,Y397,AC397,AG397,AK397,AO397)</f>
        <v/>
      </c>
      <c r="AS397" s="152">
        <f>SUM(F397,J397,N397,R397,V397,Z397,AD397,AH397,AL397,AP397)</f>
        <v/>
      </c>
      <c r="AT397" s="152">
        <f>IF(B397&gt;AS$6,NA(),B397)</f>
        <v/>
      </c>
      <c r="AU397" s="152">
        <f>IF(B397&gt;AS$6,NA(),AS397)</f>
        <v/>
      </c>
      <c r="AV397" s="152" t="n"/>
      <c r="AW397" s="152" t="n">
        <v>386</v>
      </c>
      <c r="AX397" s="152">
        <f>IF(BA396&lt;=0.005,0,BA396*(1+AX$6))</f>
        <v/>
      </c>
      <c r="AY397" s="152">
        <f>MIN(AX397,AX$7)</f>
        <v/>
      </c>
      <c r="AZ397" s="152">
        <f>MAX(0,MIN(AX397-AY397,CL397))</f>
        <v/>
      </c>
      <c r="BA397" s="152">
        <f>AX397-AY397-AZ397</f>
        <v/>
      </c>
      <c r="BB397" s="152">
        <f>IF(BE396&lt;=0.005,0,BE396*(1+BB$6))</f>
        <v/>
      </c>
      <c r="BC397" s="152">
        <f>MIN(BB397,BB$7)</f>
        <v/>
      </c>
      <c r="BD397" s="152">
        <f>MAX(0,MIN(BB397-BC397,CL397-(AZ397)))</f>
        <v/>
      </c>
      <c r="BE397" s="152">
        <f>BB397-BC397-BD397</f>
        <v/>
      </c>
      <c r="BF397" s="152">
        <f>IF(BI396&lt;=0.005,0,BI396*(1+BF$6))</f>
        <v/>
      </c>
      <c r="BG397" s="152">
        <f>MIN(BF397,BF$7)</f>
        <v/>
      </c>
      <c r="BH397" s="152">
        <f>MAX(0,MIN(BF397-BG397,CL397-(AZ397+BD397)))</f>
        <v/>
      </c>
      <c r="BI397" s="152">
        <f>BF397-BG397-BH397</f>
        <v/>
      </c>
      <c r="BJ397" s="152">
        <f>IF(BM396&lt;=0.005,0,BM396*(1+BJ$6))</f>
        <v/>
      </c>
      <c r="BK397" s="152">
        <f>MIN(BJ397,BJ$7)</f>
        <v/>
      </c>
      <c r="BL397" s="152">
        <f>MAX(0,MIN(BJ397-BK397,CL397-(AZ397+BD397+BH397)))</f>
        <v/>
      </c>
      <c r="BM397" s="152">
        <f>BJ397-BK397-BL397</f>
        <v/>
      </c>
      <c r="BN397" s="152">
        <f>IF(BQ396&lt;=0.005,0,BQ396*(1+BN$6))</f>
        <v/>
      </c>
      <c r="BO397" s="152">
        <f>MIN(BN397,BN$7)</f>
        <v/>
      </c>
      <c r="BP397" s="152">
        <f>MAX(0,MIN(BN397-BO397,CL397-(AZ397+BD397+BH397+BL397)))</f>
        <v/>
      </c>
      <c r="BQ397" s="152">
        <f>BN397-BO397-BP397</f>
        <v/>
      </c>
      <c r="BR397" s="152">
        <f>IF(BU396&lt;=0.005,0,BU396*(1+BR$6))</f>
        <v/>
      </c>
      <c r="BS397" s="152">
        <f>MIN(BR397,BR$7)</f>
        <v/>
      </c>
      <c r="BT397" s="152">
        <f>MAX(0,MIN(BR397-BS397,CL397-(AZ397+BD397+BH397+BL397+BP397)))</f>
        <v/>
      </c>
      <c r="BU397" s="152">
        <f>BR397-BS397-BT397</f>
        <v/>
      </c>
      <c r="BV397" s="152">
        <f>IF(BY396&lt;=0.005,0,BY396*(1+BV$6))</f>
        <v/>
      </c>
      <c r="BW397" s="152">
        <f>MIN(BV397,BV$7)</f>
        <v/>
      </c>
      <c r="BX397" s="152">
        <f>MAX(0,MIN(BV397-BW397,CL397-(AZ397+BD397+BH397+BL397+BP397+BT397)))</f>
        <v/>
      </c>
      <c r="BY397" s="152">
        <f>BV397-BW397-BX397</f>
        <v/>
      </c>
      <c r="BZ397" s="152">
        <f>IF(CC396&lt;=0.005,0,CC396*(1+BZ$6))</f>
        <v/>
      </c>
      <c r="CA397" s="152">
        <f>MIN(BZ397,BZ$7)</f>
        <v/>
      </c>
      <c r="CB397" s="152">
        <f>MAX(0,MIN(BZ397-CA397,CL397-(AZ397+BD397+BH397+BL397+BP397+BT397+BX397)))</f>
        <v/>
      </c>
      <c r="CC397" s="152">
        <f>BZ397-CA397-CB397</f>
        <v/>
      </c>
      <c r="CD397" s="152">
        <f>IF(CG396&lt;=0.005,0,CG396*(1+CD$6))</f>
        <v/>
      </c>
      <c r="CE397" s="152">
        <f>MIN(CD397,CD$7)</f>
        <v/>
      </c>
      <c r="CF397" s="152">
        <f>MAX(0,MIN(CD397-CE397,CL397-(AZ397+BD397+BH397+BL397+BP397+BT397+BX397+CB397)))</f>
        <v/>
      </c>
      <c r="CG397" s="152">
        <f>CD397-CE397-CF397</f>
        <v/>
      </c>
      <c r="CH397" s="152">
        <f>IF(CK396&lt;=0.005,0,CK396*(1+CH$6))</f>
        <v/>
      </c>
      <c r="CI397" s="152">
        <f>MIN(CH397,CH$7)</f>
        <v/>
      </c>
      <c r="CJ397" s="152">
        <f>MAX(0,MIN(CH397-CI397,CL397-(AZ397+BD397+BH397+BL397+BP397+BT397+BX397+CB397+CF397)))</f>
        <v/>
      </c>
      <c r="CK397" s="152">
        <f>CH397-CI397-CJ397</f>
        <v/>
      </c>
      <c r="CL397" s="152">
        <f>'Debt Payoff'!$C$8-SUM(AY397,BC397,BG397,BK397,BO397,BS397,BW397,CA397,CE397,CI397)</f>
        <v/>
      </c>
      <c r="CM397" s="152">
        <f>SUM(AY397,BC397,BG397,BK397,BO397,BS397,BW397,CA397,CE397,CI397)+SUM(AZ397,BD397,BH397,BL397,BP397,BT397,BX397,CB397,CF397,CJ397)</f>
        <v/>
      </c>
      <c r="CN397" s="152">
        <f>SUM(BA397,BE397,BI397,BM397,BQ397,BU397,BY397,CC397,CG397,CK397)</f>
        <v/>
      </c>
      <c r="CO397" s="152">
        <f>IF(AW397&gt;CN$6,NA(),AW397)</f>
        <v/>
      </c>
      <c r="CP397" s="152">
        <f>IF(AW397&gt;CN$6,NA(),CN397)</f>
        <v/>
      </c>
    </row>
    <row r="398">
      <c r="B398" s="152" t="n">
        <v>387</v>
      </c>
      <c r="C398" s="152">
        <f>IF(F397&lt;=0.005,0,F397*(1+C$6))</f>
        <v/>
      </c>
      <c r="D398" s="152">
        <f>MIN(C398,C$7)</f>
        <v/>
      </c>
      <c r="E398" s="152">
        <f>MAX(0,MIN(C398-D398,AQ398))</f>
        <v/>
      </c>
      <c r="F398" s="152">
        <f>C398-D398-E398</f>
        <v/>
      </c>
      <c r="G398" s="152">
        <f>IF(J397&lt;=0.005,0,J397*(1+G$6))</f>
        <v/>
      </c>
      <c r="H398" s="152">
        <f>MIN(G398,G$7)</f>
        <v/>
      </c>
      <c r="I398" s="152">
        <f>MAX(0,MIN(G398-H398,AQ398-(E398)))</f>
        <v/>
      </c>
      <c r="J398" s="152">
        <f>G398-H398-I398</f>
        <v/>
      </c>
      <c r="K398" s="152">
        <f>IF(N397&lt;=0.005,0,N397*(1+K$6))</f>
        <v/>
      </c>
      <c r="L398" s="152">
        <f>MIN(K398,K$7)</f>
        <v/>
      </c>
      <c r="M398" s="152">
        <f>MAX(0,MIN(K398-L398,AQ398-(E398+I398)))</f>
        <v/>
      </c>
      <c r="N398" s="152">
        <f>K398-L398-M398</f>
        <v/>
      </c>
      <c r="O398" s="152">
        <f>IF(R397&lt;=0.005,0,R397*(1+O$6))</f>
        <v/>
      </c>
      <c r="P398" s="152">
        <f>MIN(O398,O$7)</f>
        <v/>
      </c>
      <c r="Q398" s="152">
        <f>MAX(0,MIN(O398-P398,AQ398-(E398+I398+M398)))</f>
        <v/>
      </c>
      <c r="R398" s="152">
        <f>O398-P398-Q398</f>
        <v/>
      </c>
      <c r="S398" s="152">
        <f>IF(V397&lt;=0.005,0,V397*(1+S$6))</f>
        <v/>
      </c>
      <c r="T398" s="152">
        <f>MIN(S398,S$7)</f>
        <v/>
      </c>
      <c r="U398" s="152">
        <f>MAX(0,MIN(S398-T398,AQ398-(E398+I398+M398+Q398)))</f>
        <v/>
      </c>
      <c r="V398" s="152">
        <f>S398-T398-U398</f>
        <v/>
      </c>
      <c r="W398" s="152">
        <f>IF(Z397&lt;=0.005,0,Z397*(1+W$6))</f>
        <v/>
      </c>
      <c r="X398" s="152">
        <f>MIN(W398,W$7)</f>
        <v/>
      </c>
      <c r="Y398" s="152">
        <f>MAX(0,MIN(W398-X398,AQ398-(E398+I398+M398+Q398+U398)))</f>
        <v/>
      </c>
      <c r="Z398" s="152">
        <f>W398-X398-Y398</f>
        <v/>
      </c>
      <c r="AA398" s="152">
        <f>IF(AD397&lt;=0.005,0,AD397*(1+AA$6))</f>
        <v/>
      </c>
      <c r="AB398" s="152">
        <f>MIN(AA398,AA$7)</f>
        <v/>
      </c>
      <c r="AC398" s="152">
        <f>MAX(0,MIN(AA398-AB398,AQ398-(E398+I398+M398+Q398+U398+Y398)))</f>
        <v/>
      </c>
      <c r="AD398" s="152">
        <f>AA398-AB398-AC398</f>
        <v/>
      </c>
      <c r="AE398" s="152">
        <f>IF(AH397&lt;=0.005,0,AH397*(1+AE$6))</f>
        <v/>
      </c>
      <c r="AF398" s="152">
        <f>MIN(AE398,AE$7)</f>
        <v/>
      </c>
      <c r="AG398" s="152">
        <f>MAX(0,MIN(AE398-AF398,AQ398-(E398+I398+M398+Q398+U398+Y398+AC398)))</f>
        <v/>
      </c>
      <c r="AH398" s="152">
        <f>AE398-AF398-AG398</f>
        <v/>
      </c>
      <c r="AI398" s="152">
        <f>IF(AL397&lt;=0.005,0,AL397*(1+AI$6))</f>
        <v/>
      </c>
      <c r="AJ398" s="152">
        <f>MIN(AI398,AI$7)</f>
        <v/>
      </c>
      <c r="AK398" s="152">
        <f>MAX(0,MIN(AI398-AJ398,AQ398-(E398+I398+M398+Q398+U398+Y398+AC398+AG398)))</f>
        <v/>
      </c>
      <c r="AL398" s="152">
        <f>AI398-AJ398-AK398</f>
        <v/>
      </c>
      <c r="AM398" s="152">
        <f>IF(AP397&lt;=0.005,0,AP397*(1+AM$6))</f>
        <v/>
      </c>
      <c r="AN398" s="152">
        <f>MIN(AM398,AM$7)</f>
        <v/>
      </c>
      <c r="AO398" s="152">
        <f>MAX(0,MIN(AM398-AN398,AQ398-(E398+I398+M398+Q398+U398+Y398+AC398+AG398+AK398)))</f>
        <v/>
      </c>
      <c r="AP398" s="152">
        <f>AM398-AN398-AO398</f>
        <v/>
      </c>
      <c r="AQ398" s="152">
        <f>'Debt Payoff'!$C$8-SUM(D398,H398,L398,P398,T398,X398,AB398,AF398,AJ398,AN398)</f>
        <v/>
      </c>
      <c r="AR398" s="152">
        <f>SUM(D398,H398,L398,P398,T398,X398,AB398,AF398,AJ398,AN398)+SUM(E398,I398,M398,Q398,U398,Y398,AC398,AG398,AK398,AO398)</f>
        <v/>
      </c>
      <c r="AS398" s="152">
        <f>SUM(F398,J398,N398,R398,V398,Z398,AD398,AH398,AL398,AP398)</f>
        <v/>
      </c>
      <c r="AT398" s="152">
        <f>IF(B398&gt;AS$6,NA(),B398)</f>
        <v/>
      </c>
      <c r="AU398" s="152">
        <f>IF(B398&gt;AS$6,NA(),AS398)</f>
        <v/>
      </c>
      <c r="AV398" s="152" t="n"/>
      <c r="AW398" s="152" t="n">
        <v>387</v>
      </c>
      <c r="AX398" s="152">
        <f>IF(BA397&lt;=0.005,0,BA397*(1+AX$6))</f>
        <v/>
      </c>
      <c r="AY398" s="152">
        <f>MIN(AX398,AX$7)</f>
        <v/>
      </c>
      <c r="AZ398" s="152">
        <f>MAX(0,MIN(AX398-AY398,CL398))</f>
        <v/>
      </c>
      <c r="BA398" s="152">
        <f>AX398-AY398-AZ398</f>
        <v/>
      </c>
      <c r="BB398" s="152">
        <f>IF(BE397&lt;=0.005,0,BE397*(1+BB$6))</f>
        <v/>
      </c>
      <c r="BC398" s="152">
        <f>MIN(BB398,BB$7)</f>
        <v/>
      </c>
      <c r="BD398" s="152">
        <f>MAX(0,MIN(BB398-BC398,CL398-(AZ398)))</f>
        <v/>
      </c>
      <c r="BE398" s="152">
        <f>BB398-BC398-BD398</f>
        <v/>
      </c>
      <c r="BF398" s="152">
        <f>IF(BI397&lt;=0.005,0,BI397*(1+BF$6))</f>
        <v/>
      </c>
      <c r="BG398" s="152">
        <f>MIN(BF398,BF$7)</f>
        <v/>
      </c>
      <c r="BH398" s="152">
        <f>MAX(0,MIN(BF398-BG398,CL398-(AZ398+BD398)))</f>
        <v/>
      </c>
      <c r="BI398" s="152">
        <f>BF398-BG398-BH398</f>
        <v/>
      </c>
      <c r="BJ398" s="152">
        <f>IF(BM397&lt;=0.005,0,BM397*(1+BJ$6))</f>
        <v/>
      </c>
      <c r="BK398" s="152">
        <f>MIN(BJ398,BJ$7)</f>
        <v/>
      </c>
      <c r="BL398" s="152">
        <f>MAX(0,MIN(BJ398-BK398,CL398-(AZ398+BD398+BH398)))</f>
        <v/>
      </c>
      <c r="BM398" s="152">
        <f>BJ398-BK398-BL398</f>
        <v/>
      </c>
      <c r="BN398" s="152">
        <f>IF(BQ397&lt;=0.005,0,BQ397*(1+BN$6))</f>
        <v/>
      </c>
      <c r="BO398" s="152">
        <f>MIN(BN398,BN$7)</f>
        <v/>
      </c>
      <c r="BP398" s="152">
        <f>MAX(0,MIN(BN398-BO398,CL398-(AZ398+BD398+BH398+BL398)))</f>
        <v/>
      </c>
      <c r="BQ398" s="152">
        <f>BN398-BO398-BP398</f>
        <v/>
      </c>
      <c r="BR398" s="152">
        <f>IF(BU397&lt;=0.005,0,BU397*(1+BR$6))</f>
        <v/>
      </c>
      <c r="BS398" s="152">
        <f>MIN(BR398,BR$7)</f>
        <v/>
      </c>
      <c r="BT398" s="152">
        <f>MAX(0,MIN(BR398-BS398,CL398-(AZ398+BD398+BH398+BL398+BP398)))</f>
        <v/>
      </c>
      <c r="BU398" s="152">
        <f>BR398-BS398-BT398</f>
        <v/>
      </c>
      <c r="BV398" s="152">
        <f>IF(BY397&lt;=0.005,0,BY397*(1+BV$6))</f>
        <v/>
      </c>
      <c r="BW398" s="152">
        <f>MIN(BV398,BV$7)</f>
        <v/>
      </c>
      <c r="BX398" s="152">
        <f>MAX(0,MIN(BV398-BW398,CL398-(AZ398+BD398+BH398+BL398+BP398+BT398)))</f>
        <v/>
      </c>
      <c r="BY398" s="152">
        <f>BV398-BW398-BX398</f>
        <v/>
      </c>
      <c r="BZ398" s="152">
        <f>IF(CC397&lt;=0.005,0,CC397*(1+BZ$6))</f>
        <v/>
      </c>
      <c r="CA398" s="152">
        <f>MIN(BZ398,BZ$7)</f>
        <v/>
      </c>
      <c r="CB398" s="152">
        <f>MAX(0,MIN(BZ398-CA398,CL398-(AZ398+BD398+BH398+BL398+BP398+BT398+BX398)))</f>
        <v/>
      </c>
      <c r="CC398" s="152">
        <f>BZ398-CA398-CB398</f>
        <v/>
      </c>
      <c r="CD398" s="152">
        <f>IF(CG397&lt;=0.005,0,CG397*(1+CD$6))</f>
        <v/>
      </c>
      <c r="CE398" s="152">
        <f>MIN(CD398,CD$7)</f>
        <v/>
      </c>
      <c r="CF398" s="152">
        <f>MAX(0,MIN(CD398-CE398,CL398-(AZ398+BD398+BH398+BL398+BP398+BT398+BX398+CB398)))</f>
        <v/>
      </c>
      <c r="CG398" s="152">
        <f>CD398-CE398-CF398</f>
        <v/>
      </c>
      <c r="CH398" s="152">
        <f>IF(CK397&lt;=0.005,0,CK397*(1+CH$6))</f>
        <v/>
      </c>
      <c r="CI398" s="152">
        <f>MIN(CH398,CH$7)</f>
        <v/>
      </c>
      <c r="CJ398" s="152">
        <f>MAX(0,MIN(CH398-CI398,CL398-(AZ398+BD398+BH398+BL398+BP398+BT398+BX398+CB398+CF398)))</f>
        <v/>
      </c>
      <c r="CK398" s="152">
        <f>CH398-CI398-CJ398</f>
        <v/>
      </c>
      <c r="CL398" s="152">
        <f>'Debt Payoff'!$C$8-SUM(AY398,BC398,BG398,BK398,BO398,BS398,BW398,CA398,CE398,CI398)</f>
        <v/>
      </c>
      <c r="CM398" s="152">
        <f>SUM(AY398,BC398,BG398,BK398,BO398,BS398,BW398,CA398,CE398,CI398)+SUM(AZ398,BD398,BH398,BL398,BP398,BT398,BX398,CB398,CF398,CJ398)</f>
        <v/>
      </c>
      <c r="CN398" s="152">
        <f>SUM(BA398,BE398,BI398,BM398,BQ398,BU398,BY398,CC398,CG398,CK398)</f>
        <v/>
      </c>
      <c r="CO398" s="152">
        <f>IF(AW398&gt;CN$6,NA(),AW398)</f>
        <v/>
      </c>
      <c r="CP398" s="152">
        <f>IF(AW398&gt;CN$6,NA(),CN398)</f>
        <v/>
      </c>
    </row>
    <row r="399">
      <c r="B399" s="152" t="n">
        <v>388</v>
      </c>
      <c r="C399" s="152">
        <f>IF(F398&lt;=0.005,0,F398*(1+C$6))</f>
        <v/>
      </c>
      <c r="D399" s="152">
        <f>MIN(C399,C$7)</f>
        <v/>
      </c>
      <c r="E399" s="152">
        <f>MAX(0,MIN(C399-D399,AQ399))</f>
        <v/>
      </c>
      <c r="F399" s="152">
        <f>C399-D399-E399</f>
        <v/>
      </c>
      <c r="G399" s="152">
        <f>IF(J398&lt;=0.005,0,J398*(1+G$6))</f>
        <v/>
      </c>
      <c r="H399" s="152">
        <f>MIN(G399,G$7)</f>
        <v/>
      </c>
      <c r="I399" s="152">
        <f>MAX(0,MIN(G399-H399,AQ399-(E399)))</f>
        <v/>
      </c>
      <c r="J399" s="152">
        <f>G399-H399-I399</f>
        <v/>
      </c>
      <c r="K399" s="152">
        <f>IF(N398&lt;=0.005,0,N398*(1+K$6))</f>
        <v/>
      </c>
      <c r="L399" s="152">
        <f>MIN(K399,K$7)</f>
        <v/>
      </c>
      <c r="M399" s="152">
        <f>MAX(0,MIN(K399-L399,AQ399-(E399+I399)))</f>
        <v/>
      </c>
      <c r="N399" s="152">
        <f>K399-L399-M399</f>
        <v/>
      </c>
      <c r="O399" s="152">
        <f>IF(R398&lt;=0.005,0,R398*(1+O$6))</f>
        <v/>
      </c>
      <c r="P399" s="152">
        <f>MIN(O399,O$7)</f>
        <v/>
      </c>
      <c r="Q399" s="152">
        <f>MAX(0,MIN(O399-P399,AQ399-(E399+I399+M399)))</f>
        <v/>
      </c>
      <c r="R399" s="152">
        <f>O399-P399-Q399</f>
        <v/>
      </c>
      <c r="S399" s="152">
        <f>IF(V398&lt;=0.005,0,V398*(1+S$6))</f>
        <v/>
      </c>
      <c r="T399" s="152">
        <f>MIN(S399,S$7)</f>
        <v/>
      </c>
      <c r="U399" s="152">
        <f>MAX(0,MIN(S399-T399,AQ399-(E399+I399+M399+Q399)))</f>
        <v/>
      </c>
      <c r="V399" s="152">
        <f>S399-T399-U399</f>
        <v/>
      </c>
      <c r="W399" s="152">
        <f>IF(Z398&lt;=0.005,0,Z398*(1+W$6))</f>
        <v/>
      </c>
      <c r="X399" s="152">
        <f>MIN(W399,W$7)</f>
        <v/>
      </c>
      <c r="Y399" s="152">
        <f>MAX(0,MIN(W399-X399,AQ399-(E399+I399+M399+Q399+U399)))</f>
        <v/>
      </c>
      <c r="Z399" s="152">
        <f>W399-X399-Y399</f>
        <v/>
      </c>
      <c r="AA399" s="152">
        <f>IF(AD398&lt;=0.005,0,AD398*(1+AA$6))</f>
        <v/>
      </c>
      <c r="AB399" s="152">
        <f>MIN(AA399,AA$7)</f>
        <v/>
      </c>
      <c r="AC399" s="152">
        <f>MAX(0,MIN(AA399-AB399,AQ399-(E399+I399+M399+Q399+U399+Y399)))</f>
        <v/>
      </c>
      <c r="AD399" s="152">
        <f>AA399-AB399-AC399</f>
        <v/>
      </c>
      <c r="AE399" s="152">
        <f>IF(AH398&lt;=0.005,0,AH398*(1+AE$6))</f>
        <v/>
      </c>
      <c r="AF399" s="152">
        <f>MIN(AE399,AE$7)</f>
        <v/>
      </c>
      <c r="AG399" s="152">
        <f>MAX(0,MIN(AE399-AF399,AQ399-(E399+I399+M399+Q399+U399+Y399+AC399)))</f>
        <v/>
      </c>
      <c r="AH399" s="152">
        <f>AE399-AF399-AG399</f>
        <v/>
      </c>
      <c r="AI399" s="152">
        <f>IF(AL398&lt;=0.005,0,AL398*(1+AI$6))</f>
        <v/>
      </c>
      <c r="AJ399" s="152">
        <f>MIN(AI399,AI$7)</f>
        <v/>
      </c>
      <c r="AK399" s="152">
        <f>MAX(0,MIN(AI399-AJ399,AQ399-(E399+I399+M399+Q399+U399+Y399+AC399+AG399)))</f>
        <v/>
      </c>
      <c r="AL399" s="152">
        <f>AI399-AJ399-AK399</f>
        <v/>
      </c>
      <c r="AM399" s="152">
        <f>IF(AP398&lt;=0.005,0,AP398*(1+AM$6))</f>
        <v/>
      </c>
      <c r="AN399" s="152">
        <f>MIN(AM399,AM$7)</f>
        <v/>
      </c>
      <c r="AO399" s="152">
        <f>MAX(0,MIN(AM399-AN399,AQ399-(E399+I399+M399+Q399+U399+Y399+AC399+AG399+AK399)))</f>
        <v/>
      </c>
      <c r="AP399" s="152">
        <f>AM399-AN399-AO399</f>
        <v/>
      </c>
      <c r="AQ399" s="152">
        <f>'Debt Payoff'!$C$8-SUM(D399,H399,L399,P399,T399,X399,AB399,AF399,AJ399,AN399)</f>
        <v/>
      </c>
      <c r="AR399" s="152">
        <f>SUM(D399,H399,L399,P399,T399,X399,AB399,AF399,AJ399,AN399)+SUM(E399,I399,M399,Q399,U399,Y399,AC399,AG399,AK399,AO399)</f>
        <v/>
      </c>
      <c r="AS399" s="152">
        <f>SUM(F399,J399,N399,R399,V399,Z399,AD399,AH399,AL399,AP399)</f>
        <v/>
      </c>
      <c r="AT399" s="152">
        <f>IF(B399&gt;AS$6,NA(),B399)</f>
        <v/>
      </c>
      <c r="AU399" s="152">
        <f>IF(B399&gt;AS$6,NA(),AS399)</f>
        <v/>
      </c>
      <c r="AV399" s="152" t="n"/>
      <c r="AW399" s="152" t="n">
        <v>388</v>
      </c>
      <c r="AX399" s="152">
        <f>IF(BA398&lt;=0.005,0,BA398*(1+AX$6))</f>
        <v/>
      </c>
      <c r="AY399" s="152">
        <f>MIN(AX399,AX$7)</f>
        <v/>
      </c>
      <c r="AZ399" s="152">
        <f>MAX(0,MIN(AX399-AY399,CL399))</f>
        <v/>
      </c>
      <c r="BA399" s="152">
        <f>AX399-AY399-AZ399</f>
        <v/>
      </c>
      <c r="BB399" s="152">
        <f>IF(BE398&lt;=0.005,0,BE398*(1+BB$6))</f>
        <v/>
      </c>
      <c r="BC399" s="152">
        <f>MIN(BB399,BB$7)</f>
        <v/>
      </c>
      <c r="BD399" s="152">
        <f>MAX(0,MIN(BB399-BC399,CL399-(AZ399)))</f>
        <v/>
      </c>
      <c r="BE399" s="152">
        <f>BB399-BC399-BD399</f>
        <v/>
      </c>
      <c r="BF399" s="152">
        <f>IF(BI398&lt;=0.005,0,BI398*(1+BF$6))</f>
        <v/>
      </c>
      <c r="BG399" s="152">
        <f>MIN(BF399,BF$7)</f>
        <v/>
      </c>
      <c r="BH399" s="152">
        <f>MAX(0,MIN(BF399-BG399,CL399-(AZ399+BD399)))</f>
        <v/>
      </c>
      <c r="BI399" s="152">
        <f>BF399-BG399-BH399</f>
        <v/>
      </c>
      <c r="BJ399" s="152">
        <f>IF(BM398&lt;=0.005,0,BM398*(1+BJ$6))</f>
        <v/>
      </c>
      <c r="BK399" s="152">
        <f>MIN(BJ399,BJ$7)</f>
        <v/>
      </c>
      <c r="BL399" s="152">
        <f>MAX(0,MIN(BJ399-BK399,CL399-(AZ399+BD399+BH399)))</f>
        <v/>
      </c>
      <c r="BM399" s="152">
        <f>BJ399-BK399-BL399</f>
        <v/>
      </c>
      <c r="BN399" s="152">
        <f>IF(BQ398&lt;=0.005,0,BQ398*(1+BN$6))</f>
        <v/>
      </c>
      <c r="BO399" s="152">
        <f>MIN(BN399,BN$7)</f>
        <v/>
      </c>
      <c r="BP399" s="152">
        <f>MAX(0,MIN(BN399-BO399,CL399-(AZ399+BD399+BH399+BL399)))</f>
        <v/>
      </c>
      <c r="BQ399" s="152">
        <f>BN399-BO399-BP399</f>
        <v/>
      </c>
      <c r="BR399" s="152">
        <f>IF(BU398&lt;=0.005,0,BU398*(1+BR$6))</f>
        <v/>
      </c>
      <c r="BS399" s="152">
        <f>MIN(BR399,BR$7)</f>
        <v/>
      </c>
      <c r="BT399" s="152">
        <f>MAX(0,MIN(BR399-BS399,CL399-(AZ399+BD399+BH399+BL399+BP399)))</f>
        <v/>
      </c>
      <c r="BU399" s="152">
        <f>BR399-BS399-BT399</f>
        <v/>
      </c>
      <c r="BV399" s="152">
        <f>IF(BY398&lt;=0.005,0,BY398*(1+BV$6))</f>
        <v/>
      </c>
      <c r="BW399" s="152">
        <f>MIN(BV399,BV$7)</f>
        <v/>
      </c>
      <c r="BX399" s="152">
        <f>MAX(0,MIN(BV399-BW399,CL399-(AZ399+BD399+BH399+BL399+BP399+BT399)))</f>
        <v/>
      </c>
      <c r="BY399" s="152">
        <f>BV399-BW399-BX399</f>
        <v/>
      </c>
      <c r="BZ399" s="152">
        <f>IF(CC398&lt;=0.005,0,CC398*(1+BZ$6))</f>
        <v/>
      </c>
      <c r="CA399" s="152">
        <f>MIN(BZ399,BZ$7)</f>
        <v/>
      </c>
      <c r="CB399" s="152">
        <f>MAX(0,MIN(BZ399-CA399,CL399-(AZ399+BD399+BH399+BL399+BP399+BT399+BX399)))</f>
        <v/>
      </c>
      <c r="CC399" s="152">
        <f>BZ399-CA399-CB399</f>
        <v/>
      </c>
      <c r="CD399" s="152">
        <f>IF(CG398&lt;=0.005,0,CG398*(1+CD$6))</f>
        <v/>
      </c>
      <c r="CE399" s="152">
        <f>MIN(CD399,CD$7)</f>
        <v/>
      </c>
      <c r="CF399" s="152">
        <f>MAX(0,MIN(CD399-CE399,CL399-(AZ399+BD399+BH399+BL399+BP399+BT399+BX399+CB399)))</f>
        <v/>
      </c>
      <c r="CG399" s="152">
        <f>CD399-CE399-CF399</f>
        <v/>
      </c>
      <c r="CH399" s="152">
        <f>IF(CK398&lt;=0.005,0,CK398*(1+CH$6))</f>
        <v/>
      </c>
      <c r="CI399" s="152">
        <f>MIN(CH399,CH$7)</f>
        <v/>
      </c>
      <c r="CJ399" s="152">
        <f>MAX(0,MIN(CH399-CI399,CL399-(AZ399+BD399+BH399+BL399+BP399+BT399+BX399+CB399+CF399)))</f>
        <v/>
      </c>
      <c r="CK399" s="152">
        <f>CH399-CI399-CJ399</f>
        <v/>
      </c>
      <c r="CL399" s="152">
        <f>'Debt Payoff'!$C$8-SUM(AY399,BC399,BG399,BK399,BO399,BS399,BW399,CA399,CE399,CI399)</f>
        <v/>
      </c>
      <c r="CM399" s="152">
        <f>SUM(AY399,BC399,BG399,BK399,BO399,BS399,BW399,CA399,CE399,CI399)+SUM(AZ399,BD399,BH399,BL399,BP399,BT399,BX399,CB399,CF399,CJ399)</f>
        <v/>
      </c>
      <c r="CN399" s="152">
        <f>SUM(BA399,BE399,BI399,BM399,BQ399,BU399,BY399,CC399,CG399,CK399)</f>
        <v/>
      </c>
      <c r="CO399" s="152">
        <f>IF(AW399&gt;CN$6,NA(),AW399)</f>
        <v/>
      </c>
      <c r="CP399" s="152">
        <f>IF(AW399&gt;CN$6,NA(),CN399)</f>
        <v/>
      </c>
    </row>
    <row r="400">
      <c r="B400" s="152" t="n">
        <v>389</v>
      </c>
      <c r="C400" s="152">
        <f>IF(F399&lt;=0.005,0,F399*(1+C$6))</f>
        <v/>
      </c>
      <c r="D400" s="152">
        <f>MIN(C400,C$7)</f>
        <v/>
      </c>
      <c r="E400" s="152">
        <f>MAX(0,MIN(C400-D400,AQ400))</f>
        <v/>
      </c>
      <c r="F400" s="152">
        <f>C400-D400-E400</f>
        <v/>
      </c>
      <c r="G400" s="152">
        <f>IF(J399&lt;=0.005,0,J399*(1+G$6))</f>
        <v/>
      </c>
      <c r="H400" s="152">
        <f>MIN(G400,G$7)</f>
        <v/>
      </c>
      <c r="I400" s="152">
        <f>MAX(0,MIN(G400-H400,AQ400-(E400)))</f>
        <v/>
      </c>
      <c r="J400" s="152">
        <f>G400-H400-I400</f>
        <v/>
      </c>
      <c r="K400" s="152">
        <f>IF(N399&lt;=0.005,0,N399*(1+K$6))</f>
        <v/>
      </c>
      <c r="L400" s="152">
        <f>MIN(K400,K$7)</f>
        <v/>
      </c>
      <c r="M400" s="152">
        <f>MAX(0,MIN(K400-L400,AQ400-(E400+I400)))</f>
        <v/>
      </c>
      <c r="N400" s="152">
        <f>K400-L400-M400</f>
        <v/>
      </c>
      <c r="O400" s="152">
        <f>IF(R399&lt;=0.005,0,R399*(1+O$6))</f>
        <v/>
      </c>
      <c r="P400" s="152">
        <f>MIN(O400,O$7)</f>
        <v/>
      </c>
      <c r="Q400" s="152">
        <f>MAX(0,MIN(O400-P400,AQ400-(E400+I400+M400)))</f>
        <v/>
      </c>
      <c r="R400" s="152">
        <f>O400-P400-Q400</f>
        <v/>
      </c>
      <c r="S400" s="152">
        <f>IF(V399&lt;=0.005,0,V399*(1+S$6))</f>
        <v/>
      </c>
      <c r="T400" s="152">
        <f>MIN(S400,S$7)</f>
        <v/>
      </c>
      <c r="U400" s="152">
        <f>MAX(0,MIN(S400-T400,AQ400-(E400+I400+M400+Q400)))</f>
        <v/>
      </c>
      <c r="V400" s="152">
        <f>S400-T400-U400</f>
        <v/>
      </c>
      <c r="W400" s="152">
        <f>IF(Z399&lt;=0.005,0,Z399*(1+W$6))</f>
        <v/>
      </c>
      <c r="X400" s="152">
        <f>MIN(W400,W$7)</f>
        <v/>
      </c>
      <c r="Y400" s="152">
        <f>MAX(0,MIN(W400-X400,AQ400-(E400+I400+M400+Q400+U400)))</f>
        <v/>
      </c>
      <c r="Z400" s="152">
        <f>W400-X400-Y400</f>
        <v/>
      </c>
      <c r="AA400" s="152">
        <f>IF(AD399&lt;=0.005,0,AD399*(1+AA$6))</f>
        <v/>
      </c>
      <c r="AB400" s="152">
        <f>MIN(AA400,AA$7)</f>
        <v/>
      </c>
      <c r="AC400" s="152">
        <f>MAX(0,MIN(AA400-AB400,AQ400-(E400+I400+M400+Q400+U400+Y400)))</f>
        <v/>
      </c>
      <c r="AD400" s="152">
        <f>AA400-AB400-AC400</f>
        <v/>
      </c>
      <c r="AE400" s="152">
        <f>IF(AH399&lt;=0.005,0,AH399*(1+AE$6))</f>
        <v/>
      </c>
      <c r="AF400" s="152">
        <f>MIN(AE400,AE$7)</f>
        <v/>
      </c>
      <c r="AG400" s="152">
        <f>MAX(0,MIN(AE400-AF400,AQ400-(E400+I400+M400+Q400+U400+Y400+AC400)))</f>
        <v/>
      </c>
      <c r="AH400" s="152">
        <f>AE400-AF400-AG400</f>
        <v/>
      </c>
      <c r="AI400" s="152">
        <f>IF(AL399&lt;=0.005,0,AL399*(1+AI$6))</f>
        <v/>
      </c>
      <c r="AJ400" s="152">
        <f>MIN(AI400,AI$7)</f>
        <v/>
      </c>
      <c r="AK400" s="152">
        <f>MAX(0,MIN(AI400-AJ400,AQ400-(E400+I400+M400+Q400+U400+Y400+AC400+AG400)))</f>
        <v/>
      </c>
      <c r="AL400" s="152">
        <f>AI400-AJ400-AK400</f>
        <v/>
      </c>
      <c r="AM400" s="152">
        <f>IF(AP399&lt;=0.005,0,AP399*(1+AM$6))</f>
        <v/>
      </c>
      <c r="AN400" s="152">
        <f>MIN(AM400,AM$7)</f>
        <v/>
      </c>
      <c r="AO400" s="152">
        <f>MAX(0,MIN(AM400-AN400,AQ400-(E400+I400+M400+Q400+U400+Y400+AC400+AG400+AK400)))</f>
        <v/>
      </c>
      <c r="AP400" s="152">
        <f>AM400-AN400-AO400</f>
        <v/>
      </c>
      <c r="AQ400" s="152">
        <f>'Debt Payoff'!$C$8-SUM(D400,H400,L400,P400,T400,X400,AB400,AF400,AJ400,AN400)</f>
        <v/>
      </c>
      <c r="AR400" s="152">
        <f>SUM(D400,H400,L400,P400,T400,X400,AB400,AF400,AJ400,AN400)+SUM(E400,I400,M400,Q400,U400,Y400,AC400,AG400,AK400,AO400)</f>
        <v/>
      </c>
      <c r="AS400" s="152">
        <f>SUM(F400,J400,N400,R400,V400,Z400,AD400,AH400,AL400,AP400)</f>
        <v/>
      </c>
      <c r="AT400" s="152">
        <f>IF(B400&gt;AS$6,NA(),B400)</f>
        <v/>
      </c>
      <c r="AU400" s="152">
        <f>IF(B400&gt;AS$6,NA(),AS400)</f>
        <v/>
      </c>
      <c r="AV400" s="152" t="n"/>
      <c r="AW400" s="152" t="n">
        <v>389</v>
      </c>
      <c r="AX400" s="152">
        <f>IF(BA399&lt;=0.005,0,BA399*(1+AX$6))</f>
        <v/>
      </c>
      <c r="AY400" s="152">
        <f>MIN(AX400,AX$7)</f>
        <v/>
      </c>
      <c r="AZ400" s="152">
        <f>MAX(0,MIN(AX400-AY400,CL400))</f>
        <v/>
      </c>
      <c r="BA400" s="152">
        <f>AX400-AY400-AZ400</f>
        <v/>
      </c>
      <c r="BB400" s="152">
        <f>IF(BE399&lt;=0.005,0,BE399*(1+BB$6))</f>
        <v/>
      </c>
      <c r="BC400" s="152">
        <f>MIN(BB400,BB$7)</f>
        <v/>
      </c>
      <c r="BD400" s="152">
        <f>MAX(0,MIN(BB400-BC400,CL400-(AZ400)))</f>
        <v/>
      </c>
      <c r="BE400" s="152">
        <f>BB400-BC400-BD400</f>
        <v/>
      </c>
      <c r="BF400" s="152">
        <f>IF(BI399&lt;=0.005,0,BI399*(1+BF$6))</f>
        <v/>
      </c>
      <c r="BG400" s="152">
        <f>MIN(BF400,BF$7)</f>
        <v/>
      </c>
      <c r="BH400" s="152">
        <f>MAX(0,MIN(BF400-BG400,CL400-(AZ400+BD400)))</f>
        <v/>
      </c>
      <c r="BI400" s="152">
        <f>BF400-BG400-BH400</f>
        <v/>
      </c>
      <c r="BJ400" s="152">
        <f>IF(BM399&lt;=0.005,0,BM399*(1+BJ$6))</f>
        <v/>
      </c>
      <c r="BK400" s="152">
        <f>MIN(BJ400,BJ$7)</f>
        <v/>
      </c>
      <c r="BL400" s="152">
        <f>MAX(0,MIN(BJ400-BK400,CL400-(AZ400+BD400+BH400)))</f>
        <v/>
      </c>
      <c r="BM400" s="152">
        <f>BJ400-BK400-BL400</f>
        <v/>
      </c>
      <c r="BN400" s="152">
        <f>IF(BQ399&lt;=0.005,0,BQ399*(1+BN$6))</f>
        <v/>
      </c>
      <c r="BO400" s="152">
        <f>MIN(BN400,BN$7)</f>
        <v/>
      </c>
      <c r="BP400" s="152">
        <f>MAX(0,MIN(BN400-BO400,CL400-(AZ400+BD400+BH400+BL400)))</f>
        <v/>
      </c>
      <c r="BQ400" s="152">
        <f>BN400-BO400-BP400</f>
        <v/>
      </c>
      <c r="BR400" s="152">
        <f>IF(BU399&lt;=0.005,0,BU399*(1+BR$6))</f>
        <v/>
      </c>
      <c r="BS400" s="152">
        <f>MIN(BR400,BR$7)</f>
        <v/>
      </c>
      <c r="BT400" s="152">
        <f>MAX(0,MIN(BR400-BS400,CL400-(AZ400+BD400+BH400+BL400+BP400)))</f>
        <v/>
      </c>
      <c r="BU400" s="152">
        <f>BR400-BS400-BT400</f>
        <v/>
      </c>
      <c r="BV400" s="152">
        <f>IF(BY399&lt;=0.005,0,BY399*(1+BV$6))</f>
        <v/>
      </c>
      <c r="BW400" s="152">
        <f>MIN(BV400,BV$7)</f>
        <v/>
      </c>
      <c r="BX400" s="152">
        <f>MAX(0,MIN(BV400-BW400,CL400-(AZ400+BD400+BH400+BL400+BP400+BT400)))</f>
        <v/>
      </c>
      <c r="BY400" s="152">
        <f>BV400-BW400-BX400</f>
        <v/>
      </c>
      <c r="BZ400" s="152">
        <f>IF(CC399&lt;=0.005,0,CC399*(1+BZ$6))</f>
        <v/>
      </c>
      <c r="CA400" s="152">
        <f>MIN(BZ400,BZ$7)</f>
        <v/>
      </c>
      <c r="CB400" s="152">
        <f>MAX(0,MIN(BZ400-CA400,CL400-(AZ400+BD400+BH400+BL400+BP400+BT400+BX400)))</f>
        <v/>
      </c>
      <c r="CC400" s="152">
        <f>BZ400-CA400-CB400</f>
        <v/>
      </c>
      <c r="CD400" s="152">
        <f>IF(CG399&lt;=0.005,0,CG399*(1+CD$6))</f>
        <v/>
      </c>
      <c r="CE400" s="152">
        <f>MIN(CD400,CD$7)</f>
        <v/>
      </c>
      <c r="CF400" s="152">
        <f>MAX(0,MIN(CD400-CE400,CL400-(AZ400+BD400+BH400+BL400+BP400+BT400+BX400+CB400)))</f>
        <v/>
      </c>
      <c r="CG400" s="152">
        <f>CD400-CE400-CF400</f>
        <v/>
      </c>
      <c r="CH400" s="152">
        <f>IF(CK399&lt;=0.005,0,CK399*(1+CH$6))</f>
        <v/>
      </c>
      <c r="CI400" s="152">
        <f>MIN(CH400,CH$7)</f>
        <v/>
      </c>
      <c r="CJ400" s="152">
        <f>MAX(0,MIN(CH400-CI400,CL400-(AZ400+BD400+BH400+BL400+BP400+BT400+BX400+CB400+CF400)))</f>
        <v/>
      </c>
      <c r="CK400" s="152">
        <f>CH400-CI400-CJ400</f>
        <v/>
      </c>
      <c r="CL400" s="152">
        <f>'Debt Payoff'!$C$8-SUM(AY400,BC400,BG400,BK400,BO400,BS400,BW400,CA400,CE400,CI400)</f>
        <v/>
      </c>
      <c r="CM400" s="152">
        <f>SUM(AY400,BC400,BG400,BK400,BO400,BS400,BW400,CA400,CE400,CI400)+SUM(AZ400,BD400,BH400,BL400,BP400,BT400,BX400,CB400,CF400,CJ400)</f>
        <v/>
      </c>
      <c r="CN400" s="152">
        <f>SUM(BA400,BE400,BI400,BM400,BQ400,BU400,BY400,CC400,CG400,CK400)</f>
        <v/>
      </c>
      <c r="CO400" s="152">
        <f>IF(AW400&gt;CN$6,NA(),AW400)</f>
        <v/>
      </c>
      <c r="CP400" s="152">
        <f>IF(AW400&gt;CN$6,NA(),CN400)</f>
        <v/>
      </c>
    </row>
    <row r="401">
      <c r="B401" s="152" t="n">
        <v>390</v>
      </c>
      <c r="C401" s="152">
        <f>IF(F400&lt;=0.005,0,F400*(1+C$6))</f>
        <v/>
      </c>
      <c r="D401" s="152">
        <f>MIN(C401,C$7)</f>
        <v/>
      </c>
      <c r="E401" s="152">
        <f>MAX(0,MIN(C401-D401,AQ401))</f>
        <v/>
      </c>
      <c r="F401" s="152">
        <f>C401-D401-E401</f>
        <v/>
      </c>
      <c r="G401" s="152">
        <f>IF(J400&lt;=0.005,0,J400*(1+G$6))</f>
        <v/>
      </c>
      <c r="H401" s="152">
        <f>MIN(G401,G$7)</f>
        <v/>
      </c>
      <c r="I401" s="152">
        <f>MAX(0,MIN(G401-H401,AQ401-(E401)))</f>
        <v/>
      </c>
      <c r="J401" s="152">
        <f>G401-H401-I401</f>
        <v/>
      </c>
      <c r="K401" s="152">
        <f>IF(N400&lt;=0.005,0,N400*(1+K$6))</f>
        <v/>
      </c>
      <c r="L401" s="152">
        <f>MIN(K401,K$7)</f>
        <v/>
      </c>
      <c r="M401" s="152">
        <f>MAX(0,MIN(K401-L401,AQ401-(E401+I401)))</f>
        <v/>
      </c>
      <c r="N401" s="152">
        <f>K401-L401-M401</f>
        <v/>
      </c>
      <c r="O401" s="152">
        <f>IF(R400&lt;=0.005,0,R400*(1+O$6))</f>
        <v/>
      </c>
      <c r="P401" s="152">
        <f>MIN(O401,O$7)</f>
        <v/>
      </c>
      <c r="Q401" s="152">
        <f>MAX(0,MIN(O401-P401,AQ401-(E401+I401+M401)))</f>
        <v/>
      </c>
      <c r="R401" s="152">
        <f>O401-P401-Q401</f>
        <v/>
      </c>
      <c r="S401" s="152">
        <f>IF(V400&lt;=0.005,0,V400*(1+S$6))</f>
        <v/>
      </c>
      <c r="T401" s="152">
        <f>MIN(S401,S$7)</f>
        <v/>
      </c>
      <c r="U401" s="152">
        <f>MAX(0,MIN(S401-T401,AQ401-(E401+I401+M401+Q401)))</f>
        <v/>
      </c>
      <c r="V401" s="152">
        <f>S401-T401-U401</f>
        <v/>
      </c>
      <c r="W401" s="152">
        <f>IF(Z400&lt;=0.005,0,Z400*(1+W$6))</f>
        <v/>
      </c>
      <c r="X401" s="152">
        <f>MIN(W401,W$7)</f>
        <v/>
      </c>
      <c r="Y401" s="152">
        <f>MAX(0,MIN(W401-X401,AQ401-(E401+I401+M401+Q401+U401)))</f>
        <v/>
      </c>
      <c r="Z401" s="152">
        <f>W401-X401-Y401</f>
        <v/>
      </c>
      <c r="AA401" s="152">
        <f>IF(AD400&lt;=0.005,0,AD400*(1+AA$6))</f>
        <v/>
      </c>
      <c r="AB401" s="152">
        <f>MIN(AA401,AA$7)</f>
        <v/>
      </c>
      <c r="AC401" s="152">
        <f>MAX(0,MIN(AA401-AB401,AQ401-(E401+I401+M401+Q401+U401+Y401)))</f>
        <v/>
      </c>
      <c r="AD401" s="152">
        <f>AA401-AB401-AC401</f>
        <v/>
      </c>
      <c r="AE401" s="152">
        <f>IF(AH400&lt;=0.005,0,AH400*(1+AE$6))</f>
        <v/>
      </c>
      <c r="AF401" s="152">
        <f>MIN(AE401,AE$7)</f>
        <v/>
      </c>
      <c r="AG401" s="152">
        <f>MAX(0,MIN(AE401-AF401,AQ401-(E401+I401+M401+Q401+U401+Y401+AC401)))</f>
        <v/>
      </c>
      <c r="AH401" s="152">
        <f>AE401-AF401-AG401</f>
        <v/>
      </c>
      <c r="AI401" s="152">
        <f>IF(AL400&lt;=0.005,0,AL400*(1+AI$6))</f>
        <v/>
      </c>
      <c r="AJ401" s="152">
        <f>MIN(AI401,AI$7)</f>
        <v/>
      </c>
      <c r="AK401" s="152">
        <f>MAX(0,MIN(AI401-AJ401,AQ401-(E401+I401+M401+Q401+U401+Y401+AC401+AG401)))</f>
        <v/>
      </c>
      <c r="AL401" s="152">
        <f>AI401-AJ401-AK401</f>
        <v/>
      </c>
      <c r="AM401" s="152">
        <f>IF(AP400&lt;=0.005,0,AP400*(1+AM$6))</f>
        <v/>
      </c>
      <c r="AN401" s="152">
        <f>MIN(AM401,AM$7)</f>
        <v/>
      </c>
      <c r="AO401" s="152">
        <f>MAX(0,MIN(AM401-AN401,AQ401-(E401+I401+M401+Q401+U401+Y401+AC401+AG401+AK401)))</f>
        <v/>
      </c>
      <c r="AP401" s="152">
        <f>AM401-AN401-AO401</f>
        <v/>
      </c>
      <c r="AQ401" s="152">
        <f>'Debt Payoff'!$C$8-SUM(D401,H401,L401,P401,T401,X401,AB401,AF401,AJ401,AN401)</f>
        <v/>
      </c>
      <c r="AR401" s="152">
        <f>SUM(D401,H401,L401,P401,T401,X401,AB401,AF401,AJ401,AN401)+SUM(E401,I401,M401,Q401,U401,Y401,AC401,AG401,AK401,AO401)</f>
        <v/>
      </c>
      <c r="AS401" s="152">
        <f>SUM(F401,J401,N401,R401,V401,Z401,AD401,AH401,AL401,AP401)</f>
        <v/>
      </c>
      <c r="AT401" s="152">
        <f>IF(B401&gt;AS$6,NA(),B401)</f>
        <v/>
      </c>
      <c r="AU401" s="152">
        <f>IF(B401&gt;AS$6,NA(),AS401)</f>
        <v/>
      </c>
      <c r="AV401" s="152" t="n"/>
      <c r="AW401" s="152" t="n">
        <v>390</v>
      </c>
      <c r="AX401" s="152">
        <f>IF(BA400&lt;=0.005,0,BA400*(1+AX$6))</f>
        <v/>
      </c>
      <c r="AY401" s="152">
        <f>MIN(AX401,AX$7)</f>
        <v/>
      </c>
      <c r="AZ401" s="152">
        <f>MAX(0,MIN(AX401-AY401,CL401))</f>
        <v/>
      </c>
      <c r="BA401" s="152">
        <f>AX401-AY401-AZ401</f>
        <v/>
      </c>
      <c r="BB401" s="152">
        <f>IF(BE400&lt;=0.005,0,BE400*(1+BB$6))</f>
        <v/>
      </c>
      <c r="BC401" s="152">
        <f>MIN(BB401,BB$7)</f>
        <v/>
      </c>
      <c r="BD401" s="152">
        <f>MAX(0,MIN(BB401-BC401,CL401-(AZ401)))</f>
        <v/>
      </c>
      <c r="BE401" s="152">
        <f>BB401-BC401-BD401</f>
        <v/>
      </c>
      <c r="BF401" s="152">
        <f>IF(BI400&lt;=0.005,0,BI400*(1+BF$6))</f>
        <v/>
      </c>
      <c r="BG401" s="152">
        <f>MIN(BF401,BF$7)</f>
        <v/>
      </c>
      <c r="BH401" s="152">
        <f>MAX(0,MIN(BF401-BG401,CL401-(AZ401+BD401)))</f>
        <v/>
      </c>
      <c r="BI401" s="152">
        <f>BF401-BG401-BH401</f>
        <v/>
      </c>
      <c r="BJ401" s="152">
        <f>IF(BM400&lt;=0.005,0,BM400*(1+BJ$6))</f>
        <v/>
      </c>
      <c r="BK401" s="152">
        <f>MIN(BJ401,BJ$7)</f>
        <v/>
      </c>
      <c r="BL401" s="152">
        <f>MAX(0,MIN(BJ401-BK401,CL401-(AZ401+BD401+BH401)))</f>
        <v/>
      </c>
      <c r="BM401" s="152">
        <f>BJ401-BK401-BL401</f>
        <v/>
      </c>
      <c r="BN401" s="152">
        <f>IF(BQ400&lt;=0.005,0,BQ400*(1+BN$6))</f>
        <v/>
      </c>
      <c r="BO401" s="152">
        <f>MIN(BN401,BN$7)</f>
        <v/>
      </c>
      <c r="BP401" s="152">
        <f>MAX(0,MIN(BN401-BO401,CL401-(AZ401+BD401+BH401+BL401)))</f>
        <v/>
      </c>
      <c r="BQ401" s="152">
        <f>BN401-BO401-BP401</f>
        <v/>
      </c>
      <c r="BR401" s="152">
        <f>IF(BU400&lt;=0.005,0,BU400*(1+BR$6))</f>
        <v/>
      </c>
      <c r="BS401" s="152">
        <f>MIN(BR401,BR$7)</f>
        <v/>
      </c>
      <c r="BT401" s="152">
        <f>MAX(0,MIN(BR401-BS401,CL401-(AZ401+BD401+BH401+BL401+BP401)))</f>
        <v/>
      </c>
      <c r="BU401" s="152">
        <f>BR401-BS401-BT401</f>
        <v/>
      </c>
      <c r="BV401" s="152">
        <f>IF(BY400&lt;=0.005,0,BY400*(1+BV$6))</f>
        <v/>
      </c>
      <c r="BW401" s="152">
        <f>MIN(BV401,BV$7)</f>
        <v/>
      </c>
      <c r="BX401" s="152">
        <f>MAX(0,MIN(BV401-BW401,CL401-(AZ401+BD401+BH401+BL401+BP401+BT401)))</f>
        <v/>
      </c>
      <c r="BY401" s="152">
        <f>BV401-BW401-BX401</f>
        <v/>
      </c>
      <c r="BZ401" s="152">
        <f>IF(CC400&lt;=0.005,0,CC400*(1+BZ$6))</f>
        <v/>
      </c>
      <c r="CA401" s="152">
        <f>MIN(BZ401,BZ$7)</f>
        <v/>
      </c>
      <c r="CB401" s="152">
        <f>MAX(0,MIN(BZ401-CA401,CL401-(AZ401+BD401+BH401+BL401+BP401+BT401+BX401)))</f>
        <v/>
      </c>
      <c r="CC401" s="152">
        <f>BZ401-CA401-CB401</f>
        <v/>
      </c>
      <c r="CD401" s="152">
        <f>IF(CG400&lt;=0.005,0,CG400*(1+CD$6))</f>
        <v/>
      </c>
      <c r="CE401" s="152">
        <f>MIN(CD401,CD$7)</f>
        <v/>
      </c>
      <c r="CF401" s="152">
        <f>MAX(0,MIN(CD401-CE401,CL401-(AZ401+BD401+BH401+BL401+BP401+BT401+BX401+CB401)))</f>
        <v/>
      </c>
      <c r="CG401" s="152">
        <f>CD401-CE401-CF401</f>
        <v/>
      </c>
      <c r="CH401" s="152">
        <f>IF(CK400&lt;=0.005,0,CK400*(1+CH$6))</f>
        <v/>
      </c>
      <c r="CI401" s="152">
        <f>MIN(CH401,CH$7)</f>
        <v/>
      </c>
      <c r="CJ401" s="152">
        <f>MAX(0,MIN(CH401-CI401,CL401-(AZ401+BD401+BH401+BL401+BP401+BT401+BX401+CB401+CF401)))</f>
        <v/>
      </c>
      <c r="CK401" s="152">
        <f>CH401-CI401-CJ401</f>
        <v/>
      </c>
      <c r="CL401" s="152">
        <f>'Debt Payoff'!$C$8-SUM(AY401,BC401,BG401,BK401,BO401,BS401,BW401,CA401,CE401,CI401)</f>
        <v/>
      </c>
      <c r="CM401" s="152">
        <f>SUM(AY401,BC401,BG401,BK401,BO401,BS401,BW401,CA401,CE401,CI401)+SUM(AZ401,BD401,BH401,BL401,BP401,BT401,BX401,CB401,CF401,CJ401)</f>
        <v/>
      </c>
      <c r="CN401" s="152">
        <f>SUM(BA401,BE401,BI401,BM401,BQ401,BU401,BY401,CC401,CG401,CK401)</f>
        <v/>
      </c>
      <c r="CO401" s="152">
        <f>IF(AW401&gt;CN$6,NA(),AW401)</f>
        <v/>
      </c>
      <c r="CP401" s="152">
        <f>IF(AW401&gt;CN$6,NA(),CN401)</f>
        <v/>
      </c>
    </row>
    <row r="402">
      <c r="B402" s="152" t="n">
        <v>391</v>
      </c>
      <c r="C402" s="152">
        <f>IF(F401&lt;=0.005,0,F401*(1+C$6))</f>
        <v/>
      </c>
      <c r="D402" s="152">
        <f>MIN(C402,C$7)</f>
        <v/>
      </c>
      <c r="E402" s="152">
        <f>MAX(0,MIN(C402-D402,AQ402))</f>
        <v/>
      </c>
      <c r="F402" s="152">
        <f>C402-D402-E402</f>
        <v/>
      </c>
      <c r="G402" s="152">
        <f>IF(J401&lt;=0.005,0,J401*(1+G$6))</f>
        <v/>
      </c>
      <c r="H402" s="152">
        <f>MIN(G402,G$7)</f>
        <v/>
      </c>
      <c r="I402" s="152">
        <f>MAX(0,MIN(G402-H402,AQ402-(E402)))</f>
        <v/>
      </c>
      <c r="J402" s="152">
        <f>G402-H402-I402</f>
        <v/>
      </c>
      <c r="K402" s="152">
        <f>IF(N401&lt;=0.005,0,N401*(1+K$6))</f>
        <v/>
      </c>
      <c r="L402" s="152">
        <f>MIN(K402,K$7)</f>
        <v/>
      </c>
      <c r="M402" s="152">
        <f>MAX(0,MIN(K402-L402,AQ402-(E402+I402)))</f>
        <v/>
      </c>
      <c r="N402" s="152">
        <f>K402-L402-M402</f>
        <v/>
      </c>
      <c r="O402" s="152">
        <f>IF(R401&lt;=0.005,0,R401*(1+O$6))</f>
        <v/>
      </c>
      <c r="P402" s="152">
        <f>MIN(O402,O$7)</f>
        <v/>
      </c>
      <c r="Q402" s="152">
        <f>MAX(0,MIN(O402-P402,AQ402-(E402+I402+M402)))</f>
        <v/>
      </c>
      <c r="R402" s="152">
        <f>O402-P402-Q402</f>
        <v/>
      </c>
      <c r="S402" s="152">
        <f>IF(V401&lt;=0.005,0,V401*(1+S$6))</f>
        <v/>
      </c>
      <c r="T402" s="152">
        <f>MIN(S402,S$7)</f>
        <v/>
      </c>
      <c r="U402" s="152">
        <f>MAX(0,MIN(S402-T402,AQ402-(E402+I402+M402+Q402)))</f>
        <v/>
      </c>
      <c r="V402" s="152">
        <f>S402-T402-U402</f>
        <v/>
      </c>
      <c r="W402" s="152">
        <f>IF(Z401&lt;=0.005,0,Z401*(1+W$6))</f>
        <v/>
      </c>
      <c r="X402" s="152">
        <f>MIN(W402,W$7)</f>
        <v/>
      </c>
      <c r="Y402" s="152">
        <f>MAX(0,MIN(W402-X402,AQ402-(E402+I402+M402+Q402+U402)))</f>
        <v/>
      </c>
      <c r="Z402" s="152">
        <f>W402-X402-Y402</f>
        <v/>
      </c>
      <c r="AA402" s="152">
        <f>IF(AD401&lt;=0.005,0,AD401*(1+AA$6))</f>
        <v/>
      </c>
      <c r="AB402" s="152">
        <f>MIN(AA402,AA$7)</f>
        <v/>
      </c>
      <c r="AC402" s="152">
        <f>MAX(0,MIN(AA402-AB402,AQ402-(E402+I402+M402+Q402+U402+Y402)))</f>
        <v/>
      </c>
      <c r="AD402" s="152">
        <f>AA402-AB402-AC402</f>
        <v/>
      </c>
      <c r="AE402" s="152">
        <f>IF(AH401&lt;=0.005,0,AH401*(1+AE$6))</f>
        <v/>
      </c>
      <c r="AF402" s="152">
        <f>MIN(AE402,AE$7)</f>
        <v/>
      </c>
      <c r="AG402" s="152">
        <f>MAX(0,MIN(AE402-AF402,AQ402-(E402+I402+M402+Q402+U402+Y402+AC402)))</f>
        <v/>
      </c>
      <c r="AH402" s="152">
        <f>AE402-AF402-AG402</f>
        <v/>
      </c>
      <c r="AI402" s="152">
        <f>IF(AL401&lt;=0.005,0,AL401*(1+AI$6))</f>
        <v/>
      </c>
      <c r="AJ402" s="152">
        <f>MIN(AI402,AI$7)</f>
        <v/>
      </c>
      <c r="AK402" s="152">
        <f>MAX(0,MIN(AI402-AJ402,AQ402-(E402+I402+M402+Q402+U402+Y402+AC402+AG402)))</f>
        <v/>
      </c>
      <c r="AL402" s="152">
        <f>AI402-AJ402-AK402</f>
        <v/>
      </c>
      <c r="AM402" s="152">
        <f>IF(AP401&lt;=0.005,0,AP401*(1+AM$6))</f>
        <v/>
      </c>
      <c r="AN402" s="152">
        <f>MIN(AM402,AM$7)</f>
        <v/>
      </c>
      <c r="AO402" s="152">
        <f>MAX(0,MIN(AM402-AN402,AQ402-(E402+I402+M402+Q402+U402+Y402+AC402+AG402+AK402)))</f>
        <v/>
      </c>
      <c r="AP402" s="152">
        <f>AM402-AN402-AO402</f>
        <v/>
      </c>
      <c r="AQ402" s="152">
        <f>'Debt Payoff'!$C$8-SUM(D402,H402,L402,P402,T402,X402,AB402,AF402,AJ402,AN402)</f>
        <v/>
      </c>
      <c r="AR402" s="152">
        <f>SUM(D402,H402,L402,P402,T402,X402,AB402,AF402,AJ402,AN402)+SUM(E402,I402,M402,Q402,U402,Y402,AC402,AG402,AK402,AO402)</f>
        <v/>
      </c>
      <c r="AS402" s="152">
        <f>SUM(F402,J402,N402,R402,V402,Z402,AD402,AH402,AL402,AP402)</f>
        <v/>
      </c>
      <c r="AT402" s="152">
        <f>IF(B402&gt;AS$6,NA(),B402)</f>
        <v/>
      </c>
      <c r="AU402" s="152">
        <f>IF(B402&gt;AS$6,NA(),AS402)</f>
        <v/>
      </c>
      <c r="AV402" s="152" t="n"/>
      <c r="AW402" s="152" t="n">
        <v>391</v>
      </c>
      <c r="AX402" s="152">
        <f>IF(BA401&lt;=0.005,0,BA401*(1+AX$6))</f>
        <v/>
      </c>
      <c r="AY402" s="152">
        <f>MIN(AX402,AX$7)</f>
        <v/>
      </c>
      <c r="AZ402" s="152">
        <f>MAX(0,MIN(AX402-AY402,CL402))</f>
        <v/>
      </c>
      <c r="BA402" s="152">
        <f>AX402-AY402-AZ402</f>
        <v/>
      </c>
      <c r="BB402" s="152">
        <f>IF(BE401&lt;=0.005,0,BE401*(1+BB$6))</f>
        <v/>
      </c>
      <c r="BC402" s="152">
        <f>MIN(BB402,BB$7)</f>
        <v/>
      </c>
      <c r="BD402" s="152">
        <f>MAX(0,MIN(BB402-BC402,CL402-(AZ402)))</f>
        <v/>
      </c>
      <c r="BE402" s="152">
        <f>BB402-BC402-BD402</f>
        <v/>
      </c>
      <c r="BF402" s="152">
        <f>IF(BI401&lt;=0.005,0,BI401*(1+BF$6))</f>
        <v/>
      </c>
      <c r="BG402" s="152">
        <f>MIN(BF402,BF$7)</f>
        <v/>
      </c>
      <c r="BH402" s="152">
        <f>MAX(0,MIN(BF402-BG402,CL402-(AZ402+BD402)))</f>
        <v/>
      </c>
      <c r="BI402" s="152">
        <f>BF402-BG402-BH402</f>
        <v/>
      </c>
      <c r="BJ402" s="152">
        <f>IF(BM401&lt;=0.005,0,BM401*(1+BJ$6))</f>
        <v/>
      </c>
      <c r="BK402" s="152">
        <f>MIN(BJ402,BJ$7)</f>
        <v/>
      </c>
      <c r="BL402" s="152">
        <f>MAX(0,MIN(BJ402-BK402,CL402-(AZ402+BD402+BH402)))</f>
        <v/>
      </c>
      <c r="BM402" s="152">
        <f>BJ402-BK402-BL402</f>
        <v/>
      </c>
      <c r="BN402" s="152">
        <f>IF(BQ401&lt;=0.005,0,BQ401*(1+BN$6))</f>
        <v/>
      </c>
      <c r="BO402" s="152">
        <f>MIN(BN402,BN$7)</f>
        <v/>
      </c>
      <c r="BP402" s="152">
        <f>MAX(0,MIN(BN402-BO402,CL402-(AZ402+BD402+BH402+BL402)))</f>
        <v/>
      </c>
      <c r="BQ402" s="152">
        <f>BN402-BO402-BP402</f>
        <v/>
      </c>
      <c r="BR402" s="152">
        <f>IF(BU401&lt;=0.005,0,BU401*(1+BR$6))</f>
        <v/>
      </c>
      <c r="BS402" s="152">
        <f>MIN(BR402,BR$7)</f>
        <v/>
      </c>
      <c r="BT402" s="152">
        <f>MAX(0,MIN(BR402-BS402,CL402-(AZ402+BD402+BH402+BL402+BP402)))</f>
        <v/>
      </c>
      <c r="BU402" s="152">
        <f>BR402-BS402-BT402</f>
        <v/>
      </c>
      <c r="BV402" s="152">
        <f>IF(BY401&lt;=0.005,0,BY401*(1+BV$6))</f>
        <v/>
      </c>
      <c r="BW402" s="152">
        <f>MIN(BV402,BV$7)</f>
        <v/>
      </c>
      <c r="BX402" s="152">
        <f>MAX(0,MIN(BV402-BW402,CL402-(AZ402+BD402+BH402+BL402+BP402+BT402)))</f>
        <v/>
      </c>
      <c r="BY402" s="152">
        <f>BV402-BW402-BX402</f>
        <v/>
      </c>
      <c r="BZ402" s="152">
        <f>IF(CC401&lt;=0.005,0,CC401*(1+BZ$6))</f>
        <v/>
      </c>
      <c r="CA402" s="152">
        <f>MIN(BZ402,BZ$7)</f>
        <v/>
      </c>
      <c r="CB402" s="152">
        <f>MAX(0,MIN(BZ402-CA402,CL402-(AZ402+BD402+BH402+BL402+BP402+BT402+BX402)))</f>
        <v/>
      </c>
      <c r="CC402" s="152">
        <f>BZ402-CA402-CB402</f>
        <v/>
      </c>
      <c r="CD402" s="152">
        <f>IF(CG401&lt;=0.005,0,CG401*(1+CD$6))</f>
        <v/>
      </c>
      <c r="CE402" s="152">
        <f>MIN(CD402,CD$7)</f>
        <v/>
      </c>
      <c r="CF402" s="152">
        <f>MAX(0,MIN(CD402-CE402,CL402-(AZ402+BD402+BH402+BL402+BP402+BT402+BX402+CB402)))</f>
        <v/>
      </c>
      <c r="CG402" s="152">
        <f>CD402-CE402-CF402</f>
        <v/>
      </c>
      <c r="CH402" s="152">
        <f>IF(CK401&lt;=0.005,0,CK401*(1+CH$6))</f>
        <v/>
      </c>
      <c r="CI402" s="152">
        <f>MIN(CH402,CH$7)</f>
        <v/>
      </c>
      <c r="CJ402" s="152">
        <f>MAX(0,MIN(CH402-CI402,CL402-(AZ402+BD402+BH402+BL402+BP402+BT402+BX402+CB402+CF402)))</f>
        <v/>
      </c>
      <c r="CK402" s="152">
        <f>CH402-CI402-CJ402</f>
        <v/>
      </c>
      <c r="CL402" s="152">
        <f>'Debt Payoff'!$C$8-SUM(AY402,BC402,BG402,BK402,BO402,BS402,BW402,CA402,CE402,CI402)</f>
        <v/>
      </c>
      <c r="CM402" s="152">
        <f>SUM(AY402,BC402,BG402,BK402,BO402,BS402,BW402,CA402,CE402,CI402)+SUM(AZ402,BD402,BH402,BL402,BP402,BT402,BX402,CB402,CF402,CJ402)</f>
        <v/>
      </c>
      <c r="CN402" s="152">
        <f>SUM(BA402,BE402,BI402,BM402,BQ402,BU402,BY402,CC402,CG402,CK402)</f>
        <v/>
      </c>
      <c r="CO402" s="152">
        <f>IF(AW402&gt;CN$6,NA(),AW402)</f>
        <v/>
      </c>
      <c r="CP402" s="152">
        <f>IF(AW402&gt;CN$6,NA(),CN402)</f>
        <v/>
      </c>
    </row>
    <row r="403">
      <c r="B403" s="152" t="n">
        <v>392</v>
      </c>
      <c r="C403" s="152">
        <f>IF(F402&lt;=0.005,0,F402*(1+C$6))</f>
        <v/>
      </c>
      <c r="D403" s="152">
        <f>MIN(C403,C$7)</f>
        <v/>
      </c>
      <c r="E403" s="152">
        <f>MAX(0,MIN(C403-D403,AQ403))</f>
        <v/>
      </c>
      <c r="F403" s="152">
        <f>C403-D403-E403</f>
        <v/>
      </c>
      <c r="G403" s="152">
        <f>IF(J402&lt;=0.005,0,J402*(1+G$6))</f>
        <v/>
      </c>
      <c r="H403" s="152">
        <f>MIN(G403,G$7)</f>
        <v/>
      </c>
      <c r="I403" s="152">
        <f>MAX(0,MIN(G403-H403,AQ403-(E403)))</f>
        <v/>
      </c>
      <c r="J403" s="152">
        <f>G403-H403-I403</f>
        <v/>
      </c>
      <c r="K403" s="152">
        <f>IF(N402&lt;=0.005,0,N402*(1+K$6))</f>
        <v/>
      </c>
      <c r="L403" s="152">
        <f>MIN(K403,K$7)</f>
        <v/>
      </c>
      <c r="M403" s="152">
        <f>MAX(0,MIN(K403-L403,AQ403-(E403+I403)))</f>
        <v/>
      </c>
      <c r="N403" s="152">
        <f>K403-L403-M403</f>
        <v/>
      </c>
      <c r="O403" s="152">
        <f>IF(R402&lt;=0.005,0,R402*(1+O$6))</f>
        <v/>
      </c>
      <c r="P403" s="152">
        <f>MIN(O403,O$7)</f>
        <v/>
      </c>
      <c r="Q403" s="152">
        <f>MAX(0,MIN(O403-P403,AQ403-(E403+I403+M403)))</f>
        <v/>
      </c>
      <c r="R403" s="152">
        <f>O403-P403-Q403</f>
        <v/>
      </c>
      <c r="S403" s="152">
        <f>IF(V402&lt;=0.005,0,V402*(1+S$6))</f>
        <v/>
      </c>
      <c r="T403" s="152">
        <f>MIN(S403,S$7)</f>
        <v/>
      </c>
      <c r="U403" s="152">
        <f>MAX(0,MIN(S403-T403,AQ403-(E403+I403+M403+Q403)))</f>
        <v/>
      </c>
      <c r="V403" s="152">
        <f>S403-T403-U403</f>
        <v/>
      </c>
      <c r="W403" s="152">
        <f>IF(Z402&lt;=0.005,0,Z402*(1+W$6))</f>
        <v/>
      </c>
      <c r="X403" s="152">
        <f>MIN(W403,W$7)</f>
        <v/>
      </c>
      <c r="Y403" s="152">
        <f>MAX(0,MIN(W403-X403,AQ403-(E403+I403+M403+Q403+U403)))</f>
        <v/>
      </c>
      <c r="Z403" s="152">
        <f>W403-X403-Y403</f>
        <v/>
      </c>
      <c r="AA403" s="152">
        <f>IF(AD402&lt;=0.005,0,AD402*(1+AA$6))</f>
        <v/>
      </c>
      <c r="AB403" s="152">
        <f>MIN(AA403,AA$7)</f>
        <v/>
      </c>
      <c r="AC403" s="152">
        <f>MAX(0,MIN(AA403-AB403,AQ403-(E403+I403+M403+Q403+U403+Y403)))</f>
        <v/>
      </c>
      <c r="AD403" s="152">
        <f>AA403-AB403-AC403</f>
        <v/>
      </c>
      <c r="AE403" s="152">
        <f>IF(AH402&lt;=0.005,0,AH402*(1+AE$6))</f>
        <v/>
      </c>
      <c r="AF403" s="152">
        <f>MIN(AE403,AE$7)</f>
        <v/>
      </c>
      <c r="AG403" s="152">
        <f>MAX(0,MIN(AE403-AF403,AQ403-(E403+I403+M403+Q403+U403+Y403+AC403)))</f>
        <v/>
      </c>
      <c r="AH403" s="152">
        <f>AE403-AF403-AG403</f>
        <v/>
      </c>
      <c r="AI403" s="152">
        <f>IF(AL402&lt;=0.005,0,AL402*(1+AI$6))</f>
        <v/>
      </c>
      <c r="AJ403" s="152">
        <f>MIN(AI403,AI$7)</f>
        <v/>
      </c>
      <c r="AK403" s="152">
        <f>MAX(0,MIN(AI403-AJ403,AQ403-(E403+I403+M403+Q403+U403+Y403+AC403+AG403)))</f>
        <v/>
      </c>
      <c r="AL403" s="152">
        <f>AI403-AJ403-AK403</f>
        <v/>
      </c>
      <c r="AM403" s="152">
        <f>IF(AP402&lt;=0.005,0,AP402*(1+AM$6))</f>
        <v/>
      </c>
      <c r="AN403" s="152">
        <f>MIN(AM403,AM$7)</f>
        <v/>
      </c>
      <c r="AO403" s="152">
        <f>MAX(0,MIN(AM403-AN403,AQ403-(E403+I403+M403+Q403+U403+Y403+AC403+AG403+AK403)))</f>
        <v/>
      </c>
      <c r="AP403" s="152">
        <f>AM403-AN403-AO403</f>
        <v/>
      </c>
      <c r="AQ403" s="152">
        <f>'Debt Payoff'!$C$8-SUM(D403,H403,L403,P403,T403,X403,AB403,AF403,AJ403,AN403)</f>
        <v/>
      </c>
      <c r="AR403" s="152">
        <f>SUM(D403,H403,L403,P403,T403,X403,AB403,AF403,AJ403,AN403)+SUM(E403,I403,M403,Q403,U403,Y403,AC403,AG403,AK403,AO403)</f>
        <v/>
      </c>
      <c r="AS403" s="152">
        <f>SUM(F403,J403,N403,R403,V403,Z403,AD403,AH403,AL403,AP403)</f>
        <v/>
      </c>
      <c r="AT403" s="152">
        <f>IF(B403&gt;AS$6,NA(),B403)</f>
        <v/>
      </c>
      <c r="AU403" s="152">
        <f>IF(B403&gt;AS$6,NA(),AS403)</f>
        <v/>
      </c>
      <c r="AV403" s="152" t="n"/>
      <c r="AW403" s="152" t="n">
        <v>392</v>
      </c>
      <c r="AX403" s="152">
        <f>IF(BA402&lt;=0.005,0,BA402*(1+AX$6))</f>
        <v/>
      </c>
      <c r="AY403" s="152">
        <f>MIN(AX403,AX$7)</f>
        <v/>
      </c>
      <c r="AZ403" s="152">
        <f>MAX(0,MIN(AX403-AY403,CL403))</f>
        <v/>
      </c>
      <c r="BA403" s="152">
        <f>AX403-AY403-AZ403</f>
        <v/>
      </c>
      <c r="BB403" s="152">
        <f>IF(BE402&lt;=0.005,0,BE402*(1+BB$6))</f>
        <v/>
      </c>
      <c r="BC403" s="152">
        <f>MIN(BB403,BB$7)</f>
        <v/>
      </c>
      <c r="BD403" s="152">
        <f>MAX(0,MIN(BB403-BC403,CL403-(AZ403)))</f>
        <v/>
      </c>
      <c r="BE403" s="152">
        <f>BB403-BC403-BD403</f>
        <v/>
      </c>
      <c r="BF403" s="152">
        <f>IF(BI402&lt;=0.005,0,BI402*(1+BF$6))</f>
        <v/>
      </c>
      <c r="BG403" s="152">
        <f>MIN(BF403,BF$7)</f>
        <v/>
      </c>
      <c r="BH403" s="152">
        <f>MAX(0,MIN(BF403-BG403,CL403-(AZ403+BD403)))</f>
        <v/>
      </c>
      <c r="BI403" s="152">
        <f>BF403-BG403-BH403</f>
        <v/>
      </c>
      <c r="BJ403" s="152">
        <f>IF(BM402&lt;=0.005,0,BM402*(1+BJ$6))</f>
        <v/>
      </c>
      <c r="BK403" s="152">
        <f>MIN(BJ403,BJ$7)</f>
        <v/>
      </c>
      <c r="BL403" s="152">
        <f>MAX(0,MIN(BJ403-BK403,CL403-(AZ403+BD403+BH403)))</f>
        <v/>
      </c>
      <c r="BM403" s="152">
        <f>BJ403-BK403-BL403</f>
        <v/>
      </c>
      <c r="BN403" s="152">
        <f>IF(BQ402&lt;=0.005,0,BQ402*(1+BN$6))</f>
        <v/>
      </c>
      <c r="BO403" s="152">
        <f>MIN(BN403,BN$7)</f>
        <v/>
      </c>
      <c r="BP403" s="152">
        <f>MAX(0,MIN(BN403-BO403,CL403-(AZ403+BD403+BH403+BL403)))</f>
        <v/>
      </c>
      <c r="BQ403" s="152">
        <f>BN403-BO403-BP403</f>
        <v/>
      </c>
      <c r="BR403" s="152">
        <f>IF(BU402&lt;=0.005,0,BU402*(1+BR$6))</f>
        <v/>
      </c>
      <c r="BS403" s="152">
        <f>MIN(BR403,BR$7)</f>
        <v/>
      </c>
      <c r="BT403" s="152">
        <f>MAX(0,MIN(BR403-BS403,CL403-(AZ403+BD403+BH403+BL403+BP403)))</f>
        <v/>
      </c>
      <c r="BU403" s="152">
        <f>BR403-BS403-BT403</f>
        <v/>
      </c>
      <c r="BV403" s="152">
        <f>IF(BY402&lt;=0.005,0,BY402*(1+BV$6))</f>
        <v/>
      </c>
      <c r="BW403" s="152">
        <f>MIN(BV403,BV$7)</f>
        <v/>
      </c>
      <c r="BX403" s="152">
        <f>MAX(0,MIN(BV403-BW403,CL403-(AZ403+BD403+BH403+BL403+BP403+BT403)))</f>
        <v/>
      </c>
      <c r="BY403" s="152">
        <f>BV403-BW403-BX403</f>
        <v/>
      </c>
      <c r="BZ403" s="152">
        <f>IF(CC402&lt;=0.005,0,CC402*(1+BZ$6))</f>
        <v/>
      </c>
      <c r="CA403" s="152">
        <f>MIN(BZ403,BZ$7)</f>
        <v/>
      </c>
      <c r="CB403" s="152">
        <f>MAX(0,MIN(BZ403-CA403,CL403-(AZ403+BD403+BH403+BL403+BP403+BT403+BX403)))</f>
        <v/>
      </c>
      <c r="CC403" s="152">
        <f>BZ403-CA403-CB403</f>
        <v/>
      </c>
      <c r="CD403" s="152">
        <f>IF(CG402&lt;=0.005,0,CG402*(1+CD$6))</f>
        <v/>
      </c>
      <c r="CE403" s="152">
        <f>MIN(CD403,CD$7)</f>
        <v/>
      </c>
      <c r="CF403" s="152">
        <f>MAX(0,MIN(CD403-CE403,CL403-(AZ403+BD403+BH403+BL403+BP403+BT403+BX403+CB403)))</f>
        <v/>
      </c>
      <c r="CG403" s="152">
        <f>CD403-CE403-CF403</f>
        <v/>
      </c>
      <c r="CH403" s="152">
        <f>IF(CK402&lt;=0.005,0,CK402*(1+CH$6))</f>
        <v/>
      </c>
      <c r="CI403" s="152">
        <f>MIN(CH403,CH$7)</f>
        <v/>
      </c>
      <c r="CJ403" s="152">
        <f>MAX(0,MIN(CH403-CI403,CL403-(AZ403+BD403+BH403+BL403+BP403+BT403+BX403+CB403+CF403)))</f>
        <v/>
      </c>
      <c r="CK403" s="152">
        <f>CH403-CI403-CJ403</f>
        <v/>
      </c>
      <c r="CL403" s="152">
        <f>'Debt Payoff'!$C$8-SUM(AY403,BC403,BG403,BK403,BO403,BS403,BW403,CA403,CE403,CI403)</f>
        <v/>
      </c>
      <c r="CM403" s="152">
        <f>SUM(AY403,BC403,BG403,BK403,BO403,BS403,BW403,CA403,CE403,CI403)+SUM(AZ403,BD403,BH403,BL403,BP403,BT403,BX403,CB403,CF403,CJ403)</f>
        <v/>
      </c>
      <c r="CN403" s="152">
        <f>SUM(BA403,BE403,BI403,BM403,BQ403,BU403,BY403,CC403,CG403,CK403)</f>
        <v/>
      </c>
      <c r="CO403" s="152">
        <f>IF(AW403&gt;CN$6,NA(),AW403)</f>
        <v/>
      </c>
      <c r="CP403" s="152">
        <f>IF(AW403&gt;CN$6,NA(),CN403)</f>
        <v/>
      </c>
    </row>
    <row r="404">
      <c r="B404" s="152" t="n">
        <v>393</v>
      </c>
      <c r="C404" s="152">
        <f>IF(F403&lt;=0.005,0,F403*(1+C$6))</f>
        <v/>
      </c>
      <c r="D404" s="152">
        <f>MIN(C404,C$7)</f>
        <v/>
      </c>
      <c r="E404" s="152">
        <f>MAX(0,MIN(C404-D404,AQ404))</f>
        <v/>
      </c>
      <c r="F404" s="152">
        <f>C404-D404-E404</f>
        <v/>
      </c>
      <c r="G404" s="152">
        <f>IF(J403&lt;=0.005,0,J403*(1+G$6))</f>
        <v/>
      </c>
      <c r="H404" s="152">
        <f>MIN(G404,G$7)</f>
        <v/>
      </c>
      <c r="I404" s="152">
        <f>MAX(0,MIN(G404-H404,AQ404-(E404)))</f>
        <v/>
      </c>
      <c r="J404" s="152">
        <f>G404-H404-I404</f>
        <v/>
      </c>
      <c r="K404" s="152">
        <f>IF(N403&lt;=0.005,0,N403*(1+K$6))</f>
        <v/>
      </c>
      <c r="L404" s="152">
        <f>MIN(K404,K$7)</f>
        <v/>
      </c>
      <c r="M404" s="152">
        <f>MAX(0,MIN(K404-L404,AQ404-(E404+I404)))</f>
        <v/>
      </c>
      <c r="N404" s="152">
        <f>K404-L404-M404</f>
        <v/>
      </c>
      <c r="O404" s="152">
        <f>IF(R403&lt;=0.005,0,R403*(1+O$6))</f>
        <v/>
      </c>
      <c r="P404" s="152">
        <f>MIN(O404,O$7)</f>
        <v/>
      </c>
      <c r="Q404" s="152">
        <f>MAX(0,MIN(O404-P404,AQ404-(E404+I404+M404)))</f>
        <v/>
      </c>
      <c r="R404" s="152">
        <f>O404-P404-Q404</f>
        <v/>
      </c>
      <c r="S404" s="152">
        <f>IF(V403&lt;=0.005,0,V403*(1+S$6))</f>
        <v/>
      </c>
      <c r="T404" s="152">
        <f>MIN(S404,S$7)</f>
        <v/>
      </c>
      <c r="U404" s="152">
        <f>MAX(0,MIN(S404-T404,AQ404-(E404+I404+M404+Q404)))</f>
        <v/>
      </c>
      <c r="V404" s="152">
        <f>S404-T404-U404</f>
        <v/>
      </c>
      <c r="W404" s="152">
        <f>IF(Z403&lt;=0.005,0,Z403*(1+W$6))</f>
        <v/>
      </c>
      <c r="X404" s="152">
        <f>MIN(W404,W$7)</f>
        <v/>
      </c>
      <c r="Y404" s="152">
        <f>MAX(0,MIN(W404-X404,AQ404-(E404+I404+M404+Q404+U404)))</f>
        <v/>
      </c>
      <c r="Z404" s="152">
        <f>W404-X404-Y404</f>
        <v/>
      </c>
      <c r="AA404" s="152">
        <f>IF(AD403&lt;=0.005,0,AD403*(1+AA$6))</f>
        <v/>
      </c>
      <c r="AB404" s="152">
        <f>MIN(AA404,AA$7)</f>
        <v/>
      </c>
      <c r="AC404" s="152">
        <f>MAX(0,MIN(AA404-AB404,AQ404-(E404+I404+M404+Q404+U404+Y404)))</f>
        <v/>
      </c>
      <c r="AD404" s="152">
        <f>AA404-AB404-AC404</f>
        <v/>
      </c>
      <c r="AE404" s="152">
        <f>IF(AH403&lt;=0.005,0,AH403*(1+AE$6))</f>
        <v/>
      </c>
      <c r="AF404" s="152">
        <f>MIN(AE404,AE$7)</f>
        <v/>
      </c>
      <c r="AG404" s="152">
        <f>MAX(0,MIN(AE404-AF404,AQ404-(E404+I404+M404+Q404+U404+Y404+AC404)))</f>
        <v/>
      </c>
      <c r="AH404" s="152">
        <f>AE404-AF404-AG404</f>
        <v/>
      </c>
      <c r="AI404" s="152">
        <f>IF(AL403&lt;=0.005,0,AL403*(1+AI$6))</f>
        <v/>
      </c>
      <c r="AJ404" s="152">
        <f>MIN(AI404,AI$7)</f>
        <v/>
      </c>
      <c r="AK404" s="152">
        <f>MAX(0,MIN(AI404-AJ404,AQ404-(E404+I404+M404+Q404+U404+Y404+AC404+AG404)))</f>
        <v/>
      </c>
      <c r="AL404" s="152">
        <f>AI404-AJ404-AK404</f>
        <v/>
      </c>
      <c r="AM404" s="152">
        <f>IF(AP403&lt;=0.005,0,AP403*(1+AM$6))</f>
        <v/>
      </c>
      <c r="AN404" s="152">
        <f>MIN(AM404,AM$7)</f>
        <v/>
      </c>
      <c r="AO404" s="152">
        <f>MAX(0,MIN(AM404-AN404,AQ404-(E404+I404+M404+Q404+U404+Y404+AC404+AG404+AK404)))</f>
        <v/>
      </c>
      <c r="AP404" s="152">
        <f>AM404-AN404-AO404</f>
        <v/>
      </c>
      <c r="AQ404" s="152">
        <f>'Debt Payoff'!$C$8-SUM(D404,H404,L404,P404,T404,X404,AB404,AF404,AJ404,AN404)</f>
        <v/>
      </c>
      <c r="AR404" s="152">
        <f>SUM(D404,H404,L404,P404,T404,X404,AB404,AF404,AJ404,AN404)+SUM(E404,I404,M404,Q404,U404,Y404,AC404,AG404,AK404,AO404)</f>
        <v/>
      </c>
      <c r="AS404" s="152">
        <f>SUM(F404,J404,N404,R404,V404,Z404,AD404,AH404,AL404,AP404)</f>
        <v/>
      </c>
      <c r="AT404" s="152">
        <f>IF(B404&gt;AS$6,NA(),B404)</f>
        <v/>
      </c>
      <c r="AU404" s="152">
        <f>IF(B404&gt;AS$6,NA(),AS404)</f>
        <v/>
      </c>
      <c r="AV404" s="152" t="n"/>
      <c r="AW404" s="152" t="n">
        <v>393</v>
      </c>
      <c r="AX404" s="152">
        <f>IF(BA403&lt;=0.005,0,BA403*(1+AX$6))</f>
        <v/>
      </c>
      <c r="AY404" s="152">
        <f>MIN(AX404,AX$7)</f>
        <v/>
      </c>
      <c r="AZ404" s="152">
        <f>MAX(0,MIN(AX404-AY404,CL404))</f>
        <v/>
      </c>
      <c r="BA404" s="152">
        <f>AX404-AY404-AZ404</f>
        <v/>
      </c>
      <c r="BB404" s="152">
        <f>IF(BE403&lt;=0.005,0,BE403*(1+BB$6))</f>
        <v/>
      </c>
      <c r="BC404" s="152">
        <f>MIN(BB404,BB$7)</f>
        <v/>
      </c>
      <c r="BD404" s="152">
        <f>MAX(0,MIN(BB404-BC404,CL404-(AZ404)))</f>
        <v/>
      </c>
      <c r="BE404" s="152">
        <f>BB404-BC404-BD404</f>
        <v/>
      </c>
      <c r="BF404" s="152">
        <f>IF(BI403&lt;=0.005,0,BI403*(1+BF$6))</f>
        <v/>
      </c>
      <c r="BG404" s="152">
        <f>MIN(BF404,BF$7)</f>
        <v/>
      </c>
      <c r="BH404" s="152">
        <f>MAX(0,MIN(BF404-BG404,CL404-(AZ404+BD404)))</f>
        <v/>
      </c>
      <c r="BI404" s="152">
        <f>BF404-BG404-BH404</f>
        <v/>
      </c>
      <c r="BJ404" s="152">
        <f>IF(BM403&lt;=0.005,0,BM403*(1+BJ$6))</f>
        <v/>
      </c>
      <c r="BK404" s="152">
        <f>MIN(BJ404,BJ$7)</f>
        <v/>
      </c>
      <c r="BL404" s="152">
        <f>MAX(0,MIN(BJ404-BK404,CL404-(AZ404+BD404+BH404)))</f>
        <v/>
      </c>
      <c r="BM404" s="152">
        <f>BJ404-BK404-BL404</f>
        <v/>
      </c>
      <c r="BN404" s="152">
        <f>IF(BQ403&lt;=0.005,0,BQ403*(1+BN$6))</f>
        <v/>
      </c>
      <c r="BO404" s="152">
        <f>MIN(BN404,BN$7)</f>
        <v/>
      </c>
      <c r="BP404" s="152">
        <f>MAX(0,MIN(BN404-BO404,CL404-(AZ404+BD404+BH404+BL404)))</f>
        <v/>
      </c>
      <c r="BQ404" s="152">
        <f>BN404-BO404-BP404</f>
        <v/>
      </c>
      <c r="BR404" s="152">
        <f>IF(BU403&lt;=0.005,0,BU403*(1+BR$6))</f>
        <v/>
      </c>
      <c r="BS404" s="152">
        <f>MIN(BR404,BR$7)</f>
        <v/>
      </c>
      <c r="BT404" s="152">
        <f>MAX(0,MIN(BR404-BS404,CL404-(AZ404+BD404+BH404+BL404+BP404)))</f>
        <v/>
      </c>
      <c r="BU404" s="152">
        <f>BR404-BS404-BT404</f>
        <v/>
      </c>
      <c r="BV404" s="152">
        <f>IF(BY403&lt;=0.005,0,BY403*(1+BV$6))</f>
        <v/>
      </c>
      <c r="BW404" s="152">
        <f>MIN(BV404,BV$7)</f>
        <v/>
      </c>
      <c r="BX404" s="152">
        <f>MAX(0,MIN(BV404-BW404,CL404-(AZ404+BD404+BH404+BL404+BP404+BT404)))</f>
        <v/>
      </c>
      <c r="BY404" s="152">
        <f>BV404-BW404-BX404</f>
        <v/>
      </c>
      <c r="BZ404" s="152">
        <f>IF(CC403&lt;=0.005,0,CC403*(1+BZ$6))</f>
        <v/>
      </c>
      <c r="CA404" s="152">
        <f>MIN(BZ404,BZ$7)</f>
        <v/>
      </c>
      <c r="CB404" s="152">
        <f>MAX(0,MIN(BZ404-CA404,CL404-(AZ404+BD404+BH404+BL404+BP404+BT404+BX404)))</f>
        <v/>
      </c>
      <c r="CC404" s="152">
        <f>BZ404-CA404-CB404</f>
        <v/>
      </c>
      <c r="CD404" s="152">
        <f>IF(CG403&lt;=0.005,0,CG403*(1+CD$6))</f>
        <v/>
      </c>
      <c r="CE404" s="152">
        <f>MIN(CD404,CD$7)</f>
        <v/>
      </c>
      <c r="CF404" s="152">
        <f>MAX(0,MIN(CD404-CE404,CL404-(AZ404+BD404+BH404+BL404+BP404+BT404+BX404+CB404)))</f>
        <v/>
      </c>
      <c r="CG404" s="152">
        <f>CD404-CE404-CF404</f>
        <v/>
      </c>
      <c r="CH404" s="152">
        <f>IF(CK403&lt;=0.005,0,CK403*(1+CH$6))</f>
        <v/>
      </c>
      <c r="CI404" s="152">
        <f>MIN(CH404,CH$7)</f>
        <v/>
      </c>
      <c r="CJ404" s="152">
        <f>MAX(0,MIN(CH404-CI404,CL404-(AZ404+BD404+BH404+BL404+BP404+BT404+BX404+CB404+CF404)))</f>
        <v/>
      </c>
      <c r="CK404" s="152">
        <f>CH404-CI404-CJ404</f>
        <v/>
      </c>
      <c r="CL404" s="152">
        <f>'Debt Payoff'!$C$8-SUM(AY404,BC404,BG404,BK404,BO404,BS404,BW404,CA404,CE404,CI404)</f>
        <v/>
      </c>
      <c r="CM404" s="152">
        <f>SUM(AY404,BC404,BG404,BK404,BO404,BS404,BW404,CA404,CE404,CI404)+SUM(AZ404,BD404,BH404,BL404,BP404,BT404,BX404,CB404,CF404,CJ404)</f>
        <v/>
      </c>
      <c r="CN404" s="152">
        <f>SUM(BA404,BE404,BI404,BM404,BQ404,BU404,BY404,CC404,CG404,CK404)</f>
        <v/>
      </c>
      <c r="CO404" s="152">
        <f>IF(AW404&gt;CN$6,NA(),AW404)</f>
        <v/>
      </c>
      <c r="CP404" s="152">
        <f>IF(AW404&gt;CN$6,NA(),CN404)</f>
        <v/>
      </c>
    </row>
    <row r="405">
      <c r="B405" s="152" t="n">
        <v>394</v>
      </c>
      <c r="C405" s="152">
        <f>IF(F404&lt;=0.005,0,F404*(1+C$6))</f>
        <v/>
      </c>
      <c r="D405" s="152">
        <f>MIN(C405,C$7)</f>
        <v/>
      </c>
      <c r="E405" s="152">
        <f>MAX(0,MIN(C405-D405,AQ405))</f>
        <v/>
      </c>
      <c r="F405" s="152">
        <f>C405-D405-E405</f>
        <v/>
      </c>
      <c r="G405" s="152">
        <f>IF(J404&lt;=0.005,0,J404*(1+G$6))</f>
        <v/>
      </c>
      <c r="H405" s="152">
        <f>MIN(G405,G$7)</f>
        <v/>
      </c>
      <c r="I405" s="152">
        <f>MAX(0,MIN(G405-H405,AQ405-(E405)))</f>
        <v/>
      </c>
      <c r="J405" s="152">
        <f>G405-H405-I405</f>
        <v/>
      </c>
      <c r="K405" s="152">
        <f>IF(N404&lt;=0.005,0,N404*(1+K$6))</f>
        <v/>
      </c>
      <c r="L405" s="152">
        <f>MIN(K405,K$7)</f>
        <v/>
      </c>
      <c r="M405" s="152">
        <f>MAX(0,MIN(K405-L405,AQ405-(E405+I405)))</f>
        <v/>
      </c>
      <c r="N405" s="152">
        <f>K405-L405-M405</f>
        <v/>
      </c>
      <c r="O405" s="152">
        <f>IF(R404&lt;=0.005,0,R404*(1+O$6))</f>
        <v/>
      </c>
      <c r="P405" s="152">
        <f>MIN(O405,O$7)</f>
        <v/>
      </c>
      <c r="Q405" s="152">
        <f>MAX(0,MIN(O405-P405,AQ405-(E405+I405+M405)))</f>
        <v/>
      </c>
      <c r="R405" s="152">
        <f>O405-P405-Q405</f>
        <v/>
      </c>
      <c r="S405" s="152">
        <f>IF(V404&lt;=0.005,0,V404*(1+S$6))</f>
        <v/>
      </c>
      <c r="T405" s="152">
        <f>MIN(S405,S$7)</f>
        <v/>
      </c>
      <c r="U405" s="152">
        <f>MAX(0,MIN(S405-T405,AQ405-(E405+I405+M405+Q405)))</f>
        <v/>
      </c>
      <c r="V405" s="152">
        <f>S405-T405-U405</f>
        <v/>
      </c>
      <c r="W405" s="152">
        <f>IF(Z404&lt;=0.005,0,Z404*(1+W$6))</f>
        <v/>
      </c>
      <c r="X405" s="152">
        <f>MIN(W405,W$7)</f>
        <v/>
      </c>
      <c r="Y405" s="152">
        <f>MAX(0,MIN(W405-X405,AQ405-(E405+I405+M405+Q405+U405)))</f>
        <v/>
      </c>
      <c r="Z405" s="152">
        <f>W405-X405-Y405</f>
        <v/>
      </c>
      <c r="AA405" s="152">
        <f>IF(AD404&lt;=0.005,0,AD404*(1+AA$6))</f>
        <v/>
      </c>
      <c r="AB405" s="152">
        <f>MIN(AA405,AA$7)</f>
        <v/>
      </c>
      <c r="AC405" s="152">
        <f>MAX(0,MIN(AA405-AB405,AQ405-(E405+I405+M405+Q405+U405+Y405)))</f>
        <v/>
      </c>
      <c r="AD405" s="152">
        <f>AA405-AB405-AC405</f>
        <v/>
      </c>
      <c r="AE405" s="152">
        <f>IF(AH404&lt;=0.005,0,AH404*(1+AE$6))</f>
        <v/>
      </c>
      <c r="AF405" s="152">
        <f>MIN(AE405,AE$7)</f>
        <v/>
      </c>
      <c r="AG405" s="152">
        <f>MAX(0,MIN(AE405-AF405,AQ405-(E405+I405+M405+Q405+U405+Y405+AC405)))</f>
        <v/>
      </c>
      <c r="AH405" s="152">
        <f>AE405-AF405-AG405</f>
        <v/>
      </c>
      <c r="AI405" s="152">
        <f>IF(AL404&lt;=0.005,0,AL404*(1+AI$6))</f>
        <v/>
      </c>
      <c r="AJ405" s="152">
        <f>MIN(AI405,AI$7)</f>
        <v/>
      </c>
      <c r="AK405" s="152">
        <f>MAX(0,MIN(AI405-AJ405,AQ405-(E405+I405+M405+Q405+U405+Y405+AC405+AG405)))</f>
        <v/>
      </c>
      <c r="AL405" s="152">
        <f>AI405-AJ405-AK405</f>
        <v/>
      </c>
      <c r="AM405" s="152">
        <f>IF(AP404&lt;=0.005,0,AP404*(1+AM$6))</f>
        <v/>
      </c>
      <c r="AN405" s="152">
        <f>MIN(AM405,AM$7)</f>
        <v/>
      </c>
      <c r="AO405" s="152">
        <f>MAX(0,MIN(AM405-AN405,AQ405-(E405+I405+M405+Q405+U405+Y405+AC405+AG405+AK405)))</f>
        <v/>
      </c>
      <c r="AP405" s="152">
        <f>AM405-AN405-AO405</f>
        <v/>
      </c>
      <c r="AQ405" s="152">
        <f>'Debt Payoff'!$C$8-SUM(D405,H405,L405,P405,T405,X405,AB405,AF405,AJ405,AN405)</f>
        <v/>
      </c>
      <c r="AR405" s="152">
        <f>SUM(D405,H405,L405,P405,T405,X405,AB405,AF405,AJ405,AN405)+SUM(E405,I405,M405,Q405,U405,Y405,AC405,AG405,AK405,AO405)</f>
        <v/>
      </c>
      <c r="AS405" s="152">
        <f>SUM(F405,J405,N405,R405,V405,Z405,AD405,AH405,AL405,AP405)</f>
        <v/>
      </c>
      <c r="AT405" s="152">
        <f>IF(B405&gt;AS$6,NA(),B405)</f>
        <v/>
      </c>
      <c r="AU405" s="152">
        <f>IF(B405&gt;AS$6,NA(),AS405)</f>
        <v/>
      </c>
      <c r="AV405" s="152" t="n"/>
      <c r="AW405" s="152" t="n">
        <v>394</v>
      </c>
      <c r="AX405" s="152">
        <f>IF(BA404&lt;=0.005,0,BA404*(1+AX$6))</f>
        <v/>
      </c>
      <c r="AY405" s="152">
        <f>MIN(AX405,AX$7)</f>
        <v/>
      </c>
      <c r="AZ405" s="152">
        <f>MAX(0,MIN(AX405-AY405,CL405))</f>
        <v/>
      </c>
      <c r="BA405" s="152">
        <f>AX405-AY405-AZ405</f>
        <v/>
      </c>
      <c r="BB405" s="152">
        <f>IF(BE404&lt;=0.005,0,BE404*(1+BB$6))</f>
        <v/>
      </c>
      <c r="BC405" s="152">
        <f>MIN(BB405,BB$7)</f>
        <v/>
      </c>
      <c r="BD405" s="152">
        <f>MAX(0,MIN(BB405-BC405,CL405-(AZ405)))</f>
        <v/>
      </c>
      <c r="BE405" s="152">
        <f>BB405-BC405-BD405</f>
        <v/>
      </c>
      <c r="BF405" s="152">
        <f>IF(BI404&lt;=0.005,0,BI404*(1+BF$6))</f>
        <v/>
      </c>
      <c r="BG405" s="152">
        <f>MIN(BF405,BF$7)</f>
        <v/>
      </c>
      <c r="BH405" s="152">
        <f>MAX(0,MIN(BF405-BG405,CL405-(AZ405+BD405)))</f>
        <v/>
      </c>
      <c r="BI405" s="152">
        <f>BF405-BG405-BH405</f>
        <v/>
      </c>
      <c r="BJ405" s="152">
        <f>IF(BM404&lt;=0.005,0,BM404*(1+BJ$6))</f>
        <v/>
      </c>
      <c r="BK405" s="152">
        <f>MIN(BJ405,BJ$7)</f>
        <v/>
      </c>
      <c r="BL405" s="152">
        <f>MAX(0,MIN(BJ405-BK405,CL405-(AZ405+BD405+BH405)))</f>
        <v/>
      </c>
      <c r="BM405" s="152">
        <f>BJ405-BK405-BL405</f>
        <v/>
      </c>
      <c r="BN405" s="152">
        <f>IF(BQ404&lt;=0.005,0,BQ404*(1+BN$6))</f>
        <v/>
      </c>
      <c r="BO405" s="152">
        <f>MIN(BN405,BN$7)</f>
        <v/>
      </c>
      <c r="BP405" s="152">
        <f>MAX(0,MIN(BN405-BO405,CL405-(AZ405+BD405+BH405+BL405)))</f>
        <v/>
      </c>
      <c r="BQ405" s="152">
        <f>BN405-BO405-BP405</f>
        <v/>
      </c>
      <c r="BR405" s="152">
        <f>IF(BU404&lt;=0.005,0,BU404*(1+BR$6))</f>
        <v/>
      </c>
      <c r="BS405" s="152">
        <f>MIN(BR405,BR$7)</f>
        <v/>
      </c>
      <c r="BT405" s="152">
        <f>MAX(0,MIN(BR405-BS405,CL405-(AZ405+BD405+BH405+BL405+BP405)))</f>
        <v/>
      </c>
      <c r="BU405" s="152">
        <f>BR405-BS405-BT405</f>
        <v/>
      </c>
      <c r="BV405" s="152">
        <f>IF(BY404&lt;=0.005,0,BY404*(1+BV$6))</f>
        <v/>
      </c>
      <c r="BW405" s="152">
        <f>MIN(BV405,BV$7)</f>
        <v/>
      </c>
      <c r="BX405" s="152">
        <f>MAX(0,MIN(BV405-BW405,CL405-(AZ405+BD405+BH405+BL405+BP405+BT405)))</f>
        <v/>
      </c>
      <c r="BY405" s="152">
        <f>BV405-BW405-BX405</f>
        <v/>
      </c>
      <c r="BZ405" s="152">
        <f>IF(CC404&lt;=0.005,0,CC404*(1+BZ$6))</f>
        <v/>
      </c>
      <c r="CA405" s="152">
        <f>MIN(BZ405,BZ$7)</f>
        <v/>
      </c>
      <c r="CB405" s="152">
        <f>MAX(0,MIN(BZ405-CA405,CL405-(AZ405+BD405+BH405+BL405+BP405+BT405+BX405)))</f>
        <v/>
      </c>
      <c r="CC405" s="152">
        <f>BZ405-CA405-CB405</f>
        <v/>
      </c>
      <c r="CD405" s="152">
        <f>IF(CG404&lt;=0.005,0,CG404*(1+CD$6))</f>
        <v/>
      </c>
      <c r="CE405" s="152">
        <f>MIN(CD405,CD$7)</f>
        <v/>
      </c>
      <c r="CF405" s="152">
        <f>MAX(0,MIN(CD405-CE405,CL405-(AZ405+BD405+BH405+BL405+BP405+BT405+BX405+CB405)))</f>
        <v/>
      </c>
      <c r="CG405" s="152">
        <f>CD405-CE405-CF405</f>
        <v/>
      </c>
      <c r="CH405" s="152">
        <f>IF(CK404&lt;=0.005,0,CK404*(1+CH$6))</f>
        <v/>
      </c>
      <c r="CI405" s="152">
        <f>MIN(CH405,CH$7)</f>
        <v/>
      </c>
      <c r="CJ405" s="152">
        <f>MAX(0,MIN(CH405-CI405,CL405-(AZ405+BD405+BH405+BL405+BP405+BT405+BX405+CB405+CF405)))</f>
        <v/>
      </c>
      <c r="CK405" s="152">
        <f>CH405-CI405-CJ405</f>
        <v/>
      </c>
      <c r="CL405" s="152">
        <f>'Debt Payoff'!$C$8-SUM(AY405,BC405,BG405,BK405,BO405,BS405,BW405,CA405,CE405,CI405)</f>
        <v/>
      </c>
      <c r="CM405" s="152">
        <f>SUM(AY405,BC405,BG405,BK405,BO405,BS405,BW405,CA405,CE405,CI405)+SUM(AZ405,BD405,BH405,BL405,BP405,BT405,BX405,CB405,CF405,CJ405)</f>
        <v/>
      </c>
      <c r="CN405" s="152">
        <f>SUM(BA405,BE405,BI405,BM405,BQ405,BU405,BY405,CC405,CG405,CK405)</f>
        <v/>
      </c>
      <c r="CO405" s="152">
        <f>IF(AW405&gt;CN$6,NA(),AW405)</f>
        <v/>
      </c>
      <c r="CP405" s="152">
        <f>IF(AW405&gt;CN$6,NA(),CN405)</f>
        <v/>
      </c>
    </row>
    <row r="406">
      <c r="B406" s="152" t="n">
        <v>395</v>
      </c>
      <c r="C406" s="152">
        <f>IF(F405&lt;=0.005,0,F405*(1+C$6))</f>
        <v/>
      </c>
      <c r="D406" s="152">
        <f>MIN(C406,C$7)</f>
        <v/>
      </c>
      <c r="E406" s="152">
        <f>MAX(0,MIN(C406-D406,AQ406))</f>
        <v/>
      </c>
      <c r="F406" s="152">
        <f>C406-D406-E406</f>
        <v/>
      </c>
      <c r="G406" s="152">
        <f>IF(J405&lt;=0.005,0,J405*(1+G$6))</f>
        <v/>
      </c>
      <c r="H406" s="152">
        <f>MIN(G406,G$7)</f>
        <v/>
      </c>
      <c r="I406" s="152">
        <f>MAX(0,MIN(G406-H406,AQ406-(E406)))</f>
        <v/>
      </c>
      <c r="J406" s="152">
        <f>G406-H406-I406</f>
        <v/>
      </c>
      <c r="K406" s="152">
        <f>IF(N405&lt;=0.005,0,N405*(1+K$6))</f>
        <v/>
      </c>
      <c r="L406" s="152">
        <f>MIN(K406,K$7)</f>
        <v/>
      </c>
      <c r="M406" s="152">
        <f>MAX(0,MIN(K406-L406,AQ406-(E406+I406)))</f>
        <v/>
      </c>
      <c r="N406" s="152">
        <f>K406-L406-M406</f>
        <v/>
      </c>
      <c r="O406" s="152">
        <f>IF(R405&lt;=0.005,0,R405*(1+O$6))</f>
        <v/>
      </c>
      <c r="P406" s="152">
        <f>MIN(O406,O$7)</f>
        <v/>
      </c>
      <c r="Q406" s="152">
        <f>MAX(0,MIN(O406-P406,AQ406-(E406+I406+M406)))</f>
        <v/>
      </c>
      <c r="R406" s="152">
        <f>O406-P406-Q406</f>
        <v/>
      </c>
      <c r="S406" s="152">
        <f>IF(V405&lt;=0.005,0,V405*(1+S$6))</f>
        <v/>
      </c>
      <c r="T406" s="152">
        <f>MIN(S406,S$7)</f>
        <v/>
      </c>
      <c r="U406" s="152">
        <f>MAX(0,MIN(S406-T406,AQ406-(E406+I406+M406+Q406)))</f>
        <v/>
      </c>
      <c r="V406" s="152">
        <f>S406-T406-U406</f>
        <v/>
      </c>
      <c r="W406" s="152">
        <f>IF(Z405&lt;=0.005,0,Z405*(1+W$6))</f>
        <v/>
      </c>
      <c r="X406" s="152">
        <f>MIN(W406,W$7)</f>
        <v/>
      </c>
      <c r="Y406" s="152">
        <f>MAX(0,MIN(W406-X406,AQ406-(E406+I406+M406+Q406+U406)))</f>
        <v/>
      </c>
      <c r="Z406" s="152">
        <f>W406-X406-Y406</f>
        <v/>
      </c>
      <c r="AA406" s="152">
        <f>IF(AD405&lt;=0.005,0,AD405*(1+AA$6))</f>
        <v/>
      </c>
      <c r="AB406" s="152">
        <f>MIN(AA406,AA$7)</f>
        <v/>
      </c>
      <c r="AC406" s="152">
        <f>MAX(0,MIN(AA406-AB406,AQ406-(E406+I406+M406+Q406+U406+Y406)))</f>
        <v/>
      </c>
      <c r="AD406" s="152">
        <f>AA406-AB406-AC406</f>
        <v/>
      </c>
      <c r="AE406" s="152">
        <f>IF(AH405&lt;=0.005,0,AH405*(1+AE$6))</f>
        <v/>
      </c>
      <c r="AF406" s="152">
        <f>MIN(AE406,AE$7)</f>
        <v/>
      </c>
      <c r="AG406" s="152">
        <f>MAX(0,MIN(AE406-AF406,AQ406-(E406+I406+M406+Q406+U406+Y406+AC406)))</f>
        <v/>
      </c>
      <c r="AH406" s="152">
        <f>AE406-AF406-AG406</f>
        <v/>
      </c>
      <c r="AI406" s="152">
        <f>IF(AL405&lt;=0.005,0,AL405*(1+AI$6))</f>
        <v/>
      </c>
      <c r="AJ406" s="152">
        <f>MIN(AI406,AI$7)</f>
        <v/>
      </c>
      <c r="AK406" s="152">
        <f>MAX(0,MIN(AI406-AJ406,AQ406-(E406+I406+M406+Q406+U406+Y406+AC406+AG406)))</f>
        <v/>
      </c>
      <c r="AL406" s="152">
        <f>AI406-AJ406-AK406</f>
        <v/>
      </c>
      <c r="AM406" s="152">
        <f>IF(AP405&lt;=0.005,0,AP405*(1+AM$6))</f>
        <v/>
      </c>
      <c r="AN406" s="152">
        <f>MIN(AM406,AM$7)</f>
        <v/>
      </c>
      <c r="AO406" s="152">
        <f>MAX(0,MIN(AM406-AN406,AQ406-(E406+I406+M406+Q406+U406+Y406+AC406+AG406+AK406)))</f>
        <v/>
      </c>
      <c r="AP406" s="152">
        <f>AM406-AN406-AO406</f>
        <v/>
      </c>
      <c r="AQ406" s="152">
        <f>'Debt Payoff'!$C$8-SUM(D406,H406,L406,P406,T406,X406,AB406,AF406,AJ406,AN406)</f>
        <v/>
      </c>
      <c r="AR406" s="152">
        <f>SUM(D406,H406,L406,P406,T406,X406,AB406,AF406,AJ406,AN406)+SUM(E406,I406,M406,Q406,U406,Y406,AC406,AG406,AK406,AO406)</f>
        <v/>
      </c>
      <c r="AS406" s="152">
        <f>SUM(F406,J406,N406,R406,V406,Z406,AD406,AH406,AL406,AP406)</f>
        <v/>
      </c>
      <c r="AT406" s="152">
        <f>IF(B406&gt;AS$6,NA(),B406)</f>
        <v/>
      </c>
      <c r="AU406" s="152">
        <f>IF(B406&gt;AS$6,NA(),AS406)</f>
        <v/>
      </c>
      <c r="AV406" s="152" t="n"/>
      <c r="AW406" s="152" t="n">
        <v>395</v>
      </c>
      <c r="AX406" s="152">
        <f>IF(BA405&lt;=0.005,0,BA405*(1+AX$6))</f>
        <v/>
      </c>
      <c r="AY406" s="152">
        <f>MIN(AX406,AX$7)</f>
        <v/>
      </c>
      <c r="AZ406" s="152">
        <f>MAX(0,MIN(AX406-AY406,CL406))</f>
        <v/>
      </c>
      <c r="BA406" s="152">
        <f>AX406-AY406-AZ406</f>
        <v/>
      </c>
      <c r="BB406" s="152">
        <f>IF(BE405&lt;=0.005,0,BE405*(1+BB$6))</f>
        <v/>
      </c>
      <c r="BC406" s="152">
        <f>MIN(BB406,BB$7)</f>
        <v/>
      </c>
      <c r="BD406" s="152">
        <f>MAX(0,MIN(BB406-BC406,CL406-(AZ406)))</f>
        <v/>
      </c>
      <c r="BE406" s="152">
        <f>BB406-BC406-BD406</f>
        <v/>
      </c>
      <c r="BF406" s="152">
        <f>IF(BI405&lt;=0.005,0,BI405*(1+BF$6))</f>
        <v/>
      </c>
      <c r="BG406" s="152">
        <f>MIN(BF406,BF$7)</f>
        <v/>
      </c>
      <c r="BH406" s="152">
        <f>MAX(0,MIN(BF406-BG406,CL406-(AZ406+BD406)))</f>
        <v/>
      </c>
      <c r="BI406" s="152">
        <f>BF406-BG406-BH406</f>
        <v/>
      </c>
      <c r="BJ406" s="152">
        <f>IF(BM405&lt;=0.005,0,BM405*(1+BJ$6))</f>
        <v/>
      </c>
      <c r="BK406" s="152">
        <f>MIN(BJ406,BJ$7)</f>
        <v/>
      </c>
      <c r="BL406" s="152">
        <f>MAX(0,MIN(BJ406-BK406,CL406-(AZ406+BD406+BH406)))</f>
        <v/>
      </c>
      <c r="BM406" s="152">
        <f>BJ406-BK406-BL406</f>
        <v/>
      </c>
      <c r="BN406" s="152">
        <f>IF(BQ405&lt;=0.005,0,BQ405*(1+BN$6))</f>
        <v/>
      </c>
      <c r="BO406" s="152">
        <f>MIN(BN406,BN$7)</f>
        <v/>
      </c>
      <c r="BP406" s="152">
        <f>MAX(0,MIN(BN406-BO406,CL406-(AZ406+BD406+BH406+BL406)))</f>
        <v/>
      </c>
      <c r="BQ406" s="152">
        <f>BN406-BO406-BP406</f>
        <v/>
      </c>
      <c r="BR406" s="152">
        <f>IF(BU405&lt;=0.005,0,BU405*(1+BR$6))</f>
        <v/>
      </c>
      <c r="BS406" s="152">
        <f>MIN(BR406,BR$7)</f>
        <v/>
      </c>
      <c r="BT406" s="152">
        <f>MAX(0,MIN(BR406-BS406,CL406-(AZ406+BD406+BH406+BL406+BP406)))</f>
        <v/>
      </c>
      <c r="BU406" s="152">
        <f>BR406-BS406-BT406</f>
        <v/>
      </c>
      <c r="BV406" s="152">
        <f>IF(BY405&lt;=0.005,0,BY405*(1+BV$6))</f>
        <v/>
      </c>
      <c r="BW406" s="152">
        <f>MIN(BV406,BV$7)</f>
        <v/>
      </c>
      <c r="BX406" s="152">
        <f>MAX(0,MIN(BV406-BW406,CL406-(AZ406+BD406+BH406+BL406+BP406+BT406)))</f>
        <v/>
      </c>
      <c r="BY406" s="152">
        <f>BV406-BW406-BX406</f>
        <v/>
      </c>
      <c r="BZ406" s="152">
        <f>IF(CC405&lt;=0.005,0,CC405*(1+BZ$6))</f>
        <v/>
      </c>
      <c r="CA406" s="152">
        <f>MIN(BZ406,BZ$7)</f>
        <v/>
      </c>
      <c r="CB406" s="152">
        <f>MAX(0,MIN(BZ406-CA406,CL406-(AZ406+BD406+BH406+BL406+BP406+BT406+BX406)))</f>
        <v/>
      </c>
      <c r="CC406" s="152">
        <f>BZ406-CA406-CB406</f>
        <v/>
      </c>
      <c r="CD406" s="152">
        <f>IF(CG405&lt;=0.005,0,CG405*(1+CD$6))</f>
        <v/>
      </c>
      <c r="CE406" s="152">
        <f>MIN(CD406,CD$7)</f>
        <v/>
      </c>
      <c r="CF406" s="152">
        <f>MAX(0,MIN(CD406-CE406,CL406-(AZ406+BD406+BH406+BL406+BP406+BT406+BX406+CB406)))</f>
        <v/>
      </c>
      <c r="CG406" s="152">
        <f>CD406-CE406-CF406</f>
        <v/>
      </c>
      <c r="CH406" s="152">
        <f>IF(CK405&lt;=0.005,0,CK405*(1+CH$6))</f>
        <v/>
      </c>
      <c r="CI406" s="152">
        <f>MIN(CH406,CH$7)</f>
        <v/>
      </c>
      <c r="CJ406" s="152">
        <f>MAX(0,MIN(CH406-CI406,CL406-(AZ406+BD406+BH406+BL406+BP406+BT406+BX406+CB406+CF406)))</f>
        <v/>
      </c>
      <c r="CK406" s="152">
        <f>CH406-CI406-CJ406</f>
        <v/>
      </c>
      <c r="CL406" s="152">
        <f>'Debt Payoff'!$C$8-SUM(AY406,BC406,BG406,BK406,BO406,BS406,BW406,CA406,CE406,CI406)</f>
        <v/>
      </c>
      <c r="CM406" s="152">
        <f>SUM(AY406,BC406,BG406,BK406,BO406,BS406,BW406,CA406,CE406,CI406)+SUM(AZ406,BD406,BH406,BL406,BP406,BT406,BX406,CB406,CF406,CJ406)</f>
        <v/>
      </c>
      <c r="CN406" s="152">
        <f>SUM(BA406,BE406,BI406,BM406,BQ406,BU406,BY406,CC406,CG406,CK406)</f>
        <v/>
      </c>
      <c r="CO406" s="152">
        <f>IF(AW406&gt;CN$6,NA(),AW406)</f>
        <v/>
      </c>
      <c r="CP406" s="152">
        <f>IF(AW406&gt;CN$6,NA(),CN406)</f>
        <v/>
      </c>
    </row>
    <row r="407">
      <c r="B407" s="152" t="n">
        <v>396</v>
      </c>
      <c r="C407" s="152">
        <f>IF(F406&lt;=0.005,0,F406*(1+C$6))</f>
        <v/>
      </c>
      <c r="D407" s="152">
        <f>MIN(C407,C$7)</f>
        <v/>
      </c>
      <c r="E407" s="152">
        <f>MAX(0,MIN(C407-D407,AQ407))</f>
        <v/>
      </c>
      <c r="F407" s="152">
        <f>C407-D407-E407</f>
        <v/>
      </c>
      <c r="G407" s="152">
        <f>IF(J406&lt;=0.005,0,J406*(1+G$6))</f>
        <v/>
      </c>
      <c r="H407" s="152">
        <f>MIN(G407,G$7)</f>
        <v/>
      </c>
      <c r="I407" s="152">
        <f>MAX(0,MIN(G407-H407,AQ407-(E407)))</f>
        <v/>
      </c>
      <c r="J407" s="152">
        <f>G407-H407-I407</f>
        <v/>
      </c>
      <c r="K407" s="152">
        <f>IF(N406&lt;=0.005,0,N406*(1+K$6))</f>
        <v/>
      </c>
      <c r="L407" s="152">
        <f>MIN(K407,K$7)</f>
        <v/>
      </c>
      <c r="M407" s="152">
        <f>MAX(0,MIN(K407-L407,AQ407-(E407+I407)))</f>
        <v/>
      </c>
      <c r="N407" s="152">
        <f>K407-L407-M407</f>
        <v/>
      </c>
      <c r="O407" s="152">
        <f>IF(R406&lt;=0.005,0,R406*(1+O$6))</f>
        <v/>
      </c>
      <c r="P407" s="152">
        <f>MIN(O407,O$7)</f>
        <v/>
      </c>
      <c r="Q407" s="152">
        <f>MAX(0,MIN(O407-P407,AQ407-(E407+I407+M407)))</f>
        <v/>
      </c>
      <c r="R407" s="152">
        <f>O407-P407-Q407</f>
        <v/>
      </c>
      <c r="S407" s="152">
        <f>IF(V406&lt;=0.005,0,V406*(1+S$6))</f>
        <v/>
      </c>
      <c r="T407" s="152">
        <f>MIN(S407,S$7)</f>
        <v/>
      </c>
      <c r="U407" s="152">
        <f>MAX(0,MIN(S407-T407,AQ407-(E407+I407+M407+Q407)))</f>
        <v/>
      </c>
      <c r="V407" s="152">
        <f>S407-T407-U407</f>
        <v/>
      </c>
      <c r="W407" s="152">
        <f>IF(Z406&lt;=0.005,0,Z406*(1+W$6))</f>
        <v/>
      </c>
      <c r="X407" s="152">
        <f>MIN(W407,W$7)</f>
        <v/>
      </c>
      <c r="Y407" s="152">
        <f>MAX(0,MIN(W407-X407,AQ407-(E407+I407+M407+Q407+U407)))</f>
        <v/>
      </c>
      <c r="Z407" s="152">
        <f>W407-X407-Y407</f>
        <v/>
      </c>
      <c r="AA407" s="152">
        <f>IF(AD406&lt;=0.005,0,AD406*(1+AA$6))</f>
        <v/>
      </c>
      <c r="AB407" s="152">
        <f>MIN(AA407,AA$7)</f>
        <v/>
      </c>
      <c r="AC407" s="152">
        <f>MAX(0,MIN(AA407-AB407,AQ407-(E407+I407+M407+Q407+U407+Y407)))</f>
        <v/>
      </c>
      <c r="AD407" s="152">
        <f>AA407-AB407-AC407</f>
        <v/>
      </c>
      <c r="AE407" s="152">
        <f>IF(AH406&lt;=0.005,0,AH406*(1+AE$6))</f>
        <v/>
      </c>
      <c r="AF407" s="152">
        <f>MIN(AE407,AE$7)</f>
        <v/>
      </c>
      <c r="AG407" s="152">
        <f>MAX(0,MIN(AE407-AF407,AQ407-(E407+I407+M407+Q407+U407+Y407+AC407)))</f>
        <v/>
      </c>
      <c r="AH407" s="152">
        <f>AE407-AF407-AG407</f>
        <v/>
      </c>
      <c r="AI407" s="152">
        <f>IF(AL406&lt;=0.005,0,AL406*(1+AI$6))</f>
        <v/>
      </c>
      <c r="AJ407" s="152">
        <f>MIN(AI407,AI$7)</f>
        <v/>
      </c>
      <c r="AK407" s="152">
        <f>MAX(0,MIN(AI407-AJ407,AQ407-(E407+I407+M407+Q407+U407+Y407+AC407+AG407)))</f>
        <v/>
      </c>
      <c r="AL407" s="152">
        <f>AI407-AJ407-AK407</f>
        <v/>
      </c>
      <c r="AM407" s="152">
        <f>IF(AP406&lt;=0.005,0,AP406*(1+AM$6))</f>
        <v/>
      </c>
      <c r="AN407" s="152">
        <f>MIN(AM407,AM$7)</f>
        <v/>
      </c>
      <c r="AO407" s="152">
        <f>MAX(0,MIN(AM407-AN407,AQ407-(E407+I407+M407+Q407+U407+Y407+AC407+AG407+AK407)))</f>
        <v/>
      </c>
      <c r="AP407" s="152">
        <f>AM407-AN407-AO407</f>
        <v/>
      </c>
      <c r="AQ407" s="152">
        <f>'Debt Payoff'!$C$8-SUM(D407,H407,L407,P407,T407,X407,AB407,AF407,AJ407,AN407)</f>
        <v/>
      </c>
      <c r="AR407" s="152">
        <f>SUM(D407,H407,L407,P407,T407,X407,AB407,AF407,AJ407,AN407)+SUM(E407,I407,M407,Q407,U407,Y407,AC407,AG407,AK407,AO407)</f>
        <v/>
      </c>
      <c r="AS407" s="152">
        <f>SUM(F407,J407,N407,R407,V407,Z407,AD407,AH407,AL407,AP407)</f>
        <v/>
      </c>
      <c r="AT407" s="152">
        <f>IF(B407&gt;AS$6,NA(),B407)</f>
        <v/>
      </c>
      <c r="AU407" s="152">
        <f>IF(B407&gt;AS$6,NA(),AS407)</f>
        <v/>
      </c>
      <c r="AV407" s="152" t="n"/>
      <c r="AW407" s="152" t="n">
        <v>396</v>
      </c>
      <c r="AX407" s="152">
        <f>IF(BA406&lt;=0.005,0,BA406*(1+AX$6))</f>
        <v/>
      </c>
      <c r="AY407" s="152">
        <f>MIN(AX407,AX$7)</f>
        <v/>
      </c>
      <c r="AZ407" s="152">
        <f>MAX(0,MIN(AX407-AY407,CL407))</f>
        <v/>
      </c>
      <c r="BA407" s="152">
        <f>AX407-AY407-AZ407</f>
        <v/>
      </c>
      <c r="BB407" s="152">
        <f>IF(BE406&lt;=0.005,0,BE406*(1+BB$6))</f>
        <v/>
      </c>
      <c r="BC407" s="152">
        <f>MIN(BB407,BB$7)</f>
        <v/>
      </c>
      <c r="BD407" s="152">
        <f>MAX(0,MIN(BB407-BC407,CL407-(AZ407)))</f>
        <v/>
      </c>
      <c r="BE407" s="152">
        <f>BB407-BC407-BD407</f>
        <v/>
      </c>
      <c r="BF407" s="152">
        <f>IF(BI406&lt;=0.005,0,BI406*(1+BF$6))</f>
        <v/>
      </c>
      <c r="BG407" s="152">
        <f>MIN(BF407,BF$7)</f>
        <v/>
      </c>
      <c r="BH407" s="152">
        <f>MAX(0,MIN(BF407-BG407,CL407-(AZ407+BD407)))</f>
        <v/>
      </c>
      <c r="BI407" s="152">
        <f>BF407-BG407-BH407</f>
        <v/>
      </c>
      <c r="BJ407" s="152">
        <f>IF(BM406&lt;=0.005,0,BM406*(1+BJ$6))</f>
        <v/>
      </c>
      <c r="BK407" s="152">
        <f>MIN(BJ407,BJ$7)</f>
        <v/>
      </c>
      <c r="BL407" s="152">
        <f>MAX(0,MIN(BJ407-BK407,CL407-(AZ407+BD407+BH407)))</f>
        <v/>
      </c>
      <c r="BM407" s="152">
        <f>BJ407-BK407-BL407</f>
        <v/>
      </c>
      <c r="BN407" s="152">
        <f>IF(BQ406&lt;=0.005,0,BQ406*(1+BN$6))</f>
        <v/>
      </c>
      <c r="BO407" s="152">
        <f>MIN(BN407,BN$7)</f>
        <v/>
      </c>
      <c r="BP407" s="152">
        <f>MAX(0,MIN(BN407-BO407,CL407-(AZ407+BD407+BH407+BL407)))</f>
        <v/>
      </c>
      <c r="BQ407" s="152">
        <f>BN407-BO407-BP407</f>
        <v/>
      </c>
      <c r="BR407" s="152">
        <f>IF(BU406&lt;=0.005,0,BU406*(1+BR$6))</f>
        <v/>
      </c>
      <c r="BS407" s="152">
        <f>MIN(BR407,BR$7)</f>
        <v/>
      </c>
      <c r="BT407" s="152">
        <f>MAX(0,MIN(BR407-BS407,CL407-(AZ407+BD407+BH407+BL407+BP407)))</f>
        <v/>
      </c>
      <c r="BU407" s="152">
        <f>BR407-BS407-BT407</f>
        <v/>
      </c>
      <c r="BV407" s="152">
        <f>IF(BY406&lt;=0.005,0,BY406*(1+BV$6))</f>
        <v/>
      </c>
      <c r="BW407" s="152">
        <f>MIN(BV407,BV$7)</f>
        <v/>
      </c>
      <c r="BX407" s="152">
        <f>MAX(0,MIN(BV407-BW407,CL407-(AZ407+BD407+BH407+BL407+BP407+BT407)))</f>
        <v/>
      </c>
      <c r="BY407" s="152">
        <f>BV407-BW407-BX407</f>
        <v/>
      </c>
      <c r="BZ407" s="152">
        <f>IF(CC406&lt;=0.005,0,CC406*(1+BZ$6))</f>
        <v/>
      </c>
      <c r="CA407" s="152">
        <f>MIN(BZ407,BZ$7)</f>
        <v/>
      </c>
      <c r="CB407" s="152">
        <f>MAX(0,MIN(BZ407-CA407,CL407-(AZ407+BD407+BH407+BL407+BP407+BT407+BX407)))</f>
        <v/>
      </c>
      <c r="CC407" s="152">
        <f>BZ407-CA407-CB407</f>
        <v/>
      </c>
      <c r="CD407" s="152">
        <f>IF(CG406&lt;=0.005,0,CG406*(1+CD$6))</f>
        <v/>
      </c>
      <c r="CE407" s="152">
        <f>MIN(CD407,CD$7)</f>
        <v/>
      </c>
      <c r="CF407" s="152">
        <f>MAX(0,MIN(CD407-CE407,CL407-(AZ407+BD407+BH407+BL407+BP407+BT407+BX407+CB407)))</f>
        <v/>
      </c>
      <c r="CG407" s="152">
        <f>CD407-CE407-CF407</f>
        <v/>
      </c>
      <c r="CH407" s="152">
        <f>IF(CK406&lt;=0.005,0,CK406*(1+CH$6))</f>
        <v/>
      </c>
      <c r="CI407" s="152">
        <f>MIN(CH407,CH$7)</f>
        <v/>
      </c>
      <c r="CJ407" s="152">
        <f>MAX(0,MIN(CH407-CI407,CL407-(AZ407+BD407+BH407+BL407+BP407+BT407+BX407+CB407+CF407)))</f>
        <v/>
      </c>
      <c r="CK407" s="152">
        <f>CH407-CI407-CJ407</f>
        <v/>
      </c>
      <c r="CL407" s="152">
        <f>'Debt Payoff'!$C$8-SUM(AY407,BC407,BG407,BK407,BO407,BS407,BW407,CA407,CE407,CI407)</f>
        <v/>
      </c>
      <c r="CM407" s="152">
        <f>SUM(AY407,BC407,BG407,BK407,BO407,BS407,BW407,CA407,CE407,CI407)+SUM(AZ407,BD407,BH407,BL407,BP407,BT407,BX407,CB407,CF407,CJ407)</f>
        <v/>
      </c>
      <c r="CN407" s="152">
        <f>SUM(BA407,BE407,BI407,BM407,BQ407,BU407,BY407,CC407,CG407,CK407)</f>
        <v/>
      </c>
      <c r="CO407" s="152">
        <f>IF(AW407&gt;CN$6,NA(),AW407)</f>
        <v/>
      </c>
      <c r="CP407" s="152">
        <f>IF(AW407&gt;CN$6,NA(),CN407)</f>
        <v/>
      </c>
    </row>
    <row r="408">
      <c r="B408" s="152" t="n">
        <v>397</v>
      </c>
      <c r="C408" s="152">
        <f>IF(F407&lt;=0.005,0,F407*(1+C$6))</f>
        <v/>
      </c>
      <c r="D408" s="152">
        <f>MIN(C408,C$7)</f>
        <v/>
      </c>
      <c r="E408" s="152">
        <f>MAX(0,MIN(C408-D408,AQ408))</f>
        <v/>
      </c>
      <c r="F408" s="152">
        <f>C408-D408-E408</f>
        <v/>
      </c>
      <c r="G408" s="152">
        <f>IF(J407&lt;=0.005,0,J407*(1+G$6))</f>
        <v/>
      </c>
      <c r="H408" s="152">
        <f>MIN(G408,G$7)</f>
        <v/>
      </c>
      <c r="I408" s="152">
        <f>MAX(0,MIN(G408-H408,AQ408-(E408)))</f>
        <v/>
      </c>
      <c r="J408" s="152">
        <f>G408-H408-I408</f>
        <v/>
      </c>
      <c r="K408" s="152">
        <f>IF(N407&lt;=0.005,0,N407*(1+K$6))</f>
        <v/>
      </c>
      <c r="L408" s="152">
        <f>MIN(K408,K$7)</f>
        <v/>
      </c>
      <c r="M408" s="152">
        <f>MAX(0,MIN(K408-L408,AQ408-(E408+I408)))</f>
        <v/>
      </c>
      <c r="N408" s="152">
        <f>K408-L408-M408</f>
        <v/>
      </c>
      <c r="O408" s="152">
        <f>IF(R407&lt;=0.005,0,R407*(1+O$6))</f>
        <v/>
      </c>
      <c r="P408" s="152">
        <f>MIN(O408,O$7)</f>
        <v/>
      </c>
      <c r="Q408" s="152">
        <f>MAX(0,MIN(O408-P408,AQ408-(E408+I408+M408)))</f>
        <v/>
      </c>
      <c r="R408" s="152">
        <f>O408-P408-Q408</f>
        <v/>
      </c>
      <c r="S408" s="152">
        <f>IF(V407&lt;=0.005,0,V407*(1+S$6))</f>
        <v/>
      </c>
      <c r="T408" s="152">
        <f>MIN(S408,S$7)</f>
        <v/>
      </c>
      <c r="U408" s="152">
        <f>MAX(0,MIN(S408-T408,AQ408-(E408+I408+M408+Q408)))</f>
        <v/>
      </c>
      <c r="V408" s="152">
        <f>S408-T408-U408</f>
        <v/>
      </c>
      <c r="W408" s="152">
        <f>IF(Z407&lt;=0.005,0,Z407*(1+W$6))</f>
        <v/>
      </c>
      <c r="X408" s="152">
        <f>MIN(W408,W$7)</f>
        <v/>
      </c>
      <c r="Y408" s="152">
        <f>MAX(0,MIN(W408-X408,AQ408-(E408+I408+M408+Q408+U408)))</f>
        <v/>
      </c>
      <c r="Z408" s="152">
        <f>W408-X408-Y408</f>
        <v/>
      </c>
      <c r="AA408" s="152">
        <f>IF(AD407&lt;=0.005,0,AD407*(1+AA$6))</f>
        <v/>
      </c>
      <c r="AB408" s="152">
        <f>MIN(AA408,AA$7)</f>
        <v/>
      </c>
      <c r="AC408" s="152">
        <f>MAX(0,MIN(AA408-AB408,AQ408-(E408+I408+M408+Q408+U408+Y408)))</f>
        <v/>
      </c>
      <c r="AD408" s="152">
        <f>AA408-AB408-AC408</f>
        <v/>
      </c>
      <c r="AE408" s="152">
        <f>IF(AH407&lt;=0.005,0,AH407*(1+AE$6))</f>
        <v/>
      </c>
      <c r="AF408" s="152">
        <f>MIN(AE408,AE$7)</f>
        <v/>
      </c>
      <c r="AG408" s="152">
        <f>MAX(0,MIN(AE408-AF408,AQ408-(E408+I408+M408+Q408+U408+Y408+AC408)))</f>
        <v/>
      </c>
      <c r="AH408" s="152">
        <f>AE408-AF408-AG408</f>
        <v/>
      </c>
      <c r="AI408" s="152">
        <f>IF(AL407&lt;=0.005,0,AL407*(1+AI$6))</f>
        <v/>
      </c>
      <c r="AJ408" s="152">
        <f>MIN(AI408,AI$7)</f>
        <v/>
      </c>
      <c r="AK408" s="152">
        <f>MAX(0,MIN(AI408-AJ408,AQ408-(E408+I408+M408+Q408+U408+Y408+AC408+AG408)))</f>
        <v/>
      </c>
      <c r="AL408" s="152">
        <f>AI408-AJ408-AK408</f>
        <v/>
      </c>
      <c r="AM408" s="152">
        <f>IF(AP407&lt;=0.005,0,AP407*(1+AM$6))</f>
        <v/>
      </c>
      <c r="AN408" s="152">
        <f>MIN(AM408,AM$7)</f>
        <v/>
      </c>
      <c r="AO408" s="152">
        <f>MAX(0,MIN(AM408-AN408,AQ408-(E408+I408+M408+Q408+U408+Y408+AC408+AG408+AK408)))</f>
        <v/>
      </c>
      <c r="AP408" s="152">
        <f>AM408-AN408-AO408</f>
        <v/>
      </c>
      <c r="AQ408" s="152">
        <f>'Debt Payoff'!$C$8-SUM(D408,H408,L408,P408,T408,X408,AB408,AF408,AJ408,AN408)</f>
        <v/>
      </c>
      <c r="AR408" s="152">
        <f>SUM(D408,H408,L408,P408,T408,X408,AB408,AF408,AJ408,AN408)+SUM(E408,I408,M408,Q408,U408,Y408,AC408,AG408,AK408,AO408)</f>
        <v/>
      </c>
      <c r="AS408" s="152">
        <f>SUM(F408,J408,N408,R408,V408,Z408,AD408,AH408,AL408,AP408)</f>
        <v/>
      </c>
      <c r="AT408" s="152">
        <f>IF(B408&gt;AS$6,NA(),B408)</f>
        <v/>
      </c>
      <c r="AU408" s="152">
        <f>IF(B408&gt;AS$6,NA(),AS408)</f>
        <v/>
      </c>
      <c r="AV408" s="152" t="n"/>
      <c r="AW408" s="152" t="n">
        <v>397</v>
      </c>
      <c r="AX408" s="152">
        <f>IF(BA407&lt;=0.005,0,BA407*(1+AX$6))</f>
        <v/>
      </c>
      <c r="AY408" s="152">
        <f>MIN(AX408,AX$7)</f>
        <v/>
      </c>
      <c r="AZ408" s="152">
        <f>MAX(0,MIN(AX408-AY408,CL408))</f>
        <v/>
      </c>
      <c r="BA408" s="152">
        <f>AX408-AY408-AZ408</f>
        <v/>
      </c>
      <c r="BB408" s="152">
        <f>IF(BE407&lt;=0.005,0,BE407*(1+BB$6))</f>
        <v/>
      </c>
      <c r="BC408" s="152">
        <f>MIN(BB408,BB$7)</f>
        <v/>
      </c>
      <c r="BD408" s="152">
        <f>MAX(0,MIN(BB408-BC408,CL408-(AZ408)))</f>
        <v/>
      </c>
      <c r="BE408" s="152">
        <f>BB408-BC408-BD408</f>
        <v/>
      </c>
      <c r="BF408" s="152">
        <f>IF(BI407&lt;=0.005,0,BI407*(1+BF$6))</f>
        <v/>
      </c>
      <c r="BG408" s="152">
        <f>MIN(BF408,BF$7)</f>
        <v/>
      </c>
      <c r="BH408" s="152">
        <f>MAX(0,MIN(BF408-BG408,CL408-(AZ408+BD408)))</f>
        <v/>
      </c>
      <c r="BI408" s="152">
        <f>BF408-BG408-BH408</f>
        <v/>
      </c>
      <c r="BJ408" s="152">
        <f>IF(BM407&lt;=0.005,0,BM407*(1+BJ$6))</f>
        <v/>
      </c>
      <c r="BK408" s="152">
        <f>MIN(BJ408,BJ$7)</f>
        <v/>
      </c>
      <c r="BL408" s="152">
        <f>MAX(0,MIN(BJ408-BK408,CL408-(AZ408+BD408+BH408)))</f>
        <v/>
      </c>
      <c r="BM408" s="152">
        <f>BJ408-BK408-BL408</f>
        <v/>
      </c>
      <c r="BN408" s="152">
        <f>IF(BQ407&lt;=0.005,0,BQ407*(1+BN$6))</f>
        <v/>
      </c>
      <c r="BO408" s="152">
        <f>MIN(BN408,BN$7)</f>
        <v/>
      </c>
      <c r="BP408" s="152">
        <f>MAX(0,MIN(BN408-BO408,CL408-(AZ408+BD408+BH408+BL408)))</f>
        <v/>
      </c>
      <c r="BQ408" s="152">
        <f>BN408-BO408-BP408</f>
        <v/>
      </c>
      <c r="BR408" s="152">
        <f>IF(BU407&lt;=0.005,0,BU407*(1+BR$6))</f>
        <v/>
      </c>
      <c r="BS408" s="152">
        <f>MIN(BR408,BR$7)</f>
        <v/>
      </c>
      <c r="BT408" s="152">
        <f>MAX(0,MIN(BR408-BS408,CL408-(AZ408+BD408+BH408+BL408+BP408)))</f>
        <v/>
      </c>
      <c r="BU408" s="152">
        <f>BR408-BS408-BT408</f>
        <v/>
      </c>
      <c r="BV408" s="152">
        <f>IF(BY407&lt;=0.005,0,BY407*(1+BV$6))</f>
        <v/>
      </c>
      <c r="BW408" s="152">
        <f>MIN(BV408,BV$7)</f>
        <v/>
      </c>
      <c r="BX408" s="152">
        <f>MAX(0,MIN(BV408-BW408,CL408-(AZ408+BD408+BH408+BL408+BP408+BT408)))</f>
        <v/>
      </c>
      <c r="BY408" s="152">
        <f>BV408-BW408-BX408</f>
        <v/>
      </c>
      <c r="BZ408" s="152">
        <f>IF(CC407&lt;=0.005,0,CC407*(1+BZ$6))</f>
        <v/>
      </c>
      <c r="CA408" s="152">
        <f>MIN(BZ408,BZ$7)</f>
        <v/>
      </c>
      <c r="CB408" s="152">
        <f>MAX(0,MIN(BZ408-CA408,CL408-(AZ408+BD408+BH408+BL408+BP408+BT408+BX408)))</f>
        <v/>
      </c>
      <c r="CC408" s="152">
        <f>BZ408-CA408-CB408</f>
        <v/>
      </c>
      <c r="CD408" s="152">
        <f>IF(CG407&lt;=0.005,0,CG407*(1+CD$6))</f>
        <v/>
      </c>
      <c r="CE408" s="152">
        <f>MIN(CD408,CD$7)</f>
        <v/>
      </c>
      <c r="CF408" s="152">
        <f>MAX(0,MIN(CD408-CE408,CL408-(AZ408+BD408+BH408+BL408+BP408+BT408+BX408+CB408)))</f>
        <v/>
      </c>
      <c r="CG408" s="152">
        <f>CD408-CE408-CF408</f>
        <v/>
      </c>
      <c r="CH408" s="152">
        <f>IF(CK407&lt;=0.005,0,CK407*(1+CH$6))</f>
        <v/>
      </c>
      <c r="CI408" s="152">
        <f>MIN(CH408,CH$7)</f>
        <v/>
      </c>
      <c r="CJ408" s="152">
        <f>MAX(0,MIN(CH408-CI408,CL408-(AZ408+BD408+BH408+BL408+BP408+BT408+BX408+CB408+CF408)))</f>
        <v/>
      </c>
      <c r="CK408" s="152">
        <f>CH408-CI408-CJ408</f>
        <v/>
      </c>
      <c r="CL408" s="152">
        <f>'Debt Payoff'!$C$8-SUM(AY408,BC408,BG408,BK408,BO408,BS408,BW408,CA408,CE408,CI408)</f>
        <v/>
      </c>
      <c r="CM408" s="152">
        <f>SUM(AY408,BC408,BG408,BK408,BO408,BS408,BW408,CA408,CE408,CI408)+SUM(AZ408,BD408,BH408,BL408,BP408,BT408,BX408,CB408,CF408,CJ408)</f>
        <v/>
      </c>
      <c r="CN408" s="152">
        <f>SUM(BA408,BE408,BI408,BM408,BQ408,BU408,BY408,CC408,CG408,CK408)</f>
        <v/>
      </c>
      <c r="CO408" s="152">
        <f>IF(AW408&gt;CN$6,NA(),AW408)</f>
        <v/>
      </c>
      <c r="CP408" s="152">
        <f>IF(AW408&gt;CN$6,NA(),CN408)</f>
        <v/>
      </c>
    </row>
    <row r="409">
      <c r="B409" s="152" t="n">
        <v>398</v>
      </c>
      <c r="C409" s="152">
        <f>IF(F408&lt;=0.005,0,F408*(1+C$6))</f>
        <v/>
      </c>
      <c r="D409" s="152">
        <f>MIN(C409,C$7)</f>
        <v/>
      </c>
      <c r="E409" s="152">
        <f>MAX(0,MIN(C409-D409,AQ409))</f>
        <v/>
      </c>
      <c r="F409" s="152">
        <f>C409-D409-E409</f>
        <v/>
      </c>
      <c r="G409" s="152">
        <f>IF(J408&lt;=0.005,0,J408*(1+G$6))</f>
        <v/>
      </c>
      <c r="H409" s="152">
        <f>MIN(G409,G$7)</f>
        <v/>
      </c>
      <c r="I409" s="152">
        <f>MAX(0,MIN(G409-H409,AQ409-(E409)))</f>
        <v/>
      </c>
      <c r="J409" s="152">
        <f>G409-H409-I409</f>
        <v/>
      </c>
      <c r="K409" s="152">
        <f>IF(N408&lt;=0.005,0,N408*(1+K$6))</f>
        <v/>
      </c>
      <c r="L409" s="152">
        <f>MIN(K409,K$7)</f>
        <v/>
      </c>
      <c r="M409" s="152">
        <f>MAX(0,MIN(K409-L409,AQ409-(E409+I409)))</f>
        <v/>
      </c>
      <c r="N409" s="152">
        <f>K409-L409-M409</f>
        <v/>
      </c>
      <c r="O409" s="152">
        <f>IF(R408&lt;=0.005,0,R408*(1+O$6))</f>
        <v/>
      </c>
      <c r="P409" s="152">
        <f>MIN(O409,O$7)</f>
        <v/>
      </c>
      <c r="Q409" s="152">
        <f>MAX(0,MIN(O409-P409,AQ409-(E409+I409+M409)))</f>
        <v/>
      </c>
      <c r="R409" s="152">
        <f>O409-P409-Q409</f>
        <v/>
      </c>
      <c r="S409" s="152">
        <f>IF(V408&lt;=0.005,0,V408*(1+S$6))</f>
        <v/>
      </c>
      <c r="T409" s="152">
        <f>MIN(S409,S$7)</f>
        <v/>
      </c>
      <c r="U409" s="152">
        <f>MAX(0,MIN(S409-T409,AQ409-(E409+I409+M409+Q409)))</f>
        <v/>
      </c>
      <c r="V409" s="152">
        <f>S409-T409-U409</f>
        <v/>
      </c>
      <c r="W409" s="152">
        <f>IF(Z408&lt;=0.005,0,Z408*(1+W$6))</f>
        <v/>
      </c>
      <c r="X409" s="152">
        <f>MIN(W409,W$7)</f>
        <v/>
      </c>
      <c r="Y409" s="152">
        <f>MAX(0,MIN(W409-X409,AQ409-(E409+I409+M409+Q409+U409)))</f>
        <v/>
      </c>
      <c r="Z409" s="152">
        <f>W409-X409-Y409</f>
        <v/>
      </c>
      <c r="AA409" s="152">
        <f>IF(AD408&lt;=0.005,0,AD408*(1+AA$6))</f>
        <v/>
      </c>
      <c r="AB409" s="152">
        <f>MIN(AA409,AA$7)</f>
        <v/>
      </c>
      <c r="AC409" s="152">
        <f>MAX(0,MIN(AA409-AB409,AQ409-(E409+I409+M409+Q409+U409+Y409)))</f>
        <v/>
      </c>
      <c r="AD409" s="152">
        <f>AA409-AB409-AC409</f>
        <v/>
      </c>
      <c r="AE409" s="152">
        <f>IF(AH408&lt;=0.005,0,AH408*(1+AE$6))</f>
        <v/>
      </c>
      <c r="AF409" s="152">
        <f>MIN(AE409,AE$7)</f>
        <v/>
      </c>
      <c r="AG409" s="152">
        <f>MAX(0,MIN(AE409-AF409,AQ409-(E409+I409+M409+Q409+U409+Y409+AC409)))</f>
        <v/>
      </c>
      <c r="AH409" s="152">
        <f>AE409-AF409-AG409</f>
        <v/>
      </c>
      <c r="AI409" s="152">
        <f>IF(AL408&lt;=0.005,0,AL408*(1+AI$6))</f>
        <v/>
      </c>
      <c r="AJ409" s="152">
        <f>MIN(AI409,AI$7)</f>
        <v/>
      </c>
      <c r="AK409" s="152">
        <f>MAX(0,MIN(AI409-AJ409,AQ409-(E409+I409+M409+Q409+U409+Y409+AC409+AG409)))</f>
        <v/>
      </c>
      <c r="AL409" s="152">
        <f>AI409-AJ409-AK409</f>
        <v/>
      </c>
      <c r="AM409" s="152">
        <f>IF(AP408&lt;=0.005,0,AP408*(1+AM$6))</f>
        <v/>
      </c>
      <c r="AN409" s="152">
        <f>MIN(AM409,AM$7)</f>
        <v/>
      </c>
      <c r="AO409" s="152">
        <f>MAX(0,MIN(AM409-AN409,AQ409-(E409+I409+M409+Q409+U409+Y409+AC409+AG409+AK409)))</f>
        <v/>
      </c>
      <c r="AP409" s="152">
        <f>AM409-AN409-AO409</f>
        <v/>
      </c>
      <c r="AQ409" s="152">
        <f>'Debt Payoff'!$C$8-SUM(D409,H409,L409,P409,T409,X409,AB409,AF409,AJ409,AN409)</f>
        <v/>
      </c>
      <c r="AR409" s="152">
        <f>SUM(D409,H409,L409,P409,T409,X409,AB409,AF409,AJ409,AN409)+SUM(E409,I409,M409,Q409,U409,Y409,AC409,AG409,AK409,AO409)</f>
        <v/>
      </c>
      <c r="AS409" s="152">
        <f>SUM(F409,J409,N409,R409,V409,Z409,AD409,AH409,AL409,AP409)</f>
        <v/>
      </c>
      <c r="AT409" s="152">
        <f>IF(B409&gt;AS$6,NA(),B409)</f>
        <v/>
      </c>
      <c r="AU409" s="152">
        <f>IF(B409&gt;AS$6,NA(),AS409)</f>
        <v/>
      </c>
      <c r="AV409" s="152" t="n"/>
      <c r="AW409" s="152" t="n">
        <v>398</v>
      </c>
      <c r="AX409" s="152">
        <f>IF(BA408&lt;=0.005,0,BA408*(1+AX$6))</f>
        <v/>
      </c>
      <c r="AY409" s="152">
        <f>MIN(AX409,AX$7)</f>
        <v/>
      </c>
      <c r="AZ409" s="152">
        <f>MAX(0,MIN(AX409-AY409,CL409))</f>
        <v/>
      </c>
      <c r="BA409" s="152">
        <f>AX409-AY409-AZ409</f>
        <v/>
      </c>
      <c r="BB409" s="152">
        <f>IF(BE408&lt;=0.005,0,BE408*(1+BB$6))</f>
        <v/>
      </c>
      <c r="BC409" s="152">
        <f>MIN(BB409,BB$7)</f>
        <v/>
      </c>
      <c r="BD409" s="152">
        <f>MAX(0,MIN(BB409-BC409,CL409-(AZ409)))</f>
        <v/>
      </c>
      <c r="BE409" s="152">
        <f>BB409-BC409-BD409</f>
        <v/>
      </c>
      <c r="BF409" s="152">
        <f>IF(BI408&lt;=0.005,0,BI408*(1+BF$6))</f>
        <v/>
      </c>
      <c r="BG409" s="152">
        <f>MIN(BF409,BF$7)</f>
        <v/>
      </c>
      <c r="BH409" s="152">
        <f>MAX(0,MIN(BF409-BG409,CL409-(AZ409+BD409)))</f>
        <v/>
      </c>
      <c r="BI409" s="152">
        <f>BF409-BG409-BH409</f>
        <v/>
      </c>
      <c r="BJ409" s="152">
        <f>IF(BM408&lt;=0.005,0,BM408*(1+BJ$6))</f>
        <v/>
      </c>
      <c r="BK409" s="152">
        <f>MIN(BJ409,BJ$7)</f>
        <v/>
      </c>
      <c r="BL409" s="152">
        <f>MAX(0,MIN(BJ409-BK409,CL409-(AZ409+BD409+BH409)))</f>
        <v/>
      </c>
      <c r="BM409" s="152">
        <f>BJ409-BK409-BL409</f>
        <v/>
      </c>
      <c r="BN409" s="152">
        <f>IF(BQ408&lt;=0.005,0,BQ408*(1+BN$6))</f>
        <v/>
      </c>
      <c r="BO409" s="152">
        <f>MIN(BN409,BN$7)</f>
        <v/>
      </c>
      <c r="BP409" s="152">
        <f>MAX(0,MIN(BN409-BO409,CL409-(AZ409+BD409+BH409+BL409)))</f>
        <v/>
      </c>
      <c r="BQ409" s="152">
        <f>BN409-BO409-BP409</f>
        <v/>
      </c>
      <c r="BR409" s="152">
        <f>IF(BU408&lt;=0.005,0,BU408*(1+BR$6))</f>
        <v/>
      </c>
      <c r="BS409" s="152">
        <f>MIN(BR409,BR$7)</f>
        <v/>
      </c>
      <c r="BT409" s="152">
        <f>MAX(0,MIN(BR409-BS409,CL409-(AZ409+BD409+BH409+BL409+BP409)))</f>
        <v/>
      </c>
      <c r="BU409" s="152">
        <f>BR409-BS409-BT409</f>
        <v/>
      </c>
      <c r="BV409" s="152">
        <f>IF(BY408&lt;=0.005,0,BY408*(1+BV$6))</f>
        <v/>
      </c>
      <c r="BW409" s="152">
        <f>MIN(BV409,BV$7)</f>
        <v/>
      </c>
      <c r="BX409" s="152">
        <f>MAX(0,MIN(BV409-BW409,CL409-(AZ409+BD409+BH409+BL409+BP409+BT409)))</f>
        <v/>
      </c>
      <c r="BY409" s="152">
        <f>BV409-BW409-BX409</f>
        <v/>
      </c>
      <c r="BZ409" s="152">
        <f>IF(CC408&lt;=0.005,0,CC408*(1+BZ$6))</f>
        <v/>
      </c>
      <c r="CA409" s="152">
        <f>MIN(BZ409,BZ$7)</f>
        <v/>
      </c>
      <c r="CB409" s="152">
        <f>MAX(0,MIN(BZ409-CA409,CL409-(AZ409+BD409+BH409+BL409+BP409+BT409+BX409)))</f>
        <v/>
      </c>
      <c r="CC409" s="152">
        <f>BZ409-CA409-CB409</f>
        <v/>
      </c>
      <c r="CD409" s="152">
        <f>IF(CG408&lt;=0.005,0,CG408*(1+CD$6))</f>
        <v/>
      </c>
      <c r="CE409" s="152">
        <f>MIN(CD409,CD$7)</f>
        <v/>
      </c>
      <c r="CF409" s="152">
        <f>MAX(0,MIN(CD409-CE409,CL409-(AZ409+BD409+BH409+BL409+BP409+BT409+BX409+CB409)))</f>
        <v/>
      </c>
      <c r="CG409" s="152">
        <f>CD409-CE409-CF409</f>
        <v/>
      </c>
      <c r="CH409" s="152">
        <f>IF(CK408&lt;=0.005,0,CK408*(1+CH$6))</f>
        <v/>
      </c>
      <c r="CI409" s="152">
        <f>MIN(CH409,CH$7)</f>
        <v/>
      </c>
      <c r="CJ409" s="152">
        <f>MAX(0,MIN(CH409-CI409,CL409-(AZ409+BD409+BH409+BL409+BP409+BT409+BX409+CB409+CF409)))</f>
        <v/>
      </c>
      <c r="CK409" s="152">
        <f>CH409-CI409-CJ409</f>
        <v/>
      </c>
      <c r="CL409" s="152">
        <f>'Debt Payoff'!$C$8-SUM(AY409,BC409,BG409,BK409,BO409,BS409,BW409,CA409,CE409,CI409)</f>
        <v/>
      </c>
      <c r="CM409" s="152">
        <f>SUM(AY409,BC409,BG409,BK409,BO409,BS409,BW409,CA409,CE409,CI409)+SUM(AZ409,BD409,BH409,BL409,BP409,BT409,BX409,CB409,CF409,CJ409)</f>
        <v/>
      </c>
      <c r="CN409" s="152">
        <f>SUM(BA409,BE409,BI409,BM409,BQ409,BU409,BY409,CC409,CG409,CK409)</f>
        <v/>
      </c>
      <c r="CO409" s="152">
        <f>IF(AW409&gt;CN$6,NA(),AW409)</f>
        <v/>
      </c>
      <c r="CP409" s="152">
        <f>IF(AW409&gt;CN$6,NA(),CN409)</f>
        <v/>
      </c>
    </row>
    <row r="410">
      <c r="B410" s="152" t="n">
        <v>399</v>
      </c>
      <c r="C410" s="152">
        <f>IF(F409&lt;=0.005,0,F409*(1+C$6))</f>
        <v/>
      </c>
      <c r="D410" s="152">
        <f>MIN(C410,C$7)</f>
        <v/>
      </c>
      <c r="E410" s="152">
        <f>MAX(0,MIN(C410-D410,AQ410))</f>
        <v/>
      </c>
      <c r="F410" s="152">
        <f>C410-D410-E410</f>
        <v/>
      </c>
      <c r="G410" s="152">
        <f>IF(J409&lt;=0.005,0,J409*(1+G$6))</f>
        <v/>
      </c>
      <c r="H410" s="152">
        <f>MIN(G410,G$7)</f>
        <v/>
      </c>
      <c r="I410" s="152">
        <f>MAX(0,MIN(G410-H410,AQ410-(E410)))</f>
        <v/>
      </c>
      <c r="J410" s="152">
        <f>G410-H410-I410</f>
        <v/>
      </c>
      <c r="K410" s="152">
        <f>IF(N409&lt;=0.005,0,N409*(1+K$6))</f>
        <v/>
      </c>
      <c r="L410" s="152">
        <f>MIN(K410,K$7)</f>
        <v/>
      </c>
      <c r="M410" s="152">
        <f>MAX(0,MIN(K410-L410,AQ410-(E410+I410)))</f>
        <v/>
      </c>
      <c r="N410" s="152">
        <f>K410-L410-M410</f>
        <v/>
      </c>
      <c r="O410" s="152">
        <f>IF(R409&lt;=0.005,0,R409*(1+O$6))</f>
        <v/>
      </c>
      <c r="P410" s="152">
        <f>MIN(O410,O$7)</f>
        <v/>
      </c>
      <c r="Q410" s="152">
        <f>MAX(0,MIN(O410-P410,AQ410-(E410+I410+M410)))</f>
        <v/>
      </c>
      <c r="R410" s="152">
        <f>O410-P410-Q410</f>
        <v/>
      </c>
      <c r="S410" s="152">
        <f>IF(V409&lt;=0.005,0,V409*(1+S$6))</f>
        <v/>
      </c>
      <c r="T410" s="152">
        <f>MIN(S410,S$7)</f>
        <v/>
      </c>
      <c r="U410" s="152">
        <f>MAX(0,MIN(S410-T410,AQ410-(E410+I410+M410+Q410)))</f>
        <v/>
      </c>
      <c r="V410" s="152">
        <f>S410-T410-U410</f>
        <v/>
      </c>
      <c r="W410" s="152">
        <f>IF(Z409&lt;=0.005,0,Z409*(1+W$6))</f>
        <v/>
      </c>
      <c r="X410" s="152">
        <f>MIN(W410,W$7)</f>
        <v/>
      </c>
      <c r="Y410" s="152">
        <f>MAX(0,MIN(W410-X410,AQ410-(E410+I410+M410+Q410+U410)))</f>
        <v/>
      </c>
      <c r="Z410" s="152">
        <f>W410-X410-Y410</f>
        <v/>
      </c>
      <c r="AA410" s="152">
        <f>IF(AD409&lt;=0.005,0,AD409*(1+AA$6))</f>
        <v/>
      </c>
      <c r="AB410" s="152">
        <f>MIN(AA410,AA$7)</f>
        <v/>
      </c>
      <c r="AC410" s="152">
        <f>MAX(0,MIN(AA410-AB410,AQ410-(E410+I410+M410+Q410+U410+Y410)))</f>
        <v/>
      </c>
      <c r="AD410" s="152">
        <f>AA410-AB410-AC410</f>
        <v/>
      </c>
      <c r="AE410" s="152">
        <f>IF(AH409&lt;=0.005,0,AH409*(1+AE$6))</f>
        <v/>
      </c>
      <c r="AF410" s="152">
        <f>MIN(AE410,AE$7)</f>
        <v/>
      </c>
      <c r="AG410" s="152">
        <f>MAX(0,MIN(AE410-AF410,AQ410-(E410+I410+M410+Q410+U410+Y410+AC410)))</f>
        <v/>
      </c>
      <c r="AH410" s="152">
        <f>AE410-AF410-AG410</f>
        <v/>
      </c>
      <c r="AI410" s="152">
        <f>IF(AL409&lt;=0.005,0,AL409*(1+AI$6))</f>
        <v/>
      </c>
      <c r="AJ410" s="152">
        <f>MIN(AI410,AI$7)</f>
        <v/>
      </c>
      <c r="AK410" s="152">
        <f>MAX(0,MIN(AI410-AJ410,AQ410-(E410+I410+M410+Q410+U410+Y410+AC410+AG410)))</f>
        <v/>
      </c>
      <c r="AL410" s="152">
        <f>AI410-AJ410-AK410</f>
        <v/>
      </c>
      <c r="AM410" s="152">
        <f>IF(AP409&lt;=0.005,0,AP409*(1+AM$6))</f>
        <v/>
      </c>
      <c r="AN410" s="152">
        <f>MIN(AM410,AM$7)</f>
        <v/>
      </c>
      <c r="AO410" s="152">
        <f>MAX(0,MIN(AM410-AN410,AQ410-(E410+I410+M410+Q410+U410+Y410+AC410+AG410+AK410)))</f>
        <v/>
      </c>
      <c r="AP410" s="152">
        <f>AM410-AN410-AO410</f>
        <v/>
      </c>
      <c r="AQ410" s="152">
        <f>'Debt Payoff'!$C$8-SUM(D410,H410,L410,P410,T410,X410,AB410,AF410,AJ410,AN410)</f>
        <v/>
      </c>
      <c r="AR410" s="152">
        <f>SUM(D410,H410,L410,P410,T410,X410,AB410,AF410,AJ410,AN410)+SUM(E410,I410,M410,Q410,U410,Y410,AC410,AG410,AK410,AO410)</f>
        <v/>
      </c>
      <c r="AS410" s="152">
        <f>SUM(F410,J410,N410,R410,V410,Z410,AD410,AH410,AL410,AP410)</f>
        <v/>
      </c>
      <c r="AT410" s="152">
        <f>IF(B410&gt;AS$6,NA(),B410)</f>
        <v/>
      </c>
      <c r="AU410" s="152">
        <f>IF(B410&gt;AS$6,NA(),AS410)</f>
        <v/>
      </c>
      <c r="AV410" s="152" t="n"/>
      <c r="AW410" s="152" t="n">
        <v>399</v>
      </c>
      <c r="AX410" s="152">
        <f>IF(BA409&lt;=0.005,0,BA409*(1+AX$6))</f>
        <v/>
      </c>
      <c r="AY410" s="152">
        <f>MIN(AX410,AX$7)</f>
        <v/>
      </c>
      <c r="AZ410" s="152">
        <f>MAX(0,MIN(AX410-AY410,CL410))</f>
        <v/>
      </c>
      <c r="BA410" s="152">
        <f>AX410-AY410-AZ410</f>
        <v/>
      </c>
      <c r="BB410" s="152">
        <f>IF(BE409&lt;=0.005,0,BE409*(1+BB$6))</f>
        <v/>
      </c>
      <c r="BC410" s="152">
        <f>MIN(BB410,BB$7)</f>
        <v/>
      </c>
      <c r="BD410" s="152">
        <f>MAX(0,MIN(BB410-BC410,CL410-(AZ410)))</f>
        <v/>
      </c>
      <c r="BE410" s="152">
        <f>BB410-BC410-BD410</f>
        <v/>
      </c>
      <c r="BF410" s="152">
        <f>IF(BI409&lt;=0.005,0,BI409*(1+BF$6))</f>
        <v/>
      </c>
      <c r="BG410" s="152">
        <f>MIN(BF410,BF$7)</f>
        <v/>
      </c>
      <c r="BH410" s="152">
        <f>MAX(0,MIN(BF410-BG410,CL410-(AZ410+BD410)))</f>
        <v/>
      </c>
      <c r="BI410" s="152">
        <f>BF410-BG410-BH410</f>
        <v/>
      </c>
      <c r="BJ410" s="152">
        <f>IF(BM409&lt;=0.005,0,BM409*(1+BJ$6))</f>
        <v/>
      </c>
      <c r="BK410" s="152">
        <f>MIN(BJ410,BJ$7)</f>
        <v/>
      </c>
      <c r="BL410" s="152">
        <f>MAX(0,MIN(BJ410-BK410,CL410-(AZ410+BD410+BH410)))</f>
        <v/>
      </c>
      <c r="BM410" s="152">
        <f>BJ410-BK410-BL410</f>
        <v/>
      </c>
      <c r="BN410" s="152">
        <f>IF(BQ409&lt;=0.005,0,BQ409*(1+BN$6))</f>
        <v/>
      </c>
      <c r="BO410" s="152">
        <f>MIN(BN410,BN$7)</f>
        <v/>
      </c>
      <c r="BP410" s="152">
        <f>MAX(0,MIN(BN410-BO410,CL410-(AZ410+BD410+BH410+BL410)))</f>
        <v/>
      </c>
      <c r="BQ410" s="152">
        <f>BN410-BO410-BP410</f>
        <v/>
      </c>
      <c r="BR410" s="152">
        <f>IF(BU409&lt;=0.005,0,BU409*(1+BR$6))</f>
        <v/>
      </c>
      <c r="BS410" s="152">
        <f>MIN(BR410,BR$7)</f>
        <v/>
      </c>
      <c r="BT410" s="152">
        <f>MAX(0,MIN(BR410-BS410,CL410-(AZ410+BD410+BH410+BL410+BP410)))</f>
        <v/>
      </c>
      <c r="BU410" s="152">
        <f>BR410-BS410-BT410</f>
        <v/>
      </c>
      <c r="BV410" s="152">
        <f>IF(BY409&lt;=0.005,0,BY409*(1+BV$6))</f>
        <v/>
      </c>
      <c r="BW410" s="152">
        <f>MIN(BV410,BV$7)</f>
        <v/>
      </c>
      <c r="BX410" s="152">
        <f>MAX(0,MIN(BV410-BW410,CL410-(AZ410+BD410+BH410+BL410+BP410+BT410)))</f>
        <v/>
      </c>
      <c r="BY410" s="152">
        <f>BV410-BW410-BX410</f>
        <v/>
      </c>
      <c r="BZ410" s="152">
        <f>IF(CC409&lt;=0.005,0,CC409*(1+BZ$6))</f>
        <v/>
      </c>
      <c r="CA410" s="152">
        <f>MIN(BZ410,BZ$7)</f>
        <v/>
      </c>
      <c r="CB410" s="152">
        <f>MAX(0,MIN(BZ410-CA410,CL410-(AZ410+BD410+BH410+BL410+BP410+BT410+BX410)))</f>
        <v/>
      </c>
      <c r="CC410" s="152">
        <f>BZ410-CA410-CB410</f>
        <v/>
      </c>
      <c r="CD410" s="152">
        <f>IF(CG409&lt;=0.005,0,CG409*(1+CD$6))</f>
        <v/>
      </c>
      <c r="CE410" s="152">
        <f>MIN(CD410,CD$7)</f>
        <v/>
      </c>
      <c r="CF410" s="152">
        <f>MAX(0,MIN(CD410-CE410,CL410-(AZ410+BD410+BH410+BL410+BP410+BT410+BX410+CB410)))</f>
        <v/>
      </c>
      <c r="CG410" s="152">
        <f>CD410-CE410-CF410</f>
        <v/>
      </c>
      <c r="CH410" s="152">
        <f>IF(CK409&lt;=0.005,0,CK409*(1+CH$6))</f>
        <v/>
      </c>
      <c r="CI410" s="152">
        <f>MIN(CH410,CH$7)</f>
        <v/>
      </c>
      <c r="CJ410" s="152">
        <f>MAX(0,MIN(CH410-CI410,CL410-(AZ410+BD410+BH410+BL410+BP410+BT410+BX410+CB410+CF410)))</f>
        <v/>
      </c>
      <c r="CK410" s="152">
        <f>CH410-CI410-CJ410</f>
        <v/>
      </c>
      <c r="CL410" s="152">
        <f>'Debt Payoff'!$C$8-SUM(AY410,BC410,BG410,BK410,BO410,BS410,BW410,CA410,CE410,CI410)</f>
        <v/>
      </c>
      <c r="CM410" s="152">
        <f>SUM(AY410,BC410,BG410,BK410,BO410,BS410,BW410,CA410,CE410,CI410)+SUM(AZ410,BD410,BH410,BL410,BP410,BT410,BX410,CB410,CF410,CJ410)</f>
        <v/>
      </c>
      <c r="CN410" s="152">
        <f>SUM(BA410,BE410,BI410,BM410,BQ410,BU410,BY410,CC410,CG410,CK410)</f>
        <v/>
      </c>
      <c r="CO410" s="152">
        <f>IF(AW410&gt;CN$6,NA(),AW410)</f>
        <v/>
      </c>
      <c r="CP410" s="152">
        <f>IF(AW410&gt;CN$6,NA(),CN410)</f>
        <v/>
      </c>
    </row>
    <row r="411">
      <c r="B411" s="152" t="n">
        <v>400</v>
      </c>
      <c r="C411" s="152">
        <f>IF(F410&lt;=0.005,0,F410*(1+C$6))</f>
        <v/>
      </c>
      <c r="D411" s="152">
        <f>MIN(C411,C$7)</f>
        <v/>
      </c>
      <c r="E411" s="152">
        <f>MAX(0,MIN(C411-D411,AQ411))</f>
        <v/>
      </c>
      <c r="F411" s="152">
        <f>C411-D411-E411</f>
        <v/>
      </c>
      <c r="G411" s="152">
        <f>IF(J410&lt;=0.005,0,J410*(1+G$6))</f>
        <v/>
      </c>
      <c r="H411" s="152">
        <f>MIN(G411,G$7)</f>
        <v/>
      </c>
      <c r="I411" s="152">
        <f>MAX(0,MIN(G411-H411,AQ411-(E411)))</f>
        <v/>
      </c>
      <c r="J411" s="152">
        <f>G411-H411-I411</f>
        <v/>
      </c>
      <c r="K411" s="152">
        <f>IF(N410&lt;=0.005,0,N410*(1+K$6))</f>
        <v/>
      </c>
      <c r="L411" s="152">
        <f>MIN(K411,K$7)</f>
        <v/>
      </c>
      <c r="M411" s="152">
        <f>MAX(0,MIN(K411-L411,AQ411-(E411+I411)))</f>
        <v/>
      </c>
      <c r="N411" s="152">
        <f>K411-L411-M411</f>
        <v/>
      </c>
      <c r="O411" s="152">
        <f>IF(R410&lt;=0.005,0,R410*(1+O$6))</f>
        <v/>
      </c>
      <c r="P411" s="152">
        <f>MIN(O411,O$7)</f>
        <v/>
      </c>
      <c r="Q411" s="152">
        <f>MAX(0,MIN(O411-P411,AQ411-(E411+I411+M411)))</f>
        <v/>
      </c>
      <c r="R411" s="152">
        <f>O411-P411-Q411</f>
        <v/>
      </c>
      <c r="S411" s="152">
        <f>IF(V410&lt;=0.005,0,V410*(1+S$6))</f>
        <v/>
      </c>
      <c r="T411" s="152">
        <f>MIN(S411,S$7)</f>
        <v/>
      </c>
      <c r="U411" s="152">
        <f>MAX(0,MIN(S411-T411,AQ411-(E411+I411+M411+Q411)))</f>
        <v/>
      </c>
      <c r="V411" s="152">
        <f>S411-T411-U411</f>
        <v/>
      </c>
      <c r="W411" s="152">
        <f>IF(Z410&lt;=0.005,0,Z410*(1+W$6))</f>
        <v/>
      </c>
      <c r="X411" s="152">
        <f>MIN(W411,W$7)</f>
        <v/>
      </c>
      <c r="Y411" s="152">
        <f>MAX(0,MIN(W411-X411,AQ411-(E411+I411+M411+Q411+U411)))</f>
        <v/>
      </c>
      <c r="Z411" s="152">
        <f>W411-X411-Y411</f>
        <v/>
      </c>
      <c r="AA411" s="152">
        <f>IF(AD410&lt;=0.005,0,AD410*(1+AA$6))</f>
        <v/>
      </c>
      <c r="AB411" s="152">
        <f>MIN(AA411,AA$7)</f>
        <v/>
      </c>
      <c r="AC411" s="152">
        <f>MAX(0,MIN(AA411-AB411,AQ411-(E411+I411+M411+Q411+U411+Y411)))</f>
        <v/>
      </c>
      <c r="AD411" s="152">
        <f>AA411-AB411-AC411</f>
        <v/>
      </c>
      <c r="AE411" s="152">
        <f>IF(AH410&lt;=0.005,0,AH410*(1+AE$6))</f>
        <v/>
      </c>
      <c r="AF411" s="152">
        <f>MIN(AE411,AE$7)</f>
        <v/>
      </c>
      <c r="AG411" s="152">
        <f>MAX(0,MIN(AE411-AF411,AQ411-(E411+I411+M411+Q411+U411+Y411+AC411)))</f>
        <v/>
      </c>
      <c r="AH411" s="152">
        <f>AE411-AF411-AG411</f>
        <v/>
      </c>
      <c r="AI411" s="152">
        <f>IF(AL410&lt;=0.005,0,AL410*(1+AI$6))</f>
        <v/>
      </c>
      <c r="AJ411" s="152">
        <f>MIN(AI411,AI$7)</f>
        <v/>
      </c>
      <c r="AK411" s="152">
        <f>MAX(0,MIN(AI411-AJ411,AQ411-(E411+I411+M411+Q411+U411+Y411+AC411+AG411)))</f>
        <v/>
      </c>
      <c r="AL411" s="152">
        <f>AI411-AJ411-AK411</f>
        <v/>
      </c>
      <c r="AM411" s="152">
        <f>IF(AP410&lt;=0.005,0,AP410*(1+AM$6))</f>
        <v/>
      </c>
      <c r="AN411" s="152">
        <f>MIN(AM411,AM$7)</f>
        <v/>
      </c>
      <c r="AO411" s="152">
        <f>MAX(0,MIN(AM411-AN411,AQ411-(E411+I411+M411+Q411+U411+Y411+AC411+AG411+AK411)))</f>
        <v/>
      </c>
      <c r="AP411" s="152">
        <f>AM411-AN411-AO411</f>
        <v/>
      </c>
      <c r="AQ411" s="152">
        <f>'Debt Payoff'!$C$8-SUM(D411,H411,L411,P411,T411,X411,AB411,AF411,AJ411,AN411)</f>
        <v/>
      </c>
      <c r="AR411" s="152">
        <f>SUM(D411,H411,L411,P411,T411,X411,AB411,AF411,AJ411,AN411)+SUM(E411,I411,M411,Q411,U411,Y411,AC411,AG411,AK411,AO411)</f>
        <v/>
      </c>
      <c r="AS411" s="152">
        <f>SUM(F411,J411,N411,R411,V411,Z411,AD411,AH411,AL411,AP411)</f>
        <v/>
      </c>
      <c r="AT411" s="152">
        <f>IF(B411&gt;AS$6,NA(),B411)</f>
        <v/>
      </c>
      <c r="AU411" s="152">
        <f>IF(B411&gt;AS$6,NA(),AS411)</f>
        <v/>
      </c>
      <c r="AV411" s="152" t="n"/>
      <c r="AW411" s="152" t="n">
        <v>400</v>
      </c>
      <c r="AX411" s="152">
        <f>IF(BA410&lt;=0.005,0,BA410*(1+AX$6))</f>
        <v/>
      </c>
      <c r="AY411" s="152">
        <f>MIN(AX411,AX$7)</f>
        <v/>
      </c>
      <c r="AZ411" s="152">
        <f>MAX(0,MIN(AX411-AY411,CL411))</f>
        <v/>
      </c>
      <c r="BA411" s="152">
        <f>AX411-AY411-AZ411</f>
        <v/>
      </c>
      <c r="BB411" s="152">
        <f>IF(BE410&lt;=0.005,0,BE410*(1+BB$6))</f>
        <v/>
      </c>
      <c r="BC411" s="152">
        <f>MIN(BB411,BB$7)</f>
        <v/>
      </c>
      <c r="BD411" s="152">
        <f>MAX(0,MIN(BB411-BC411,CL411-(AZ411)))</f>
        <v/>
      </c>
      <c r="BE411" s="152">
        <f>BB411-BC411-BD411</f>
        <v/>
      </c>
      <c r="BF411" s="152">
        <f>IF(BI410&lt;=0.005,0,BI410*(1+BF$6))</f>
        <v/>
      </c>
      <c r="BG411" s="152">
        <f>MIN(BF411,BF$7)</f>
        <v/>
      </c>
      <c r="BH411" s="152">
        <f>MAX(0,MIN(BF411-BG411,CL411-(AZ411+BD411)))</f>
        <v/>
      </c>
      <c r="BI411" s="152">
        <f>BF411-BG411-BH411</f>
        <v/>
      </c>
      <c r="BJ411" s="152">
        <f>IF(BM410&lt;=0.005,0,BM410*(1+BJ$6))</f>
        <v/>
      </c>
      <c r="BK411" s="152">
        <f>MIN(BJ411,BJ$7)</f>
        <v/>
      </c>
      <c r="BL411" s="152">
        <f>MAX(0,MIN(BJ411-BK411,CL411-(AZ411+BD411+BH411)))</f>
        <v/>
      </c>
      <c r="BM411" s="152">
        <f>BJ411-BK411-BL411</f>
        <v/>
      </c>
      <c r="BN411" s="152">
        <f>IF(BQ410&lt;=0.005,0,BQ410*(1+BN$6))</f>
        <v/>
      </c>
      <c r="BO411" s="152">
        <f>MIN(BN411,BN$7)</f>
        <v/>
      </c>
      <c r="BP411" s="152">
        <f>MAX(0,MIN(BN411-BO411,CL411-(AZ411+BD411+BH411+BL411)))</f>
        <v/>
      </c>
      <c r="BQ411" s="152">
        <f>BN411-BO411-BP411</f>
        <v/>
      </c>
      <c r="BR411" s="152">
        <f>IF(BU410&lt;=0.005,0,BU410*(1+BR$6))</f>
        <v/>
      </c>
      <c r="BS411" s="152">
        <f>MIN(BR411,BR$7)</f>
        <v/>
      </c>
      <c r="BT411" s="152">
        <f>MAX(0,MIN(BR411-BS411,CL411-(AZ411+BD411+BH411+BL411+BP411)))</f>
        <v/>
      </c>
      <c r="BU411" s="152">
        <f>BR411-BS411-BT411</f>
        <v/>
      </c>
      <c r="BV411" s="152">
        <f>IF(BY410&lt;=0.005,0,BY410*(1+BV$6))</f>
        <v/>
      </c>
      <c r="BW411" s="152">
        <f>MIN(BV411,BV$7)</f>
        <v/>
      </c>
      <c r="BX411" s="152">
        <f>MAX(0,MIN(BV411-BW411,CL411-(AZ411+BD411+BH411+BL411+BP411+BT411)))</f>
        <v/>
      </c>
      <c r="BY411" s="152">
        <f>BV411-BW411-BX411</f>
        <v/>
      </c>
      <c r="BZ411" s="152">
        <f>IF(CC410&lt;=0.005,0,CC410*(1+BZ$6))</f>
        <v/>
      </c>
      <c r="CA411" s="152">
        <f>MIN(BZ411,BZ$7)</f>
        <v/>
      </c>
      <c r="CB411" s="152">
        <f>MAX(0,MIN(BZ411-CA411,CL411-(AZ411+BD411+BH411+BL411+BP411+BT411+BX411)))</f>
        <v/>
      </c>
      <c r="CC411" s="152">
        <f>BZ411-CA411-CB411</f>
        <v/>
      </c>
      <c r="CD411" s="152">
        <f>IF(CG410&lt;=0.005,0,CG410*(1+CD$6))</f>
        <v/>
      </c>
      <c r="CE411" s="152">
        <f>MIN(CD411,CD$7)</f>
        <v/>
      </c>
      <c r="CF411" s="152">
        <f>MAX(0,MIN(CD411-CE411,CL411-(AZ411+BD411+BH411+BL411+BP411+BT411+BX411+CB411)))</f>
        <v/>
      </c>
      <c r="CG411" s="152">
        <f>CD411-CE411-CF411</f>
        <v/>
      </c>
      <c r="CH411" s="152">
        <f>IF(CK410&lt;=0.005,0,CK410*(1+CH$6))</f>
        <v/>
      </c>
      <c r="CI411" s="152">
        <f>MIN(CH411,CH$7)</f>
        <v/>
      </c>
      <c r="CJ411" s="152">
        <f>MAX(0,MIN(CH411-CI411,CL411-(AZ411+BD411+BH411+BL411+BP411+BT411+BX411+CB411+CF411)))</f>
        <v/>
      </c>
      <c r="CK411" s="152">
        <f>CH411-CI411-CJ411</f>
        <v/>
      </c>
      <c r="CL411" s="152">
        <f>'Debt Payoff'!$C$8-SUM(AY411,BC411,BG411,BK411,BO411,BS411,BW411,CA411,CE411,CI411)</f>
        <v/>
      </c>
      <c r="CM411" s="152">
        <f>SUM(AY411,BC411,BG411,BK411,BO411,BS411,BW411,CA411,CE411,CI411)+SUM(AZ411,BD411,BH411,BL411,BP411,BT411,BX411,CB411,CF411,CJ411)</f>
        <v/>
      </c>
      <c r="CN411" s="152">
        <f>SUM(BA411,BE411,BI411,BM411,BQ411,BU411,BY411,CC411,CG411,CK411)</f>
        <v/>
      </c>
      <c r="CO411" s="152">
        <f>IF(AW411&gt;CN$6,NA(),AW411)</f>
        <v/>
      </c>
      <c r="CP411" s="152">
        <f>IF(AW411&gt;CN$6,NA(),CN411)</f>
        <v/>
      </c>
    </row>
    <row r="412">
      <c r="B412" s="152" t="n">
        <v>401</v>
      </c>
      <c r="C412" s="152">
        <f>IF(F411&lt;=0.005,0,F411*(1+C$6))</f>
        <v/>
      </c>
      <c r="D412" s="152">
        <f>MIN(C412,C$7)</f>
        <v/>
      </c>
      <c r="E412" s="152">
        <f>MAX(0,MIN(C412-D412,AQ412))</f>
        <v/>
      </c>
      <c r="F412" s="152">
        <f>C412-D412-E412</f>
        <v/>
      </c>
      <c r="G412" s="152">
        <f>IF(J411&lt;=0.005,0,J411*(1+G$6))</f>
        <v/>
      </c>
      <c r="H412" s="152">
        <f>MIN(G412,G$7)</f>
        <v/>
      </c>
      <c r="I412" s="152">
        <f>MAX(0,MIN(G412-H412,AQ412-(E412)))</f>
        <v/>
      </c>
      <c r="J412" s="152">
        <f>G412-H412-I412</f>
        <v/>
      </c>
      <c r="K412" s="152">
        <f>IF(N411&lt;=0.005,0,N411*(1+K$6))</f>
        <v/>
      </c>
      <c r="L412" s="152">
        <f>MIN(K412,K$7)</f>
        <v/>
      </c>
      <c r="M412" s="152">
        <f>MAX(0,MIN(K412-L412,AQ412-(E412+I412)))</f>
        <v/>
      </c>
      <c r="N412" s="152">
        <f>K412-L412-M412</f>
        <v/>
      </c>
      <c r="O412" s="152">
        <f>IF(R411&lt;=0.005,0,R411*(1+O$6))</f>
        <v/>
      </c>
      <c r="P412" s="152">
        <f>MIN(O412,O$7)</f>
        <v/>
      </c>
      <c r="Q412" s="152">
        <f>MAX(0,MIN(O412-P412,AQ412-(E412+I412+M412)))</f>
        <v/>
      </c>
      <c r="R412" s="152">
        <f>O412-P412-Q412</f>
        <v/>
      </c>
      <c r="S412" s="152">
        <f>IF(V411&lt;=0.005,0,V411*(1+S$6))</f>
        <v/>
      </c>
      <c r="T412" s="152">
        <f>MIN(S412,S$7)</f>
        <v/>
      </c>
      <c r="U412" s="152">
        <f>MAX(0,MIN(S412-T412,AQ412-(E412+I412+M412+Q412)))</f>
        <v/>
      </c>
      <c r="V412" s="152">
        <f>S412-T412-U412</f>
        <v/>
      </c>
      <c r="W412" s="152">
        <f>IF(Z411&lt;=0.005,0,Z411*(1+W$6))</f>
        <v/>
      </c>
      <c r="X412" s="152">
        <f>MIN(W412,W$7)</f>
        <v/>
      </c>
      <c r="Y412" s="152">
        <f>MAX(0,MIN(W412-X412,AQ412-(E412+I412+M412+Q412+U412)))</f>
        <v/>
      </c>
      <c r="Z412" s="152">
        <f>W412-X412-Y412</f>
        <v/>
      </c>
      <c r="AA412" s="152">
        <f>IF(AD411&lt;=0.005,0,AD411*(1+AA$6))</f>
        <v/>
      </c>
      <c r="AB412" s="152">
        <f>MIN(AA412,AA$7)</f>
        <v/>
      </c>
      <c r="AC412" s="152">
        <f>MAX(0,MIN(AA412-AB412,AQ412-(E412+I412+M412+Q412+U412+Y412)))</f>
        <v/>
      </c>
      <c r="AD412" s="152">
        <f>AA412-AB412-AC412</f>
        <v/>
      </c>
      <c r="AE412" s="152">
        <f>IF(AH411&lt;=0.005,0,AH411*(1+AE$6))</f>
        <v/>
      </c>
      <c r="AF412" s="152">
        <f>MIN(AE412,AE$7)</f>
        <v/>
      </c>
      <c r="AG412" s="152">
        <f>MAX(0,MIN(AE412-AF412,AQ412-(E412+I412+M412+Q412+U412+Y412+AC412)))</f>
        <v/>
      </c>
      <c r="AH412" s="152">
        <f>AE412-AF412-AG412</f>
        <v/>
      </c>
      <c r="AI412" s="152">
        <f>IF(AL411&lt;=0.005,0,AL411*(1+AI$6))</f>
        <v/>
      </c>
      <c r="AJ412" s="152">
        <f>MIN(AI412,AI$7)</f>
        <v/>
      </c>
      <c r="AK412" s="152">
        <f>MAX(0,MIN(AI412-AJ412,AQ412-(E412+I412+M412+Q412+U412+Y412+AC412+AG412)))</f>
        <v/>
      </c>
      <c r="AL412" s="152">
        <f>AI412-AJ412-AK412</f>
        <v/>
      </c>
      <c r="AM412" s="152">
        <f>IF(AP411&lt;=0.005,0,AP411*(1+AM$6))</f>
        <v/>
      </c>
      <c r="AN412" s="152">
        <f>MIN(AM412,AM$7)</f>
        <v/>
      </c>
      <c r="AO412" s="152">
        <f>MAX(0,MIN(AM412-AN412,AQ412-(E412+I412+M412+Q412+U412+Y412+AC412+AG412+AK412)))</f>
        <v/>
      </c>
      <c r="AP412" s="152">
        <f>AM412-AN412-AO412</f>
        <v/>
      </c>
      <c r="AQ412" s="152">
        <f>'Debt Payoff'!$C$8-SUM(D412,H412,L412,P412,T412,X412,AB412,AF412,AJ412,AN412)</f>
        <v/>
      </c>
      <c r="AR412" s="152">
        <f>SUM(D412,H412,L412,P412,T412,X412,AB412,AF412,AJ412,AN412)+SUM(E412,I412,M412,Q412,U412,Y412,AC412,AG412,AK412,AO412)</f>
        <v/>
      </c>
      <c r="AS412" s="152">
        <f>SUM(F412,J412,N412,R412,V412,Z412,AD412,AH412,AL412,AP412)</f>
        <v/>
      </c>
      <c r="AT412" s="152">
        <f>IF(B412&gt;AS$6,NA(),B412)</f>
        <v/>
      </c>
      <c r="AU412" s="152">
        <f>IF(B412&gt;AS$6,NA(),AS412)</f>
        <v/>
      </c>
      <c r="AV412" s="152" t="n"/>
      <c r="AW412" s="152" t="n">
        <v>401</v>
      </c>
      <c r="AX412" s="152">
        <f>IF(BA411&lt;=0.005,0,BA411*(1+AX$6))</f>
        <v/>
      </c>
      <c r="AY412" s="152">
        <f>MIN(AX412,AX$7)</f>
        <v/>
      </c>
      <c r="AZ412" s="152">
        <f>MAX(0,MIN(AX412-AY412,CL412))</f>
        <v/>
      </c>
      <c r="BA412" s="152">
        <f>AX412-AY412-AZ412</f>
        <v/>
      </c>
      <c r="BB412" s="152">
        <f>IF(BE411&lt;=0.005,0,BE411*(1+BB$6))</f>
        <v/>
      </c>
      <c r="BC412" s="152">
        <f>MIN(BB412,BB$7)</f>
        <v/>
      </c>
      <c r="BD412" s="152">
        <f>MAX(0,MIN(BB412-BC412,CL412-(AZ412)))</f>
        <v/>
      </c>
      <c r="BE412" s="152">
        <f>BB412-BC412-BD412</f>
        <v/>
      </c>
      <c r="BF412" s="152">
        <f>IF(BI411&lt;=0.005,0,BI411*(1+BF$6))</f>
        <v/>
      </c>
      <c r="BG412" s="152">
        <f>MIN(BF412,BF$7)</f>
        <v/>
      </c>
      <c r="BH412" s="152">
        <f>MAX(0,MIN(BF412-BG412,CL412-(AZ412+BD412)))</f>
        <v/>
      </c>
      <c r="BI412" s="152">
        <f>BF412-BG412-BH412</f>
        <v/>
      </c>
      <c r="BJ412" s="152">
        <f>IF(BM411&lt;=0.005,0,BM411*(1+BJ$6))</f>
        <v/>
      </c>
      <c r="BK412" s="152">
        <f>MIN(BJ412,BJ$7)</f>
        <v/>
      </c>
      <c r="BL412" s="152">
        <f>MAX(0,MIN(BJ412-BK412,CL412-(AZ412+BD412+BH412)))</f>
        <v/>
      </c>
      <c r="BM412" s="152">
        <f>BJ412-BK412-BL412</f>
        <v/>
      </c>
      <c r="BN412" s="152">
        <f>IF(BQ411&lt;=0.005,0,BQ411*(1+BN$6))</f>
        <v/>
      </c>
      <c r="BO412" s="152">
        <f>MIN(BN412,BN$7)</f>
        <v/>
      </c>
      <c r="BP412" s="152">
        <f>MAX(0,MIN(BN412-BO412,CL412-(AZ412+BD412+BH412+BL412)))</f>
        <v/>
      </c>
      <c r="BQ412" s="152">
        <f>BN412-BO412-BP412</f>
        <v/>
      </c>
      <c r="BR412" s="152">
        <f>IF(BU411&lt;=0.005,0,BU411*(1+BR$6))</f>
        <v/>
      </c>
      <c r="BS412" s="152">
        <f>MIN(BR412,BR$7)</f>
        <v/>
      </c>
      <c r="BT412" s="152">
        <f>MAX(0,MIN(BR412-BS412,CL412-(AZ412+BD412+BH412+BL412+BP412)))</f>
        <v/>
      </c>
      <c r="BU412" s="152">
        <f>BR412-BS412-BT412</f>
        <v/>
      </c>
      <c r="BV412" s="152">
        <f>IF(BY411&lt;=0.005,0,BY411*(1+BV$6))</f>
        <v/>
      </c>
      <c r="BW412" s="152">
        <f>MIN(BV412,BV$7)</f>
        <v/>
      </c>
      <c r="BX412" s="152">
        <f>MAX(0,MIN(BV412-BW412,CL412-(AZ412+BD412+BH412+BL412+BP412+BT412)))</f>
        <v/>
      </c>
      <c r="BY412" s="152">
        <f>BV412-BW412-BX412</f>
        <v/>
      </c>
      <c r="BZ412" s="152">
        <f>IF(CC411&lt;=0.005,0,CC411*(1+BZ$6))</f>
        <v/>
      </c>
      <c r="CA412" s="152">
        <f>MIN(BZ412,BZ$7)</f>
        <v/>
      </c>
      <c r="CB412" s="152">
        <f>MAX(0,MIN(BZ412-CA412,CL412-(AZ412+BD412+BH412+BL412+BP412+BT412+BX412)))</f>
        <v/>
      </c>
      <c r="CC412" s="152">
        <f>BZ412-CA412-CB412</f>
        <v/>
      </c>
      <c r="CD412" s="152">
        <f>IF(CG411&lt;=0.005,0,CG411*(1+CD$6))</f>
        <v/>
      </c>
      <c r="CE412" s="152">
        <f>MIN(CD412,CD$7)</f>
        <v/>
      </c>
      <c r="CF412" s="152">
        <f>MAX(0,MIN(CD412-CE412,CL412-(AZ412+BD412+BH412+BL412+BP412+BT412+BX412+CB412)))</f>
        <v/>
      </c>
      <c r="CG412" s="152">
        <f>CD412-CE412-CF412</f>
        <v/>
      </c>
      <c r="CH412" s="152">
        <f>IF(CK411&lt;=0.005,0,CK411*(1+CH$6))</f>
        <v/>
      </c>
      <c r="CI412" s="152">
        <f>MIN(CH412,CH$7)</f>
        <v/>
      </c>
      <c r="CJ412" s="152">
        <f>MAX(0,MIN(CH412-CI412,CL412-(AZ412+BD412+BH412+BL412+BP412+BT412+BX412+CB412+CF412)))</f>
        <v/>
      </c>
      <c r="CK412" s="152">
        <f>CH412-CI412-CJ412</f>
        <v/>
      </c>
      <c r="CL412" s="152">
        <f>'Debt Payoff'!$C$8-SUM(AY412,BC412,BG412,BK412,BO412,BS412,BW412,CA412,CE412,CI412)</f>
        <v/>
      </c>
      <c r="CM412" s="152">
        <f>SUM(AY412,BC412,BG412,BK412,BO412,BS412,BW412,CA412,CE412,CI412)+SUM(AZ412,BD412,BH412,BL412,BP412,BT412,BX412,CB412,CF412,CJ412)</f>
        <v/>
      </c>
      <c r="CN412" s="152">
        <f>SUM(BA412,BE412,BI412,BM412,BQ412,BU412,BY412,CC412,CG412,CK412)</f>
        <v/>
      </c>
      <c r="CO412" s="152">
        <f>IF(AW412&gt;CN$6,NA(),AW412)</f>
        <v/>
      </c>
      <c r="CP412" s="152">
        <f>IF(AW412&gt;CN$6,NA(),CN412)</f>
        <v/>
      </c>
    </row>
    <row r="413">
      <c r="B413" s="152" t="n">
        <v>402</v>
      </c>
      <c r="C413" s="152">
        <f>IF(F412&lt;=0.005,0,F412*(1+C$6))</f>
        <v/>
      </c>
      <c r="D413" s="152">
        <f>MIN(C413,C$7)</f>
        <v/>
      </c>
      <c r="E413" s="152">
        <f>MAX(0,MIN(C413-D413,AQ413))</f>
        <v/>
      </c>
      <c r="F413" s="152">
        <f>C413-D413-E413</f>
        <v/>
      </c>
      <c r="G413" s="152">
        <f>IF(J412&lt;=0.005,0,J412*(1+G$6))</f>
        <v/>
      </c>
      <c r="H413" s="152">
        <f>MIN(G413,G$7)</f>
        <v/>
      </c>
      <c r="I413" s="152">
        <f>MAX(0,MIN(G413-H413,AQ413-(E413)))</f>
        <v/>
      </c>
      <c r="J413" s="152">
        <f>G413-H413-I413</f>
        <v/>
      </c>
      <c r="K413" s="152">
        <f>IF(N412&lt;=0.005,0,N412*(1+K$6))</f>
        <v/>
      </c>
      <c r="L413" s="152">
        <f>MIN(K413,K$7)</f>
        <v/>
      </c>
      <c r="M413" s="152">
        <f>MAX(0,MIN(K413-L413,AQ413-(E413+I413)))</f>
        <v/>
      </c>
      <c r="N413" s="152">
        <f>K413-L413-M413</f>
        <v/>
      </c>
      <c r="O413" s="152">
        <f>IF(R412&lt;=0.005,0,R412*(1+O$6))</f>
        <v/>
      </c>
      <c r="P413" s="152">
        <f>MIN(O413,O$7)</f>
        <v/>
      </c>
      <c r="Q413" s="152">
        <f>MAX(0,MIN(O413-P413,AQ413-(E413+I413+M413)))</f>
        <v/>
      </c>
      <c r="R413" s="152">
        <f>O413-P413-Q413</f>
        <v/>
      </c>
      <c r="S413" s="152">
        <f>IF(V412&lt;=0.005,0,V412*(1+S$6))</f>
        <v/>
      </c>
      <c r="T413" s="152">
        <f>MIN(S413,S$7)</f>
        <v/>
      </c>
      <c r="U413" s="152">
        <f>MAX(0,MIN(S413-T413,AQ413-(E413+I413+M413+Q413)))</f>
        <v/>
      </c>
      <c r="V413" s="152">
        <f>S413-T413-U413</f>
        <v/>
      </c>
      <c r="W413" s="152">
        <f>IF(Z412&lt;=0.005,0,Z412*(1+W$6))</f>
        <v/>
      </c>
      <c r="X413" s="152">
        <f>MIN(W413,W$7)</f>
        <v/>
      </c>
      <c r="Y413" s="152">
        <f>MAX(0,MIN(W413-X413,AQ413-(E413+I413+M413+Q413+U413)))</f>
        <v/>
      </c>
      <c r="Z413" s="152">
        <f>W413-X413-Y413</f>
        <v/>
      </c>
      <c r="AA413" s="152">
        <f>IF(AD412&lt;=0.005,0,AD412*(1+AA$6))</f>
        <v/>
      </c>
      <c r="AB413" s="152">
        <f>MIN(AA413,AA$7)</f>
        <v/>
      </c>
      <c r="AC413" s="152">
        <f>MAX(0,MIN(AA413-AB413,AQ413-(E413+I413+M413+Q413+U413+Y413)))</f>
        <v/>
      </c>
      <c r="AD413" s="152">
        <f>AA413-AB413-AC413</f>
        <v/>
      </c>
      <c r="AE413" s="152">
        <f>IF(AH412&lt;=0.005,0,AH412*(1+AE$6))</f>
        <v/>
      </c>
      <c r="AF413" s="152">
        <f>MIN(AE413,AE$7)</f>
        <v/>
      </c>
      <c r="AG413" s="152">
        <f>MAX(0,MIN(AE413-AF413,AQ413-(E413+I413+M413+Q413+U413+Y413+AC413)))</f>
        <v/>
      </c>
      <c r="AH413" s="152">
        <f>AE413-AF413-AG413</f>
        <v/>
      </c>
      <c r="AI413" s="152">
        <f>IF(AL412&lt;=0.005,0,AL412*(1+AI$6))</f>
        <v/>
      </c>
      <c r="AJ413" s="152">
        <f>MIN(AI413,AI$7)</f>
        <v/>
      </c>
      <c r="AK413" s="152">
        <f>MAX(0,MIN(AI413-AJ413,AQ413-(E413+I413+M413+Q413+U413+Y413+AC413+AG413)))</f>
        <v/>
      </c>
      <c r="AL413" s="152">
        <f>AI413-AJ413-AK413</f>
        <v/>
      </c>
      <c r="AM413" s="152">
        <f>IF(AP412&lt;=0.005,0,AP412*(1+AM$6))</f>
        <v/>
      </c>
      <c r="AN413" s="152">
        <f>MIN(AM413,AM$7)</f>
        <v/>
      </c>
      <c r="AO413" s="152">
        <f>MAX(0,MIN(AM413-AN413,AQ413-(E413+I413+M413+Q413+U413+Y413+AC413+AG413+AK413)))</f>
        <v/>
      </c>
      <c r="AP413" s="152">
        <f>AM413-AN413-AO413</f>
        <v/>
      </c>
      <c r="AQ413" s="152">
        <f>'Debt Payoff'!$C$8-SUM(D413,H413,L413,P413,T413,X413,AB413,AF413,AJ413,AN413)</f>
        <v/>
      </c>
      <c r="AR413" s="152">
        <f>SUM(D413,H413,L413,P413,T413,X413,AB413,AF413,AJ413,AN413)+SUM(E413,I413,M413,Q413,U413,Y413,AC413,AG413,AK413,AO413)</f>
        <v/>
      </c>
      <c r="AS413" s="152">
        <f>SUM(F413,J413,N413,R413,V413,Z413,AD413,AH413,AL413,AP413)</f>
        <v/>
      </c>
      <c r="AT413" s="152">
        <f>IF(B413&gt;AS$6,NA(),B413)</f>
        <v/>
      </c>
      <c r="AU413" s="152">
        <f>IF(B413&gt;AS$6,NA(),AS413)</f>
        <v/>
      </c>
      <c r="AV413" s="152" t="n"/>
      <c r="AW413" s="152" t="n">
        <v>402</v>
      </c>
      <c r="AX413" s="152">
        <f>IF(BA412&lt;=0.005,0,BA412*(1+AX$6))</f>
        <v/>
      </c>
      <c r="AY413" s="152">
        <f>MIN(AX413,AX$7)</f>
        <v/>
      </c>
      <c r="AZ413" s="152">
        <f>MAX(0,MIN(AX413-AY413,CL413))</f>
        <v/>
      </c>
      <c r="BA413" s="152">
        <f>AX413-AY413-AZ413</f>
        <v/>
      </c>
      <c r="BB413" s="152">
        <f>IF(BE412&lt;=0.005,0,BE412*(1+BB$6))</f>
        <v/>
      </c>
      <c r="BC413" s="152">
        <f>MIN(BB413,BB$7)</f>
        <v/>
      </c>
      <c r="BD413" s="152">
        <f>MAX(0,MIN(BB413-BC413,CL413-(AZ413)))</f>
        <v/>
      </c>
      <c r="BE413" s="152">
        <f>BB413-BC413-BD413</f>
        <v/>
      </c>
      <c r="BF413" s="152">
        <f>IF(BI412&lt;=0.005,0,BI412*(1+BF$6))</f>
        <v/>
      </c>
      <c r="BG413" s="152">
        <f>MIN(BF413,BF$7)</f>
        <v/>
      </c>
      <c r="BH413" s="152">
        <f>MAX(0,MIN(BF413-BG413,CL413-(AZ413+BD413)))</f>
        <v/>
      </c>
      <c r="BI413" s="152">
        <f>BF413-BG413-BH413</f>
        <v/>
      </c>
      <c r="BJ413" s="152">
        <f>IF(BM412&lt;=0.005,0,BM412*(1+BJ$6))</f>
        <v/>
      </c>
      <c r="BK413" s="152">
        <f>MIN(BJ413,BJ$7)</f>
        <v/>
      </c>
      <c r="BL413" s="152">
        <f>MAX(0,MIN(BJ413-BK413,CL413-(AZ413+BD413+BH413)))</f>
        <v/>
      </c>
      <c r="BM413" s="152">
        <f>BJ413-BK413-BL413</f>
        <v/>
      </c>
      <c r="BN413" s="152">
        <f>IF(BQ412&lt;=0.005,0,BQ412*(1+BN$6))</f>
        <v/>
      </c>
      <c r="BO413" s="152">
        <f>MIN(BN413,BN$7)</f>
        <v/>
      </c>
      <c r="BP413" s="152">
        <f>MAX(0,MIN(BN413-BO413,CL413-(AZ413+BD413+BH413+BL413)))</f>
        <v/>
      </c>
      <c r="BQ413" s="152">
        <f>BN413-BO413-BP413</f>
        <v/>
      </c>
      <c r="BR413" s="152">
        <f>IF(BU412&lt;=0.005,0,BU412*(1+BR$6))</f>
        <v/>
      </c>
      <c r="BS413" s="152">
        <f>MIN(BR413,BR$7)</f>
        <v/>
      </c>
      <c r="BT413" s="152">
        <f>MAX(0,MIN(BR413-BS413,CL413-(AZ413+BD413+BH413+BL413+BP413)))</f>
        <v/>
      </c>
      <c r="BU413" s="152">
        <f>BR413-BS413-BT413</f>
        <v/>
      </c>
      <c r="BV413" s="152">
        <f>IF(BY412&lt;=0.005,0,BY412*(1+BV$6))</f>
        <v/>
      </c>
      <c r="BW413" s="152">
        <f>MIN(BV413,BV$7)</f>
        <v/>
      </c>
      <c r="BX413" s="152">
        <f>MAX(0,MIN(BV413-BW413,CL413-(AZ413+BD413+BH413+BL413+BP413+BT413)))</f>
        <v/>
      </c>
      <c r="BY413" s="152">
        <f>BV413-BW413-BX413</f>
        <v/>
      </c>
      <c r="BZ413" s="152">
        <f>IF(CC412&lt;=0.005,0,CC412*(1+BZ$6))</f>
        <v/>
      </c>
      <c r="CA413" s="152">
        <f>MIN(BZ413,BZ$7)</f>
        <v/>
      </c>
      <c r="CB413" s="152">
        <f>MAX(0,MIN(BZ413-CA413,CL413-(AZ413+BD413+BH413+BL413+BP413+BT413+BX413)))</f>
        <v/>
      </c>
      <c r="CC413" s="152">
        <f>BZ413-CA413-CB413</f>
        <v/>
      </c>
      <c r="CD413" s="152">
        <f>IF(CG412&lt;=0.005,0,CG412*(1+CD$6))</f>
        <v/>
      </c>
      <c r="CE413" s="152">
        <f>MIN(CD413,CD$7)</f>
        <v/>
      </c>
      <c r="CF413" s="152">
        <f>MAX(0,MIN(CD413-CE413,CL413-(AZ413+BD413+BH413+BL413+BP413+BT413+BX413+CB413)))</f>
        <v/>
      </c>
      <c r="CG413" s="152">
        <f>CD413-CE413-CF413</f>
        <v/>
      </c>
      <c r="CH413" s="152">
        <f>IF(CK412&lt;=0.005,0,CK412*(1+CH$6))</f>
        <v/>
      </c>
      <c r="CI413" s="152">
        <f>MIN(CH413,CH$7)</f>
        <v/>
      </c>
      <c r="CJ413" s="152">
        <f>MAX(0,MIN(CH413-CI413,CL413-(AZ413+BD413+BH413+BL413+BP413+BT413+BX413+CB413+CF413)))</f>
        <v/>
      </c>
      <c r="CK413" s="152">
        <f>CH413-CI413-CJ413</f>
        <v/>
      </c>
      <c r="CL413" s="152">
        <f>'Debt Payoff'!$C$8-SUM(AY413,BC413,BG413,BK413,BO413,BS413,BW413,CA413,CE413,CI413)</f>
        <v/>
      </c>
      <c r="CM413" s="152">
        <f>SUM(AY413,BC413,BG413,BK413,BO413,BS413,BW413,CA413,CE413,CI413)+SUM(AZ413,BD413,BH413,BL413,BP413,BT413,BX413,CB413,CF413,CJ413)</f>
        <v/>
      </c>
      <c r="CN413" s="152">
        <f>SUM(BA413,BE413,BI413,BM413,BQ413,BU413,BY413,CC413,CG413,CK413)</f>
        <v/>
      </c>
      <c r="CO413" s="152">
        <f>IF(AW413&gt;CN$6,NA(),AW413)</f>
        <v/>
      </c>
      <c r="CP413" s="152">
        <f>IF(AW413&gt;CN$6,NA(),CN413)</f>
        <v/>
      </c>
    </row>
    <row r="414">
      <c r="B414" s="152" t="n">
        <v>403</v>
      </c>
      <c r="C414" s="152">
        <f>IF(F413&lt;=0.005,0,F413*(1+C$6))</f>
        <v/>
      </c>
      <c r="D414" s="152">
        <f>MIN(C414,C$7)</f>
        <v/>
      </c>
      <c r="E414" s="152">
        <f>MAX(0,MIN(C414-D414,AQ414))</f>
        <v/>
      </c>
      <c r="F414" s="152">
        <f>C414-D414-E414</f>
        <v/>
      </c>
      <c r="G414" s="152">
        <f>IF(J413&lt;=0.005,0,J413*(1+G$6))</f>
        <v/>
      </c>
      <c r="H414" s="152">
        <f>MIN(G414,G$7)</f>
        <v/>
      </c>
      <c r="I414" s="152">
        <f>MAX(0,MIN(G414-H414,AQ414-(E414)))</f>
        <v/>
      </c>
      <c r="J414" s="152">
        <f>G414-H414-I414</f>
        <v/>
      </c>
      <c r="K414" s="152">
        <f>IF(N413&lt;=0.005,0,N413*(1+K$6))</f>
        <v/>
      </c>
      <c r="L414" s="152">
        <f>MIN(K414,K$7)</f>
        <v/>
      </c>
      <c r="M414" s="152">
        <f>MAX(0,MIN(K414-L414,AQ414-(E414+I414)))</f>
        <v/>
      </c>
      <c r="N414" s="152">
        <f>K414-L414-M414</f>
        <v/>
      </c>
      <c r="O414" s="152">
        <f>IF(R413&lt;=0.005,0,R413*(1+O$6))</f>
        <v/>
      </c>
      <c r="P414" s="152">
        <f>MIN(O414,O$7)</f>
        <v/>
      </c>
      <c r="Q414" s="152">
        <f>MAX(0,MIN(O414-P414,AQ414-(E414+I414+M414)))</f>
        <v/>
      </c>
      <c r="R414" s="152">
        <f>O414-P414-Q414</f>
        <v/>
      </c>
      <c r="S414" s="152">
        <f>IF(V413&lt;=0.005,0,V413*(1+S$6))</f>
        <v/>
      </c>
      <c r="T414" s="152">
        <f>MIN(S414,S$7)</f>
        <v/>
      </c>
      <c r="U414" s="152">
        <f>MAX(0,MIN(S414-T414,AQ414-(E414+I414+M414+Q414)))</f>
        <v/>
      </c>
      <c r="V414" s="152">
        <f>S414-T414-U414</f>
        <v/>
      </c>
      <c r="W414" s="152">
        <f>IF(Z413&lt;=0.005,0,Z413*(1+W$6))</f>
        <v/>
      </c>
      <c r="X414" s="152">
        <f>MIN(W414,W$7)</f>
        <v/>
      </c>
      <c r="Y414" s="152">
        <f>MAX(0,MIN(W414-X414,AQ414-(E414+I414+M414+Q414+U414)))</f>
        <v/>
      </c>
      <c r="Z414" s="152">
        <f>W414-X414-Y414</f>
        <v/>
      </c>
      <c r="AA414" s="152">
        <f>IF(AD413&lt;=0.005,0,AD413*(1+AA$6))</f>
        <v/>
      </c>
      <c r="AB414" s="152">
        <f>MIN(AA414,AA$7)</f>
        <v/>
      </c>
      <c r="AC414" s="152">
        <f>MAX(0,MIN(AA414-AB414,AQ414-(E414+I414+M414+Q414+U414+Y414)))</f>
        <v/>
      </c>
      <c r="AD414" s="152">
        <f>AA414-AB414-AC414</f>
        <v/>
      </c>
      <c r="AE414" s="152">
        <f>IF(AH413&lt;=0.005,0,AH413*(1+AE$6))</f>
        <v/>
      </c>
      <c r="AF414" s="152">
        <f>MIN(AE414,AE$7)</f>
        <v/>
      </c>
      <c r="AG414" s="152">
        <f>MAX(0,MIN(AE414-AF414,AQ414-(E414+I414+M414+Q414+U414+Y414+AC414)))</f>
        <v/>
      </c>
      <c r="AH414" s="152">
        <f>AE414-AF414-AG414</f>
        <v/>
      </c>
      <c r="AI414" s="152">
        <f>IF(AL413&lt;=0.005,0,AL413*(1+AI$6))</f>
        <v/>
      </c>
      <c r="AJ414" s="152">
        <f>MIN(AI414,AI$7)</f>
        <v/>
      </c>
      <c r="AK414" s="152">
        <f>MAX(0,MIN(AI414-AJ414,AQ414-(E414+I414+M414+Q414+U414+Y414+AC414+AG414)))</f>
        <v/>
      </c>
      <c r="AL414" s="152">
        <f>AI414-AJ414-AK414</f>
        <v/>
      </c>
      <c r="AM414" s="152">
        <f>IF(AP413&lt;=0.005,0,AP413*(1+AM$6))</f>
        <v/>
      </c>
      <c r="AN414" s="152">
        <f>MIN(AM414,AM$7)</f>
        <v/>
      </c>
      <c r="AO414" s="152">
        <f>MAX(0,MIN(AM414-AN414,AQ414-(E414+I414+M414+Q414+U414+Y414+AC414+AG414+AK414)))</f>
        <v/>
      </c>
      <c r="AP414" s="152">
        <f>AM414-AN414-AO414</f>
        <v/>
      </c>
      <c r="AQ414" s="152">
        <f>'Debt Payoff'!$C$8-SUM(D414,H414,L414,P414,T414,X414,AB414,AF414,AJ414,AN414)</f>
        <v/>
      </c>
      <c r="AR414" s="152">
        <f>SUM(D414,H414,L414,P414,T414,X414,AB414,AF414,AJ414,AN414)+SUM(E414,I414,M414,Q414,U414,Y414,AC414,AG414,AK414,AO414)</f>
        <v/>
      </c>
      <c r="AS414" s="152">
        <f>SUM(F414,J414,N414,R414,V414,Z414,AD414,AH414,AL414,AP414)</f>
        <v/>
      </c>
      <c r="AT414" s="152">
        <f>IF(B414&gt;AS$6,NA(),B414)</f>
        <v/>
      </c>
      <c r="AU414" s="152">
        <f>IF(B414&gt;AS$6,NA(),AS414)</f>
        <v/>
      </c>
      <c r="AV414" s="152" t="n"/>
      <c r="AW414" s="152" t="n">
        <v>403</v>
      </c>
      <c r="AX414" s="152">
        <f>IF(BA413&lt;=0.005,0,BA413*(1+AX$6))</f>
        <v/>
      </c>
      <c r="AY414" s="152">
        <f>MIN(AX414,AX$7)</f>
        <v/>
      </c>
      <c r="AZ414" s="152">
        <f>MAX(0,MIN(AX414-AY414,CL414))</f>
        <v/>
      </c>
      <c r="BA414" s="152">
        <f>AX414-AY414-AZ414</f>
        <v/>
      </c>
      <c r="BB414" s="152">
        <f>IF(BE413&lt;=0.005,0,BE413*(1+BB$6))</f>
        <v/>
      </c>
      <c r="BC414" s="152">
        <f>MIN(BB414,BB$7)</f>
        <v/>
      </c>
      <c r="BD414" s="152">
        <f>MAX(0,MIN(BB414-BC414,CL414-(AZ414)))</f>
        <v/>
      </c>
      <c r="BE414" s="152">
        <f>BB414-BC414-BD414</f>
        <v/>
      </c>
      <c r="BF414" s="152">
        <f>IF(BI413&lt;=0.005,0,BI413*(1+BF$6))</f>
        <v/>
      </c>
      <c r="BG414" s="152">
        <f>MIN(BF414,BF$7)</f>
        <v/>
      </c>
      <c r="BH414" s="152">
        <f>MAX(0,MIN(BF414-BG414,CL414-(AZ414+BD414)))</f>
        <v/>
      </c>
      <c r="BI414" s="152">
        <f>BF414-BG414-BH414</f>
        <v/>
      </c>
      <c r="BJ414" s="152">
        <f>IF(BM413&lt;=0.005,0,BM413*(1+BJ$6))</f>
        <v/>
      </c>
      <c r="BK414" s="152">
        <f>MIN(BJ414,BJ$7)</f>
        <v/>
      </c>
      <c r="BL414" s="152">
        <f>MAX(0,MIN(BJ414-BK414,CL414-(AZ414+BD414+BH414)))</f>
        <v/>
      </c>
      <c r="BM414" s="152">
        <f>BJ414-BK414-BL414</f>
        <v/>
      </c>
      <c r="BN414" s="152">
        <f>IF(BQ413&lt;=0.005,0,BQ413*(1+BN$6))</f>
        <v/>
      </c>
      <c r="BO414" s="152">
        <f>MIN(BN414,BN$7)</f>
        <v/>
      </c>
      <c r="BP414" s="152">
        <f>MAX(0,MIN(BN414-BO414,CL414-(AZ414+BD414+BH414+BL414)))</f>
        <v/>
      </c>
      <c r="BQ414" s="152">
        <f>BN414-BO414-BP414</f>
        <v/>
      </c>
      <c r="BR414" s="152">
        <f>IF(BU413&lt;=0.005,0,BU413*(1+BR$6))</f>
        <v/>
      </c>
      <c r="BS414" s="152">
        <f>MIN(BR414,BR$7)</f>
        <v/>
      </c>
      <c r="BT414" s="152">
        <f>MAX(0,MIN(BR414-BS414,CL414-(AZ414+BD414+BH414+BL414+BP414)))</f>
        <v/>
      </c>
      <c r="BU414" s="152">
        <f>BR414-BS414-BT414</f>
        <v/>
      </c>
      <c r="BV414" s="152">
        <f>IF(BY413&lt;=0.005,0,BY413*(1+BV$6))</f>
        <v/>
      </c>
      <c r="BW414" s="152">
        <f>MIN(BV414,BV$7)</f>
        <v/>
      </c>
      <c r="BX414" s="152">
        <f>MAX(0,MIN(BV414-BW414,CL414-(AZ414+BD414+BH414+BL414+BP414+BT414)))</f>
        <v/>
      </c>
      <c r="BY414" s="152">
        <f>BV414-BW414-BX414</f>
        <v/>
      </c>
      <c r="BZ414" s="152">
        <f>IF(CC413&lt;=0.005,0,CC413*(1+BZ$6))</f>
        <v/>
      </c>
      <c r="CA414" s="152">
        <f>MIN(BZ414,BZ$7)</f>
        <v/>
      </c>
      <c r="CB414" s="152">
        <f>MAX(0,MIN(BZ414-CA414,CL414-(AZ414+BD414+BH414+BL414+BP414+BT414+BX414)))</f>
        <v/>
      </c>
      <c r="CC414" s="152">
        <f>BZ414-CA414-CB414</f>
        <v/>
      </c>
      <c r="CD414" s="152">
        <f>IF(CG413&lt;=0.005,0,CG413*(1+CD$6))</f>
        <v/>
      </c>
      <c r="CE414" s="152">
        <f>MIN(CD414,CD$7)</f>
        <v/>
      </c>
      <c r="CF414" s="152">
        <f>MAX(0,MIN(CD414-CE414,CL414-(AZ414+BD414+BH414+BL414+BP414+BT414+BX414+CB414)))</f>
        <v/>
      </c>
      <c r="CG414" s="152">
        <f>CD414-CE414-CF414</f>
        <v/>
      </c>
      <c r="CH414" s="152">
        <f>IF(CK413&lt;=0.005,0,CK413*(1+CH$6))</f>
        <v/>
      </c>
      <c r="CI414" s="152">
        <f>MIN(CH414,CH$7)</f>
        <v/>
      </c>
      <c r="CJ414" s="152">
        <f>MAX(0,MIN(CH414-CI414,CL414-(AZ414+BD414+BH414+BL414+BP414+BT414+BX414+CB414+CF414)))</f>
        <v/>
      </c>
      <c r="CK414" s="152">
        <f>CH414-CI414-CJ414</f>
        <v/>
      </c>
      <c r="CL414" s="152">
        <f>'Debt Payoff'!$C$8-SUM(AY414,BC414,BG414,BK414,BO414,BS414,BW414,CA414,CE414,CI414)</f>
        <v/>
      </c>
      <c r="CM414" s="152">
        <f>SUM(AY414,BC414,BG414,BK414,BO414,BS414,BW414,CA414,CE414,CI414)+SUM(AZ414,BD414,BH414,BL414,BP414,BT414,BX414,CB414,CF414,CJ414)</f>
        <v/>
      </c>
      <c r="CN414" s="152">
        <f>SUM(BA414,BE414,BI414,BM414,BQ414,BU414,BY414,CC414,CG414,CK414)</f>
        <v/>
      </c>
      <c r="CO414" s="152">
        <f>IF(AW414&gt;CN$6,NA(),AW414)</f>
        <v/>
      </c>
      <c r="CP414" s="152">
        <f>IF(AW414&gt;CN$6,NA(),CN414)</f>
        <v/>
      </c>
    </row>
    <row r="415">
      <c r="B415" s="152" t="n">
        <v>404</v>
      </c>
      <c r="C415" s="152">
        <f>IF(F414&lt;=0.005,0,F414*(1+C$6))</f>
        <v/>
      </c>
      <c r="D415" s="152">
        <f>MIN(C415,C$7)</f>
        <v/>
      </c>
      <c r="E415" s="152">
        <f>MAX(0,MIN(C415-D415,AQ415))</f>
        <v/>
      </c>
      <c r="F415" s="152">
        <f>C415-D415-E415</f>
        <v/>
      </c>
      <c r="G415" s="152">
        <f>IF(J414&lt;=0.005,0,J414*(1+G$6))</f>
        <v/>
      </c>
      <c r="H415" s="152">
        <f>MIN(G415,G$7)</f>
        <v/>
      </c>
      <c r="I415" s="152">
        <f>MAX(0,MIN(G415-H415,AQ415-(E415)))</f>
        <v/>
      </c>
      <c r="J415" s="152">
        <f>G415-H415-I415</f>
        <v/>
      </c>
      <c r="K415" s="152">
        <f>IF(N414&lt;=0.005,0,N414*(1+K$6))</f>
        <v/>
      </c>
      <c r="L415" s="152">
        <f>MIN(K415,K$7)</f>
        <v/>
      </c>
      <c r="M415" s="152">
        <f>MAX(0,MIN(K415-L415,AQ415-(E415+I415)))</f>
        <v/>
      </c>
      <c r="N415" s="152">
        <f>K415-L415-M415</f>
        <v/>
      </c>
      <c r="O415" s="152">
        <f>IF(R414&lt;=0.005,0,R414*(1+O$6))</f>
        <v/>
      </c>
      <c r="P415" s="152">
        <f>MIN(O415,O$7)</f>
        <v/>
      </c>
      <c r="Q415" s="152">
        <f>MAX(0,MIN(O415-P415,AQ415-(E415+I415+M415)))</f>
        <v/>
      </c>
      <c r="R415" s="152">
        <f>O415-P415-Q415</f>
        <v/>
      </c>
      <c r="S415" s="152">
        <f>IF(V414&lt;=0.005,0,V414*(1+S$6))</f>
        <v/>
      </c>
      <c r="T415" s="152">
        <f>MIN(S415,S$7)</f>
        <v/>
      </c>
      <c r="U415" s="152">
        <f>MAX(0,MIN(S415-T415,AQ415-(E415+I415+M415+Q415)))</f>
        <v/>
      </c>
      <c r="V415" s="152">
        <f>S415-T415-U415</f>
        <v/>
      </c>
      <c r="W415" s="152">
        <f>IF(Z414&lt;=0.005,0,Z414*(1+W$6))</f>
        <v/>
      </c>
      <c r="X415" s="152">
        <f>MIN(W415,W$7)</f>
        <v/>
      </c>
      <c r="Y415" s="152">
        <f>MAX(0,MIN(W415-X415,AQ415-(E415+I415+M415+Q415+U415)))</f>
        <v/>
      </c>
      <c r="Z415" s="152">
        <f>W415-X415-Y415</f>
        <v/>
      </c>
      <c r="AA415" s="152">
        <f>IF(AD414&lt;=0.005,0,AD414*(1+AA$6))</f>
        <v/>
      </c>
      <c r="AB415" s="152">
        <f>MIN(AA415,AA$7)</f>
        <v/>
      </c>
      <c r="AC415" s="152">
        <f>MAX(0,MIN(AA415-AB415,AQ415-(E415+I415+M415+Q415+U415+Y415)))</f>
        <v/>
      </c>
      <c r="AD415" s="152">
        <f>AA415-AB415-AC415</f>
        <v/>
      </c>
      <c r="AE415" s="152">
        <f>IF(AH414&lt;=0.005,0,AH414*(1+AE$6))</f>
        <v/>
      </c>
      <c r="AF415" s="152">
        <f>MIN(AE415,AE$7)</f>
        <v/>
      </c>
      <c r="AG415" s="152">
        <f>MAX(0,MIN(AE415-AF415,AQ415-(E415+I415+M415+Q415+U415+Y415+AC415)))</f>
        <v/>
      </c>
      <c r="AH415" s="152">
        <f>AE415-AF415-AG415</f>
        <v/>
      </c>
      <c r="AI415" s="152">
        <f>IF(AL414&lt;=0.005,0,AL414*(1+AI$6))</f>
        <v/>
      </c>
      <c r="AJ415" s="152">
        <f>MIN(AI415,AI$7)</f>
        <v/>
      </c>
      <c r="AK415" s="152">
        <f>MAX(0,MIN(AI415-AJ415,AQ415-(E415+I415+M415+Q415+U415+Y415+AC415+AG415)))</f>
        <v/>
      </c>
      <c r="AL415" s="152">
        <f>AI415-AJ415-AK415</f>
        <v/>
      </c>
      <c r="AM415" s="152">
        <f>IF(AP414&lt;=0.005,0,AP414*(1+AM$6))</f>
        <v/>
      </c>
      <c r="AN415" s="152">
        <f>MIN(AM415,AM$7)</f>
        <v/>
      </c>
      <c r="AO415" s="152">
        <f>MAX(0,MIN(AM415-AN415,AQ415-(E415+I415+M415+Q415+U415+Y415+AC415+AG415+AK415)))</f>
        <v/>
      </c>
      <c r="AP415" s="152">
        <f>AM415-AN415-AO415</f>
        <v/>
      </c>
      <c r="AQ415" s="152">
        <f>'Debt Payoff'!$C$8-SUM(D415,H415,L415,P415,T415,X415,AB415,AF415,AJ415,AN415)</f>
        <v/>
      </c>
      <c r="AR415" s="152">
        <f>SUM(D415,H415,L415,P415,T415,X415,AB415,AF415,AJ415,AN415)+SUM(E415,I415,M415,Q415,U415,Y415,AC415,AG415,AK415,AO415)</f>
        <v/>
      </c>
      <c r="AS415" s="152">
        <f>SUM(F415,J415,N415,R415,V415,Z415,AD415,AH415,AL415,AP415)</f>
        <v/>
      </c>
      <c r="AT415" s="152">
        <f>IF(B415&gt;AS$6,NA(),B415)</f>
        <v/>
      </c>
      <c r="AU415" s="152">
        <f>IF(B415&gt;AS$6,NA(),AS415)</f>
        <v/>
      </c>
      <c r="AV415" s="152" t="n"/>
      <c r="AW415" s="152" t="n">
        <v>404</v>
      </c>
      <c r="AX415" s="152">
        <f>IF(BA414&lt;=0.005,0,BA414*(1+AX$6))</f>
        <v/>
      </c>
      <c r="AY415" s="152">
        <f>MIN(AX415,AX$7)</f>
        <v/>
      </c>
      <c r="AZ415" s="152">
        <f>MAX(0,MIN(AX415-AY415,CL415))</f>
        <v/>
      </c>
      <c r="BA415" s="152">
        <f>AX415-AY415-AZ415</f>
        <v/>
      </c>
      <c r="BB415" s="152">
        <f>IF(BE414&lt;=0.005,0,BE414*(1+BB$6))</f>
        <v/>
      </c>
      <c r="BC415" s="152">
        <f>MIN(BB415,BB$7)</f>
        <v/>
      </c>
      <c r="BD415" s="152">
        <f>MAX(0,MIN(BB415-BC415,CL415-(AZ415)))</f>
        <v/>
      </c>
      <c r="BE415" s="152">
        <f>BB415-BC415-BD415</f>
        <v/>
      </c>
      <c r="BF415" s="152">
        <f>IF(BI414&lt;=0.005,0,BI414*(1+BF$6))</f>
        <v/>
      </c>
      <c r="BG415" s="152">
        <f>MIN(BF415,BF$7)</f>
        <v/>
      </c>
      <c r="BH415" s="152">
        <f>MAX(0,MIN(BF415-BG415,CL415-(AZ415+BD415)))</f>
        <v/>
      </c>
      <c r="BI415" s="152">
        <f>BF415-BG415-BH415</f>
        <v/>
      </c>
      <c r="BJ415" s="152">
        <f>IF(BM414&lt;=0.005,0,BM414*(1+BJ$6))</f>
        <v/>
      </c>
      <c r="BK415" s="152">
        <f>MIN(BJ415,BJ$7)</f>
        <v/>
      </c>
      <c r="BL415" s="152">
        <f>MAX(0,MIN(BJ415-BK415,CL415-(AZ415+BD415+BH415)))</f>
        <v/>
      </c>
      <c r="BM415" s="152">
        <f>BJ415-BK415-BL415</f>
        <v/>
      </c>
      <c r="BN415" s="152">
        <f>IF(BQ414&lt;=0.005,0,BQ414*(1+BN$6))</f>
        <v/>
      </c>
      <c r="BO415" s="152">
        <f>MIN(BN415,BN$7)</f>
        <v/>
      </c>
      <c r="BP415" s="152">
        <f>MAX(0,MIN(BN415-BO415,CL415-(AZ415+BD415+BH415+BL415)))</f>
        <v/>
      </c>
      <c r="BQ415" s="152">
        <f>BN415-BO415-BP415</f>
        <v/>
      </c>
      <c r="BR415" s="152">
        <f>IF(BU414&lt;=0.005,0,BU414*(1+BR$6))</f>
        <v/>
      </c>
      <c r="BS415" s="152">
        <f>MIN(BR415,BR$7)</f>
        <v/>
      </c>
      <c r="BT415" s="152">
        <f>MAX(0,MIN(BR415-BS415,CL415-(AZ415+BD415+BH415+BL415+BP415)))</f>
        <v/>
      </c>
      <c r="BU415" s="152">
        <f>BR415-BS415-BT415</f>
        <v/>
      </c>
      <c r="BV415" s="152">
        <f>IF(BY414&lt;=0.005,0,BY414*(1+BV$6))</f>
        <v/>
      </c>
      <c r="BW415" s="152">
        <f>MIN(BV415,BV$7)</f>
        <v/>
      </c>
      <c r="BX415" s="152">
        <f>MAX(0,MIN(BV415-BW415,CL415-(AZ415+BD415+BH415+BL415+BP415+BT415)))</f>
        <v/>
      </c>
      <c r="BY415" s="152">
        <f>BV415-BW415-BX415</f>
        <v/>
      </c>
      <c r="BZ415" s="152">
        <f>IF(CC414&lt;=0.005,0,CC414*(1+BZ$6))</f>
        <v/>
      </c>
      <c r="CA415" s="152">
        <f>MIN(BZ415,BZ$7)</f>
        <v/>
      </c>
      <c r="CB415" s="152">
        <f>MAX(0,MIN(BZ415-CA415,CL415-(AZ415+BD415+BH415+BL415+BP415+BT415+BX415)))</f>
        <v/>
      </c>
      <c r="CC415" s="152">
        <f>BZ415-CA415-CB415</f>
        <v/>
      </c>
      <c r="CD415" s="152">
        <f>IF(CG414&lt;=0.005,0,CG414*(1+CD$6))</f>
        <v/>
      </c>
      <c r="CE415" s="152">
        <f>MIN(CD415,CD$7)</f>
        <v/>
      </c>
      <c r="CF415" s="152">
        <f>MAX(0,MIN(CD415-CE415,CL415-(AZ415+BD415+BH415+BL415+BP415+BT415+BX415+CB415)))</f>
        <v/>
      </c>
      <c r="CG415" s="152">
        <f>CD415-CE415-CF415</f>
        <v/>
      </c>
      <c r="CH415" s="152">
        <f>IF(CK414&lt;=0.005,0,CK414*(1+CH$6))</f>
        <v/>
      </c>
      <c r="CI415" s="152">
        <f>MIN(CH415,CH$7)</f>
        <v/>
      </c>
      <c r="CJ415" s="152">
        <f>MAX(0,MIN(CH415-CI415,CL415-(AZ415+BD415+BH415+BL415+BP415+BT415+BX415+CB415+CF415)))</f>
        <v/>
      </c>
      <c r="CK415" s="152">
        <f>CH415-CI415-CJ415</f>
        <v/>
      </c>
      <c r="CL415" s="152">
        <f>'Debt Payoff'!$C$8-SUM(AY415,BC415,BG415,BK415,BO415,BS415,BW415,CA415,CE415,CI415)</f>
        <v/>
      </c>
      <c r="CM415" s="152">
        <f>SUM(AY415,BC415,BG415,BK415,BO415,BS415,BW415,CA415,CE415,CI415)+SUM(AZ415,BD415,BH415,BL415,BP415,BT415,BX415,CB415,CF415,CJ415)</f>
        <v/>
      </c>
      <c r="CN415" s="152">
        <f>SUM(BA415,BE415,BI415,BM415,BQ415,BU415,BY415,CC415,CG415,CK415)</f>
        <v/>
      </c>
      <c r="CO415" s="152">
        <f>IF(AW415&gt;CN$6,NA(),AW415)</f>
        <v/>
      </c>
      <c r="CP415" s="152">
        <f>IF(AW415&gt;CN$6,NA(),CN415)</f>
        <v/>
      </c>
    </row>
    <row r="416">
      <c r="B416" s="152" t="n">
        <v>405</v>
      </c>
      <c r="C416" s="152">
        <f>IF(F415&lt;=0.005,0,F415*(1+C$6))</f>
        <v/>
      </c>
      <c r="D416" s="152">
        <f>MIN(C416,C$7)</f>
        <v/>
      </c>
      <c r="E416" s="152">
        <f>MAX(0,MIN(C416-D416,AQ416))</f>
        <v/>
      </c>
      <c r="F416" s="152">
        <f>C416-D416-E416</f>
        <v/>
      </c>
      <c r="G416" s="152">
        <f>IF(J415&lt;=0.005,0,J415*(1+G$6))</f>
        <v/>
      </c>
      <c r="H416" s="152">
        <f>MIN(G416,G$7)</f>
        <v/>
      </c>
      <c r="I416" s="152">
        <f>MAX(0,MIN(G416-H416,AQ416-(E416)))</f>
        <v/>
      </c>
      <c r="J416" s="152">
        <f>G416-H416-I416</f>
        <v/>
      </c>
      <c r="K416" s="152">
        <f>IF(N415&lt;=0.005,0,N415*(1+K$6))</f>
        <v/>
      </c>
      <c r="L416" s="152">
        <f>MIN(K416,K$7)</f>
        <v/>
      </c>
      <c r="M416" s="152">
        <f>MAX(0,MIN(K416-L416,AQ416-(E416+I416)))</f>
        <v/>
      </c>
      <c r="N416" s="152">
        <f>K416-L416-M416</f>
        <v/>
      </c>
      <c r="O416" s="152">
        <f>IF(R415&lt;=0.005,0,R415*(1+O$6))</f>
        <v/>
      </c>
      <c r="P416" s="152">
        <f>MIN(O416,O$7)</f>
        <v/>
      </c>
      <c r="Q416" s="152">
        <f>MAX(0,MIN(O416-P416,AQ416-(E416+I416+M416)))</f>
        <v/>
      </c>
      <c r="R416" s="152">
        <f>O416-P416-Q416</f>
        <v/>
      </c>
      <c r="S416" s="152">
        <f>IF(V415&lt;=0.005,0,V415*(1+S$6))</f>
        <v/>
      </c>
      <c r="T416" s="152">
        <f>MIN(S416,S$7)</f>
        <v/>
      </c>
      <c r="U416" s="152">
        <f>MAX(0,MIN(S416-T416,AQ416-(E416+I416+M416+Q416)))</f>
        <v/>
      </c>
      <c r="V416" s="152">
        <f>S416-T416-U416</f>
        <v/>
      </c>
      <c r="W416" s="152">
        <f>IF(Z415&lt;=0.005,0,Z415*(1+W$6))</f>
        <v/>
      </c>
      <c r="X416" s="152">
        <f>MIN(W416,W$7)</f>
        <v/>
      </c>
      <c r="Y416" s="152">
        <f>MAX(0,MIN(W416-X416,AQ416-(E416+I416+M416+Q416+U416)))</f>
        <v/>
      </c>
      <c r="Z416" s="152">
        <f>W416-X416-Y416</f>
        <v/>
      </c>
      <c r="AA416" s="152">
        <f>IF(AD415&lt;=0.005,0,AD415*(1+AA$6))</f>
        <v/>
      </c>
      <c r="AB416" s="152">
        <f>MIN(AA416,AA$7)</f>
        <v/>
      </c>
      <c r="AC416" s="152">
        <f>MAX(0,MIN(AA416-AB416,AQ416-(E416+I416+M416+Q416+U416+Y416)))</f>
        <v/>
      </c>
      <c r="AD416" s="152">
        <f>AA416-AB416-AC416</f>
        <v/>
      </c>
      <c r="AE416" s="152">
        <f>IF(AH415&lt;=0.005,0,AH415*(1+AE$6))</f>
        <v/>
      </c>
      <c r="AF416" s="152">
        <f>MIN(AE416,AE$7)</f>
        <v/>
      </c>
      <c r="AG416" s="152">
        <f>MAX(0,MIN(AE416-AF416,AQ416-(E416+I416+M416+Q416+U416+Y416+AC416)))</f>
        <v/>
      </c>
      <c r="AH416" s="152">
        <f>AE416-AF416-AG416</f>
        <v/>
      </c>
      <c r="AI416" s="152">
        <f>IF(AL415&lt;=0.005,0,AL415*(1+AI$6))</f>
        <v/>
      </c>
      <c r="AJ416" s="152">
        <f>MIN(AI416,AI$7)</f>
        <v/>
      </c>
      <c r="AK416" s="152">
        <f>MAX(0,MIN(AI416-AJ416,AQ416-(E416+I416+M416+Q416+U416+Y416+AC416+AG416)))</f>
        <v/>
      </c>
      <c r="AL416" s="152">
        <f>AI416-AJ416-AK416</f>
        <v/>
      </c>
      <c r="AM416" s="152">
        <f>IF(AP415&lt;=0.005,0,AP415*(1+AM$6))</f>
        <v/>
      </c>
      <c r="AN416" s="152">
        <f>MIN(AM416,AM$7)</f>
        <v/>
      </c>
      <c r="AO416" s="152">
        <f>MAX(0,MIN(AM416-AN416,AQ416-(E416+I416+M416+Q416+U416+Y416+AC416+AG416+AK416)))</f>
        <v/>
      </c>
      <c r="AP416" s="152">
        <f>AM416-AN416-AO416</f>
        <v/>
      </c>
      <c r="AQ416" s="152">
        <f>'Debt Payoff'!$C$8-SUM(D416,H416,L416,P416,T416,X416,AB416,AF416,AJ416,AN416)</f>
        <v/>
      </c>
      <c r="AR416" s="152">
        <f>SUM(D416,H416,L416,P416,T416,X416,AB416,AF416,AJ416,AN416)+SUM(E416,I416,M416,Q416,U416,Y416,AC416,AG416,AK416,AO416)</f>
        <v/>
      </c>
      <c r="AS416" s="152">
        <f>SUM(F416,J416,N416,R416,V416,Z416,AD416,AH416,AL416,AP416)</f>
        <v/>
      </c>
      <c r="AT416" s="152">
        <f>IF(B416&gt;AS$6,NA(),B416)</f>
        <v/>
      </c>
      <c r="AU416" s="152">
        <f>IF(B416&gt;AS$6,NA(),AS416)</f>
        <v/>
      </c>
      <c r="AV416" s="152" t="n"/>
      <c r="AW416" s="152" t="n">
        <v>405</v>
      </c>
      <c r="AX416" s="152">
        <f>IF(BA415&lt;=0.005,0,BA415*(1+AX$6))</f>
        <v/>
      </c>
      <c r="AY416" s="152">
        <f>MIN(AX416,AX$7)</f>
        <v/>
      </c>
      <c r="AZ416" s="152">
        <f>MAX(0,MIN(AX416-AY416,CL416))</f>
        <v/>
      </c>
      <c r="BA416" s="152">
        <f>AX416-AY416-AZ416</f>
        <v/>
      </c>
      <c r="BB416" s="152">
        <f>IF(BE415&lt;=0.005,0,BE415*(1+BB$6))</f>
        <v/>
      </c>
      <c r="BC416" s="152">
        <f>MIN(BB416,BB$7)</f>
        <v/>
      </c>
      <c r="BD416" s="152">
        <f>MAX(0,MIN(BB416-BC416,CL416-(AZ416)))</f>
        <v/>
      </c>
      <c r="BE416" s="152">
        <f>BB416-BC416-BD416</f>
        <v/>
      </c>
      <c r="BF416" s="152">
        <f>IF(BI415&lt;=0.005,0,BI415*(1+BF$6))</f>
        <v/>
      </c>
      <c r="BG416" s="152">
        <f>MIN(BF416,BF$7)</f>
        <v/>
      </c>
      <c r="BH416" s="152">
        <f>MAX(0,MIN(BF416-BG416,CL416-(AZ416+BD416)))</f>
        <v/>
      </c>
      <c r="BI416" s="152">
        <f>BF416-BG416-BH416</f>
        <v/>
      </c>
      <c r="BJ416" s="152">
        <f>IF(BM415&lt;=0.005,0,BM415*(1+BJ$6))</f>
        <v/>
      </c>
      <c r="BK416" s="152">
        <f>MIN(BJ416,BJ$7)</f>
        <v/>
      </c>
      <c r="BL416" s="152">
        <f>MAX(0,MIN(BJ416-BK416,CL416-(AZ416+BD416+BH416)))</f>
        <v/>
      </c>
      <c r="BM416" s="152">
        <f>BJ416-BK416-BL416</f>
        <v/>
      </c>
      <c r="BN416" s="152">
        <f>IF(BQ415&lt;=0.005,0,BQ415*(1+BN$6))</f>
        <v/>
      </c>
      <c r="BO416" s="152">
        <f>MIN(BN416,BN$7)</f>
        <v/>
      </c>
      <c r="BP416" s="152">
        <f>MAX(0,MIN(BN416-BO416,CL416-(AZ416+BD416+BH416+BL416)))</f>
        <v/>
      </c>
      <c r="BQ416" s="152">
        <f>BN416-BO416-BP416</f>
        <v/>
      </c>
      <c r="BR416" s="152">
        <f>IF(BU415&lt;=0.005,0,BU415*(1+BR$6))</f>
        <v/>
      </c>
      <c r="BS416" s="152">
        <f>MIN(BR416,BR$7)</f>
        <v/>
      </c>
      <c r="BT416" s="152">
        <f>MAX(0,MIN(BR416-BS416,CL416-(AZ416+BD416+BH416+BL416+BP416)))</f>
        <v/>
      </c>
      <c r="BU416" s="152">
        <f>BR416-BS416-BT416</f>
        <v/>
      </c>
      <c r="BV416" s="152">
        <f>IF(BY415&lt;=0.005,0,BY415*(1+BV$6))</f>
        <v/>
      </c>
      <c r="BW416" s="152">
        <f>MIN(BV416,BV$7)</f>
        <v/>
      </c>
      <c r="BX416" s="152">
        <f>MAX(0,MIN(BV416-BW416,CL416-(AZ416+BD416+BH416+BL416+BP416+BT416)))</f>
        <v/>
      </c>
      <c r="BY416" s="152">
        <f>BV416-BW416-BX416</f>
        <v/>
      </c>
      <c r="BZ416" s="152">
        <f>IF(CC415&lt;=0.005,0,CC415*(1+BZ$6))</f>
        <v/>
      </c>
      <c r="CA416" s="152">
        <f>MIN(BZ416,BZ$7)</f>
        <v/>
      </c>
      <c r="CB416" s="152">
        <f>MAX(0,MIN(BZ416-CA416,CL416-(AZ416+BD416+BH416+BL416+BP416+BT416+BX416)))</f>
        <v/>
      </c>
      <c r="CC416" s="152">
        <f>BZ416-CA416-CB416</f>
        <v/>
      </c>
      <c r="CD416" s="152">
        <f>IF(CG415&lt;=0.005,0,CG415*(1+CD$6))</f>
        <v/>
      </c>
      <c r="CE416" s="152">
        <f>MIN(CD416,CD$7)</f>
        <v/>
      </c>
      <c r="CF416" s="152">
        <f>MAX(0,MIN(CD416-CE416,CL416-(AZ416+BD416+BH416+BL416+BP416+BT416+BX416+CB416)))</f>
        <v/>
      </c>
      <c r="CG416" s="152">
        <f>CD416-CE416-CF416</f>
        <v/>
      </c>
      <c r="CH416" s="152">
        <f>IF(CK415&lt;=0.005,0,CK415*(1+CH$6))</f>
        <v/>
      </c>
      <c r="CI416" s="152">
        <f>MIN(CH416,CH$7)</f>
        <v/>
      </c>
      <c r="CJ416" s="152">
        <f>MAX(0,MIN(CH416-CI416,CL416-(AZ416+BD416+BH416+BL416+BP416+BT416+BX416+CB416+CF416)))</f>
        <v/>
      </c>
      <c r="CK416" s="152">
        <f>CH416-CI416-CJ416</f>
        <v/>
      </c>
      <c r="CL416" s="152">
        <f>'Debt Payoff'!$C$8-SUM(AY416,BC416,BG416,BK416,BO416,BS416,BW416,CA416,CE416,CI416)</f>
        <v/>
      </c>
      <c r="CM416" s="152">
        <f>SUM(AY416,BC416,BG416,BK416,BO416,BS416,BW416,CA416,CE416,CI416)+SUM(AZ416,BD416,BH416,BL416,BP416,BT416,BX416,CB416,CF416,CJ416)</f>
        <v/>
      </c>
      <c r="CN416" s="152">
        <f>SUM(BA416,BE416,BI416,BM416,BQ416,BU416,BY416,CC416,CG416,CK416)</f>
        <v/>
      </c>
      <c r="CO416" s="152">
        <f>IF(AW416&gt;CN$6,NA(),AW416)</f>
        <v/>
      </c>
      <c r="CP416" s="152">
        <f>IF(AW416&gt;CN$6,NA(),CN416)</f>
        <v/>
      </c>
    </row>
    <row r="417">
      <c r="B417" s="152" t="n">
        <v>406</v>
      </c>
      <c r="C417" s="152">
        <f>IF(F416&lt;=0.005,0,F416*(1+C$6))</f>
        <v/>
      </c>
      <c r="D417" s="152">
        <f>MIN(C417,C$7)</f>
        <v/>
      </c>
      <c r="E417" s="152">
        <f>MAX(0,MIN(C417-D417,AQ417))</f>
        <v/>
      </c>
      <c r="F417" s="152">
        <f>C417-D417-E417</f>
        <v/>
      </c>
      <c r="G417" s="152">
        <f>IF(J416&lt;=0.005,0,J416*(1+G$6))</f>
        <v/>
      </c>
      <c r="H417" s="152">
        <f>MIN(G417,G$7)</f>
        <v/>
      </c>
      <c r="I417" s="152">
        <f>MAX(0,MIN(G417-H417,AQ417-(E417)))</f>
        <v/>
      </c>
      <c r="J417" s="152">
        <f>G417-H417-I417</f>
        <v/>
      </c>
      <c r="K417" s="152">
        <f>IF(N416&lt;=0.005,0,N416*(1+K$6))</f>
        <v/>
      </c>
      <c r="L417" s="152">
        <f>MIN(K417,K$7)</f>
        <v/>
      </c>
      <c r="M417" s="152">
        <f>MAX(0,MIN(K417-L417,AQ417-(E417+I417)))</f>
        <v/>
      </c>
      <c r="N417" s="152">
        <f>K417-L417-M417</f>
        <v/>
      </c>
      <c r="O417" s="152">
        <f>IF(R416&lt;=0.005,0,R416*(1+O$6))</f>
        <v/>
      </c>
      <c r="P417" s="152">
        <f>MIN(O417,O$7)</f>
        <v/>
      </c>
      <c r="Q417" s="152">
        <f>MAX(0,MIN(O417-P417,AQ417-(E417+I417+M417)))</f>
        <v/>
      </c>
      <c r="R417" s="152">
        <f>O417-P417-Q417</f>
        <v/>
      </c>
      <c r="S417" s="152">
        <f>IF(V416&lt;=0.005,0,V416*(1+S$6))</f>
        <v/>
      </c>
      <c r="T417" s="152">
        <f>MIN(S417,S$7)</f>
        <v/>
      </c>
      <c r="U417" s="152">
        <f>MAX(0,MIN(S417-T417,AQ417-(E417+I417+M417+Q417)))</f>
        <v/>
      </c>
      <c r="V417" s="152">
        <f>S417-T417-U417</f>
        <v/>
      </c>
      <c r="W417" s="152">
        <f>IF(Z416&lt;=0.005,0,Z416*(1+W$6))</f>
        <v/>
      </c>
      <c r="X417" s="152">
        <f>MIN(W417,W$7)</f>
        <v/>
      </c>
      <c r="Y417" s="152">
        <f>MAX(0,MIN(W417-X417,AQ417-(E417+I417+M417+Q417+U417)))</f>
        <v/>
      </c>
      <c r="Z417" s="152">
        <f>W417-X417-Y417</f>
        <v/>
      </c>
      <c r="AA417" s="152">
        <f>IF(AD416&lt;=0.005,0,AD416*(1+AA$6))</f>
        <v/>
      </c>
      <c r="AB417" s="152">
        <f>MIN(AA417,AA$7)</f>
        <v/>
      </c>
      <c r="AC417" s="152">
        <f>MAX(0,MIN(AA417-AB417,AQ417-(E417+I417+M417+Q417+U417+Y417)))</f>
        <v/>
      </c>
      <c r="AD417" s="152">
        <f>AA417-AB417-AC417</f>
        <v/>
      </c>
      <c r="AE417" s="152">
        <f>IF(AH416&lt;=0.005,0,AH416*(1+AE$6))</f>
        <v/>
      </c>
      <c r="AF417" s="152">
        <f>MIN(AE417,AE$7)</f>
        <v/>
      </c>
      <c r="AG417" s="152">
        <f>MAX(0,MIN(AE417-AF417,AQ417-(E417+I417+M417+Q417+U417+Y417+AC417)))</f>
        <v/>
      </c>
      <c r="AH417" s="152">
        <f>AE417-AF417-AG417</f>
        <v/>
      </c>
      <c r="AI417" s="152">
        <f>IF(AL416&lt;=0.005,0,AL416*(1+AI$6))</f>
        <v/>
      </c>
      <c r="AJ417" s="152">
        <f>MIN(AI417,AI$7)</f>
        <v/>
      </c>
      <c r="AK417" s="152">
        <f>MAX(0,MIN(AI417-AJ417,AQ417-(E417+I417+M417+Q417+U417+Y417+AC417+AG417)))</f>
        <v/>
      </c>
      <c r="AL417" s="152">
        <f>AI417-AJ417-AK417</f>
        <v/>
      </c>
      <c r="AM417" s="152">
        <f>IF(AP416&lt;=0.005,0,AP416*(1+AM$6))</f>
        <v/>
      </c>
      <c r="AN417" s="152">
        <f>MIN(AM417,AM$7)</f>
        <v/>
      </c>
      <c r="AO417" s="152">
        <f>MAX(0,MIN(AM417-AN417,AQ417-(E417+I417+M417+Q417+U417+Y417+AC417+AG417+AK417)))</f>
        <v/>
      </c>
      <c r="AP417" s="152">
        <f>AM417-AN417-AO417</f>
        <v/>
      </c>
      <c r="AQ417" s="152">
        <f>'Debt Payoff'!$C$8-SUM(D417,H417,L417,P417,T417,X417,AB417,AF417,AJ417,AN417)</f>
        <v/>
      </c>
      <c r="AR417" s="152">
        <f>SUM(D417,H417,L417,P417,T417,X417,AB417,AF417,AJ417,AN417)+SUM(E417,I417,M417,Q417,U417,Y417,AC417,AG417,AK417,AO417)</f>
        <v/>
      </c>
      <c r="AS417" s="152">
        <f>SUM(F417,J417,N417,R417,V417,Z417,AD417,AH417,AL417,AP417)</f>
        <v/>
      </c>
      <c r="AT417" s="152">
        <f>IF(B417&gt;AS$6,NA(),B417)</f>
        <v/>
      </c>
      <c r="AU417" s="152">
        <f>IF(B417&gt;AS$6,NA(),AS417)</f>
        <v/>
      </c>
      <c r="AV417" s="152" t="n"/>
      <c r="AW417" s="152" t="n">
        <v>406</v>
      </c>
      <c r="AX417" s="152">
        <f>IF(BA416&lt;=0.005,0,BA416*(1+AX$6))</f>
        <v/>
      </c>
      <c r="AY417" s="152">
        <f>MIN(AX417,AX$7)</f>
        <v/>
      </c>
      <c r="AZ417" s="152">
        <f>MAX(0,MIN(AX417-AY417,CL417))</f>
        <v/>
      </c>
      <c r="BA417" s="152">
        <f>AX417-AY417-AZ417</f>
        <v/>
      </c>
      <c r="BB417" s="152">
        <f>IF(BE416&lt;=0.005,0,BE416*(1+BB$6))</f>
        <v/>
      </c>
      <c r="BC417" s="152">
        <f>MIN(BB417,BB$7)</f>
        <v/>
      </c>
      <c r="BD417" s="152">
        <f>MAX(0,MIN(BB417-BC417,CL417-(AZ417)))</f>
        <v/>
      </c>
      <c r="BE417" s="152">
        <f>BB417-BC417-BD417</f>
        <v/>
      </c>
      <c r="BF417" s="152">
        <f>IF(BI416&lt;=0.005,0,BI416*(1+BF$6))</f>
        <v/>
      </c>
      <c r="BG417" s="152">
        <f>MIN(BF417,BF$7)</f>
        <v/>
      </c>
      <c r="BH417" s="152">
        <f>MAX(0,MIN(BF417-BG417,CL417-(AZ417+BD417)))</f>
        <v/>
      </c>
      <c r="BI417" s="152">
        <f>BF417-BG417-BH417</f>
        <v/>
      </c>
      <c r="BJ417" s="152">
        <f>IF(BM416&lt;=0.005,0,BM416*(1+BJ$6))</f>
        <v/>
      </c>
      <c r="BK417" s="152">
        <f>MIN(BJ417,BJ$7)</f>
        <v/>
      </c>
      <c r="BL417" s="152">
        <f>MAX(0,MIN(BJ417-BK417,CL417-(AZ417+BD417+BH417)))</f>
        <v/>
      </c>
      <c r="BM417" s="152">
        <f>BJ417-BK417-BL417</f>
        <v/>
      </c>
      <c r="BN417" s="152">
        <f>IF(BQ416&lt;=0.005,0,BQ416*(1+BN$6))</f>
        <v/>
      </c>
      <c r="BO417" s="152">
        <f>MIN(BN417,BN$7)</f>
        <v/>
      </c>
      <c r="BP417" s="152">
        <f>MAX(0,MIN(BN417-BO417,CL417-(AZ417+BD417+BH417+BL417)))</f>
        <v/>
      </c>
      <c r="BQ417" s="152">
        <f>BN417-BO417-BP417</f>
        <v/>
      </c>
      <c r="BR417" s="152">
        <f>IF(BU416&lt;=0.005,0,BU416*(1+BR$6))</f>
        <v/>
      </c>
      <c r="BS417" s="152">
        <f>MIN(BR417,BR$7)</f>
        <v/>
      </c>
      <c r="BT417" s="152">
        <f>MAX(0,MIN(BR417-BS417,CL417-(AZ417+BD417+BH417+BL417+BP417)))</f>
        <v/>
      </c>
      <c r="BU417" s="152">
        <f>BR417-BS417-BT417</f>
        <v/>
      </c>
      <c r="BV417" s="152">
        <f>IF(BY416&lt;=0.005,0,BY416*(1+BV$6))</f>
        <v/>
      </c>
      <c r="BW417" s="152">
        <f>MIN(BV417,BV$7)</f>
        <v/>
      </c>
      <c r="BX417" s="152">
        <f>MAX(0,MIN(BV417-BW417,CL417-(AZ417+BD417+BH417+BL417+BP417+BT417)))</f>
        <v/>
      </c>
      <c r="BY417" s="152">
        <f>BV417-BW417-BX417</f>
        <v/>
      </c>
      <c r="BZ417" s="152">
        <f>IF(CC416&lt;=0.005,0,CC416*(1+BZ$6))</f>
        <v/>
      </c>
      <c r="CA417" s="152">
        <f>MIN(BZ417,BZ$7)</f>
        <v/>
      </c>
      <c r="CB417" s="152">
        <f>MAX(0,MIN(BZ417-CA417,CL417-(AZ417+BD417+BH417+BL417+BP417+BT417+BX417)))</f>
        <v/>
      </c>
      <c r="CC417" s="152">
        <f>BZ417-CA417-CB417</f>
        <v/>
      </c>
      <c r="CD417" s="152">
        <f>IF(CG416&lt;=0.005,0,CG416*(1+CD$6))</f>
        <v/>
      </c>
      <c r="CE417" s="152">
        <f>MIN(CD417,CD$7)</f>
        <v/>
      </c>
      <c r="CF417" s="152">
        <f>MAX(0,MIN(CD417-CE417,CL417-(AZ417+BD417+BH417+BL417+BP417+BT417+BX417+CB417)))</f>
        <v/>
      </c>
      <c r="CG417" s="152">
        <f>CD417-CE417-CF417</f>
        <v/>
      </c>
      <c r="CH417" s="152">
        <f>IF(CK416&lt;=0.005,0,CK416*(1+CH$6))</f>
        <v/>
      </c>
      <c r="CI417" s="152">
        <f>MIN(CH417,CH$7)</f>
        <v/>
      </c>
      <c r="CJ417" s="152">
        <f>MAX(0,MIN(CH417-CI417,CL417-(AZ417+BD417+BH417+BL417+BP417+BT417+BX417+CB417+CF417)))</f>
        <v/>
      </c>
      <c r="CK417" s="152">
        <f>CH417-CI417-CJ417</f>
        <v/>
      </c>
      <c r="CL417" s="152">
        <f>'Debt Payoff'!$C$8-SUM(AY417,BC417,BG417,BK417,BO417,BS417,BW417,CA417,CE417,CI417)</f>
        <v/>
      </c>
      <c r="CM417" s="152">
        <f>SUM(AY417,BC417,BG417,BK417,BO417,BS417,BW417,CA417,CE417,CI417)+SUM(AZ417,BD417,BH417,BL417,BP417,BT417,BX417,CB417,CF417,CJ417)</f>
        <v/>
      </c>
      <c r="CN417" s="152">
        <f>SUM(BA417,BE417,BI417,BM417,BQ417,BU417,BY417,CC417,CG417,CK417)</f>
        <v/>
      </c>
      <c r="CO417" s="152">
        <f>IF(AW417&gt;CN$6,NA(),AW417)</f>
        <v/>
      </c>
      <c r="CP417" s="152">
        <f>IF(AW417&gt;CN$6,NA(),CN417)</f>
        <v/>
      </c>
    </row>
    <row r="418">
      <c r="B418" s="152" t="n">
        <v>407</v>
      </c>
      <c r="C418" s="152">
        <f>IF(F417&lt;=0.005,0,F417*(1+C$6))</f>
        <v/>
      </c>
      <c r="D418" s="152">
        <f>MIN(C418,C$7)</f>
        <v/>
      </c>
      <c r="E418" s="152">
        <f>MAX(0,MIN(C418-D418,AQ418))</f>
        <v/>
      </c>
      <c r="F418" s="152">
        <f>C418-D418-E418</f>
        <v/>
      </c>
      <c r="G418" s="152">
        <f>IF(J417&lt;=0.005,0,J417*(1+G$6))</f>
        <v/>
      </c>
      <c r="H418" s="152">
        <f>MIN(G418,G$7)</f>
        <v/>
      </c>
      <c r="I418" s="152">
        <f>MAX(0,MIN(G418-H418,AQ418-(E418)))</f>
        <v/>
      </c>
      <c r="J418" s="152">
        <f>G418-H418-I418</f>
        <v/>
      </c>
      <c r="K418" s="152">
        <f>IF(N417&lt;=0.005,0,N417*(1+K$6))</f>
        <v/>
      </c>
      <c r="L418" s="152">
        <f>MIN(K418,K$7)</f>
        <v/>
      </c>
      <c r="M418" s="152">
        <f>MAX(0,MIN(K418-L418,AQ418-(E418+I418)))</f>
        <v/>
      </c>
      <c r="N418" s="152">
        <f>K418-L418-M418</f>
        <v/>
      </c>
      <c r="O418" s="152">
        <f>IF(R417&lt;=0.005,0,R417*(1+O$6))</f>
        <v/>
      </c>
      <c r="P418" s="152">
        <f>MIN(O418,O$7)</f>
        <v/>
      </c>
      <c r="Q418" s="152">
        <f>MAX(0,MIN(O418-P418,AQ418-(E418+I418+M418)))</f>
        <v/>
      </c>
      <c r="R418" s="152">
        <f>O418-P418-Q418</f>
        <v/>
      </c>
      <c r="S418" s="152">
        <f>IF(V417&lt;=0.005,0,V417*(1+S$6))</f>
        <v/>
      </c>
      <c r="T418" s="152">
        <f>MIN(S418,S$7)</f>
        <v/>
      </c>
      <c r="U418" s="152">
        <f>MAX(0,MIN(S418-T418,AQ418-(E418+I418+M418+Q418)))</f>
        <v/>
      </c>
      <c r="V418" s="152">
        <f>S418-T418-U418</f>
        <v/>
      </c>
      <c r="W418" s="152">
        <f>IF(Z417&lt;=0.005,0,Z417*(1+W$6))</f>
        <v/>
      </c>
      <c r="X418" s="152">
        <f>MIN(W418,W$7)</f>
        <v/>
      </c>
      <c r="Y418" s="152">
        <f>MAX(0,MIN(W418-X418,AQ418-(E418+I418+M418+Q418+U418)))</f>
        <v/>
      </c>
      <c r="Z418" s="152">
        <f>W418-X418-Y418</f>
        <v/>
      </c>
      <c r="AA418" s="152">
        <f>IF(AD417&lt;=0.005,0,AD417*(1+AA$6))</f>
        <v/>
      </c>
      <c r="AB418" s="152">
        <f>MIN(AA418,AA$7)</f>
        <v/>
      </c>
      <c r="AC418" s="152">
        <f>MAX(0,MIN(AA418-AB418,AQ418-(E418+I418+M418+Q418+U418+Y418)))</f>
        <v/>
      </c>
      <c r="AD418" s="152">
        <f>AA418-AB418-AC418</f>
        <v/>
      </c>
      <c r="AE418" s="152">
        <f>IF(AH417&lt;=0.005,0,AH417*(1+AE$6))</f>
        <v/>
      </c>
      <c r="AF418" s="152">
        <f>MIN(AE418,AE$7)</f>
        <v/>
      </c>
      <c r="AG418" s="152">
        <f>MAX(0,MIN(AE418-AF418,AQ418-(E418+I418+M418+Q418+U418+Y418+AC418)))</f>
        <v/>
      </c>
      <c r="AH418" s="152">
        <f>AE418-AF418-AG418</f>
        <v/>
      </c>
      <c r="AI418" s="152">
        <f>IF(AL417&lt;=0.005,0,AL417*(1+AI$6))</f>
        <v/>
      </c>
      <c r="AJ418" s="152">
        <f>MIN(AI418,AI$7)</f>
        <v/>
      </c>
      <c r="AK418" s="152">
        <f>MAX(0,MIN(AI418-AJ418,AQ418-(E418+I418+M418+Q418+U418+Y418+AC418+AG418)))</f>
        <v/>
      </c>
      <c r="AL418" s="152">
        <f>AI418-AJ418-AK418</f>
        <v/>
      </c>
      <c r="AM418" s="152">
        <f>IF(AP417&lt;=0.005,0,AP417*(1+AM$6))</f>
        <v/>
      </c>
      <c r="AN418" s="152">
        <f>MIN(AM418,AM$7)</f>
        <v/>
      </c>
      <c r="AO418" s="152">
        <f>MAX(0,MIN(AM418-AN418,AQ418-(E418+I418+M418+Q418+U418+Y418+AC418+AG418+AK418)))</f>
        <v/>
      </c>
      <c r="AP418" s="152">
        <f>AM418-AN418-AO418</f>
        <v/>
      </c>
      <c r="AQ418" s="152">
        <f>'Debt Payoff'!$C$8-SUM(D418,H418,L418,P418,T418,X418,AB418,AF418,AJ418,AN418)</f>
        <v/>
      </c>
      <c r="AR418" s="152">
        <f>SUM(D418,H418,L418,P418,T418,X418,AB418,AF418,AJ418,AN418)+SUM(E418,I418,M418,Q418,U418,Y418,AC418,AG418,AK418,AO418)</f>
        <v/>
      </c>
      <c r="AS418" s="152">
        <f>SUM(F418,J418,N418,R418,V418,Z418,AD418,AH418,AL418,AP418)</f>
        <v/>
      </c>
      <c r="AT418" s="152">
        <f>IF(B418&gt;AS$6,NA(),B418)</f>
        <v/>
      </c>
      <c r="AU418" s="152">
        <f>IF(B418&gt;AS$6,NA(),AS418)</f>
        <v/>
      </c>
      <c r="AV418" s="152" t="n"/>
      <c r="AW418" s="152" t="n">
        <v>407</v>
      </c>
      <c r="AX418" s="152">
        <f>IF(BA417&lt;=0.005,0,BA417*(1+AX$6))</f>
        <v/>
      </c>
      <c r="AY418" s="152">
        <f>MIN(AX418,AX$7)</f>
        <v/>
      </c>
      <c r="AZ418" s="152">
        <f>MAX(0,MIN(AX418-AY418,CL418))</f>
        <v/>
      </c>
      <c r="BA418" s="152">
        <f>AX418-AY418-AZ418</f>
        <v/>
      </c>
      <c r="BB418" s="152">
        <f>IF(BE417&lt;=0.005,0,BE417*(1+BB$6))</f>
        <v/>
      </c>
      <c r="BC418" s="152">
        <f>MIN(BB418,BB$7)</f>
        <v/>
      </c>
      <c r="BD418" s="152">
        <f>MAX(0,MIN(BB418-BC418,CL418-(AZ418)))</f>
        <v/>
      </c>
      <c r="BE418" s="152">
        <f>BB418-BC418-BD418</f>
        <v/>
      </c>
      <c r="BF418" s="152">
        <f>IF(BI417&lt;=0.005,0,BI417*(1+BF$6))</f>
        <v/>
      </c>
      <c r="BG418" s="152">
        <f>MIN(BF418,BF$7)</f>
        <v/>
      </c>
      <c r="BH418" s="152">
        <f>MAX(0,MIN(BF418-BG418,CL418-(AZ418+BD418)))</f>
        <v/>
      </c>
      <c r="BI418" s="152">
        <f>BF418-BG418-BH418</f>
        <v/>
      </c>
      <c r="BJ418" s="152">
        <f>IF(BM417&lt;=0.005,0,BM417*(1+BJ$6))</f>
        <v/>
      </c>
      <c r="BK418" s="152">
        <f>MIN(BJ418,BJ$7)</f>
        <v/>
      </c>
      <c r="BL418" s="152">
        <f>MAX(0,MIN(BJ418-BK418,CL418-(AZ418+BD418+BH418)))</f>
        <v/>
      </c>
      <c r="BM418" s="152">
        <f>BJ418-BK418-BL418</f>
        <v/>
      </c>
      <c r="BN418" s="152">
        <f>IF(BQ417&lt;=0.005,0,BQ417*(1+BN$6))</f>
        <v/>
      </c>
      <c r="BO418" s="152">
        <f>MIN(BN418,BN$7)</f>
        <v/>
      </c>
      <c r="BP418" s="152">
        <f>MAX(0,MIN(BN418-BO418,CL418-(AZ418+BD418+BH418+BL418)))</f>
        <v/>
      </c>
      <c r="BQ418" s="152">
        <f>BN418-BO418-BP418</f>
        <v/>
      </c>
      <c r="BR418" s="152">
        <f>IF(BU417&lt;=0.005,0,BU417*(1+BR$6))</f>
        <v/>
      </c>
      <c r="BS418" s="152">
        <f>MIN(BR418,BR$7)</f>
        <v/>
      </c>
      <c r="BT418" s="152">
        <f>MAX(0,MIN(BR418-BS418,CL418-(AZ418+BD418+BH418+BL418+BP418)))</f>
        <v/>
      </c>
      <c r="BU418" s="152">
        <f>BR418-BS418-BT418</f>
        <v/>
      </c>
      <c r="BV418" s="152">
        <f>IF(BY417&lt;=0.005,0,BY417*(1+BV$6))</f>
        <v/>
      </c>
      <c r="BW418" s="152">
        <f>MIN(BV418,BV$7)</f>
        <v/>
      </c>
      <c r="BX418" s="152">
        <f>MAX(0,MIN(BV418-BW418,CL418-(AZ418+BD418+BH418+BL418+BP418+BT418)))</f>
        <v/>
      </c>
      <c r="BY418" s="152">
        <f>BV418-BW418-BX418</f>
        <v/>
      </c>
      <c r="BZ418" s="152">
        <f>IF(CC417&lt;=0.005,0,CC417*(1+BZ$6))</f>
        <v/>
      </c>
      <c r="CA418" s="152">
        <f>MIN(BZ418,BZ$7)</f>
        <v/>
      </c>
      <c r="CB418" s="152">
        <f>MAX(0,MIN(BZ418-CA418,CL418-(AZ418+BD418+BH418+BL418+BP418+BT418+BX418)))</f>
        <v/>
      </c>
      <c r="CC418" s="152">
        <f>BZ418-CA418-CB418</f>
        <v/>
      </c>
      <c r="CD418" s="152">
        <f>IF(CG417&lt;=0.005,0,CG417*(1+CD$6))</f>
        <v/>
      </c>
      <c r="CE418" s="152">
        <f>MIN(CD418,CD$7)</f>
        <v/>
      </c>
      <c r="CF418" s="152">
        <f>MAX(0,MIN(CD418-CE418,CL418-(AZ418+BD418+BH418+BL418+BP418+BT418+BX418+CB418)))</f>
        <v/>
      </c>
      <c r="CG418" s="152">
        <f>CD418-CE418-CF418</f>
        <v/>
      </c>
      <c r="CH418" s="152">
        <f>IF(CK417&lt;=0.005,0,CK417*(1+CH$6))</f>
        <v/>
      </c>
      <c r="CI418" s="152">
        <f>MIN(CH418,CH$7)</f>
        <v/>
      </c>
      <c r="CJ418" s="152">
        <f>MAX(0,MIN(CH418-CI418,CL418-(AZ418+BD418+BH418+BL418+BP418+BT418+BX418+CB418+CF418)))</f>
        <v/>
      </c>
      <c r="CK418" s="152">
        <f>CH418-CI418-CJ418</f>
        <v/>
      </c>
      <c r="CL418" s="152">
        <f>'Debt Payoff'!$C$8-SUM(AY418,BC418,BG418,BK418,BO418,BS418,BW418,CA418,CE418,CI418)</f>
        <v/>
      </c>
      <c r="CM418" s="152">
        <f>SUM(AY418,BC418,BG418,BK418,BO418,BS418,BW418,CA418,CE418,CI418)+SUM(AZ418,BD418,BH418,BL418,BP418,BT418,BX418,CB418,CF418,CJ418)</f>
        <v/>
      </c>
      <c r="CN418" s="152">
        <f>SUM(BA418,BE418,BI418,BM418,BQ418,BU418,BY418,CC418,CG418,CK418)</f>
        <v/>
      </c>
      <c r="CO418" s="152">
        <f>IF(AW418&gt;CN$6,NA(),AW418)</f>
        <v/>
      </c>
      <c r="CP418" s="152">
        <f>IF(AW418&gt;CN$6,NA(),CN418)</f>
        <v/>
      </c>
    </row>
    <row r="419">
      <c r="B419" s="152" t="n">
        <v>408</v>
      </c>
      <c r="C419" s="152">
        <f>IF(F418&lt;=0.005,0,F418*(1+C$6))</f>
        <v/>
      </c>
      <c r="D419" s="152">
        <f>MIN(C419,C$7)</f>
        <v/>
      </c>
      <c r="E419" s="152">
        <f>MAX(0,MIN(C419-D419,AQ419))</f>
        <v/>
      </c>
      <c r="F419" s="152">
        <f>C419-D419-E419</f>
        <v/>
      </c>
      <c r="G419" s="152">
        <f>IF(J418&lt;=0.005,0,J418*(1+G$6))</f>
        <v/>
      </c>
      <c r="H419" s="152">
        <f>MIN(G419,G$7)</f>
        <v/>
      </c>
      <c r="I419" s="152">
        <f>MAX(0,MIN(G419-H419,AQ419-(E419)))</f>
        <v/>
      </c>
      <c r="J419" s="152">
        <f>G419-H419-I419</f>
        <v/>
      </c>
      <c r="K419" s="152">
        <f>IF(N418&lt;=0.005,0,N418*(1+K$6))</f>
        <v/>
      </c>
      <c r="L419" s="152">
        <f>MIN(K419,K$7)</f>
        <v/>
      </c>
      <c r="M419" s="152">
        <f>MAX(0,MIN(K419-L419,AQ419-(E419+I419)))</f>
        <v/>
      </c>
      <c r="N419" s="152">
        <f>K419-L419-M419</f>
        <v/>
      </c>
      <c r="O419" s="152">
        <f>IF(R418&lt;=0.005,0,R418*(1+O$6))</f>
        <v/>
      </c>
      <c r="P419" s="152">
        <f>MIN(O419,O$7)</f>
        <v/>
      </c>
      <c r="Q419" s="152">
        <f>MAX(0,MIN(O419-P419,AQ419-(E419+I419+M419)))</f>
        <v/>
      </c>
      <c r="R419" s="152">
        <f>O419-P419-Q419</f>
        <v/>
      </c>
      <c r="S419" s="152">
        <f>IF(V418&lt;=0.005,0,V418*(1+S$6))</f>
        <v/>
      </c>
      <c r="T419" s="152">
        <f>MIN(S419,S$7)</f>
        <v/>
      </c>
      <c r="U419" s="152">
        <f>MAX(0,MIN(S419-T419,AQ419-(E419+I419+M419+Q419)))</f>
        <v/>
      </c>
      <c r="V419" s="152">
        <f>S419-T419-U419</f>
        <v/>
      </c>
      <c r="W419" s="152">
        <f>IF(Z418&lt;=0.005,0,Z418*(1+W$6))</f>
        <v/>
      </c>
      <c r="X419" s="152">
        <f>MIN(W419,W$7)</f>
        <v/>
      </c>
      <c r="Y419" s="152">
        <f>MAX(0,MIN(W419-X419,AQ419-(E419+I419+M419+Q419+U419)))</f>
        <v/>
      </c>
      <c r="Z419" s="152">
        <f>W419-X419-Y419</f>
        <v/>
      </c>
      <c r="AA419" s="152">
        <f>IF(AD418&lt;=0.005,0,AD418*(1+AA$6))</f>
        <v/>
      </c>
      <c r="AB419" s="152">
        <f>MIN(AA419,AA$7)</f>
        <v/>
      </c>
      <c r="AC419" s="152">
        <f>MAX(0,MIN(AA419-AB419,AQ419-(E419+I419+M419+Q419+U419+Y419)))</f>
        <v/>
      </c>
      <c r="AD419" s="152">
        <f>AA419-AB419-AC419</f>
        <v/>
      </c>
      <c r="AE419" s="152">
        <f>IF(AH418&lt;=0.005,0,AH418*(1+AE$6))</f>
        <v/>
      </c>
      <c r="AF419" s="152">
        <f>MIN(AE419,AE$7)</f>
        <v/>
      </c>
      <c r="AG419" s="152">
        <f>MAX(0,MIN(AE419-AF419,AQ419-(E419+I419+M419+Q419+U419+Y419+AC419)))</f>
        <v/>
      </c>
      <c r="AH419" s="152">
        <f>AE419-AF419-AG419</f>
        <v/>
      </c>
      <c r="AI419" s="152">
        <f>IF(AL418&lt;=0.005,0,AL418*(1+AI$6))</f>
        <v/>
      </c>
      <c r="AJ419" s="152">
        <f>MIN(AI419,AI$7)</f>
        <v/>
      </c>
      <c r="AK419" s="152">
        <f>MAX(0,MIN(AI419-AJ419,AQ419-(E419+I419+M419+Q419+U419+Y419+AC419+AG419)))</f>
        <v/>
      </c>
      <c r="AL419" s="152">
        <f>AI419-AJ419-AK419</f>
        <v/>
      </c>
      <c r="AM419" s="152">
        <f>IF(AP418&lt;=0.005,0,AP418*(1+AM$6))</f>
        <v/>
      </c>
      <c r="AN419" s="152">
        <f>MIN(AM419,AM$7)</f>
        <v/>
      </c>
      <c r="AO419" s="152">
        <f>MAX(0,MIN(AM419-AN419,AQ419-(E419+I419+M419+Q419+U419+Y419+AC419+AG419+AK419)))</f>
        <v/>
      </c>
      <c r="AP419" s="152">
        <f>AM419-AN419-AO419</f>
        <v/>
      </c>
      <c r="AQ419" s="152">
        <f>'Debt Payoff'!$C$8-SUM(D419,H419,L419,P419,T419,X419,AB419,AF419,AJ419,AN419)</f>
        <v/>
      </c>
      <c r="AR419" s="152">
        <f>SUM(D419,H419,L419,P419,T419,X419,AB419,AF419,AJ419,AN419)+SUM(E419,I419,M419,Q419,U419,Y419,AC419,AG419,AK419,AO419)</f>
        <v/>
      </c>
      <c r="AS419" s="152">
        <f>SUM(F419,J419,N419,R419,V419,Z419,AD419,AH419,AL419,AP419)</f>
        <v/>
      </c>
      <c r="AT419" s="152">
        <f>IF(B419&gt;AS$6,NA(),B419)</f>
        <v/>
      </c>
      <c r="AU419" s="152">
        <f>IF(B419&gt;AS$6,NA(),AS419)</f>
        <v/>
      </c>
      <c r="AV419" s="152" t="n"/>
      <c r="AW419" s="152" t="n">
        <v>408</v>
      </c>
      <c r="AX419" s="152">
        <f>IF(BA418&lt;=0.005,0,BA418*(1+AX$6))</f>
        <v/>
      </c>
      <c r="AY419" s="152">
        <f>MIN(AX419,AX$7)</f>
        <v/>
      </c>
      <c r="AZ419" s="152">
        <f>MAX(0,MIN(AX419-AY419,CL419))</f>
        <v/>
      </c>
      <c r="BA419" s="152">
        <f>AX419-AY419-AZ419</f>
        <v/>
      </c>
      <c r="BB419" s="152">
        <f>IF(BE418&lt;=0.005,0,BE418*(1+BB$6))</f>
        <v/>
      </c>
      <c r="BC419" s="152">
        <f>MIN(BB419,BB$7)</f>
        <v/>
      </c>
      <c r="BD419" s="152">
        <f>MAX(0,MIN(BB419-BC419,CL419-(AZ419)))</f>
        <v/>
      </c>
      <c r="BE419" s="152">
        <f>BB419-BC419-BD419</f>
        <v/>
      </c>
      <c r="BF419" s="152">
        <f>IF(BI418&lt;=0.005,0,BI418*(1+BF$6))</f>
        <v/>
      </c>
      <c r="BG419" s="152">
        <f>MIN(BF419,BF$7)</f>
        <v/>
      </c>
      <c r="BH419" s="152">
        <f>MAX(0,MIN(BF419-BG419,CL419-(AZ419+BD419)))</f>
        <v/>
      </c>
      <c r="BI419" s="152">
        <f>BF419-BG419-BH419</f>
        <v/>
      </c>
      <c r="BJ419" s="152">
        <f>IF(BM418&lt;=0.005,0,BM418*(1+BJ$6))</f>
        <v/>
      </c>
      <c r="BK419" s="152">
        <f>MIN(BJ419,BJ$7)</f>
        <v/>
      </c>
      <c r="BL419" s="152">
        <f>MAX(0,MIN(BJ419-BK419,CL419-(AZ419+BD419+BH419)))</f>
        <v/>
      </c>
      <c r="BM419" s="152">
        <f>BJ419-BK419-BL419</f>
        <v/>
      </c>
      <c r="BN419" s="152">
        <f>IF(BQ418&lt;=0.005,0,BQ418*(1+BN$6))</f>
        <v/>
      </c>
      <c r="BO419" s="152">
        <f>MIN(BN419,BN$7)</f>
        <v/>
      </c>
      <c r="BP419" s="152">
        <f>MAX(0,MIN(BN419-BO419,CL419-(AZ419+BD419+BH419+BL419)))</f>
        <v/>
      </c>
      <c r="BQ419" s="152">
        <f>BN419-BO419-BP419</f>
        <v/>
      </c>
      <c r="BR419" s="152">
        <f>IF(BU418&lt;=0.005,0,BU418*(1+BR$6))</f>
        <v/>
      </c>
      <c r="BS419" s="152">
        <f>MIN(BR419,BR$7)</f>
        <v/>
      </c>
      <c r="BT419" s="152">
        <f>MAX(0,MIN(BR419-BS419,CL419-(AZ419+BD419+BH419+BL419+BP419)))</f>
        <v/>
      </c>
      <c r="BU419" s="152">
        <f>BR419-BS419-BT419</f>
        <v/>
      </c>
      <c r="BV419" s="152">
        <f>IF(BY418&lt;=0.005,0,BY418*(1+BV$6))</f>
        <v/>
      </c>
      <c r="BW419" s="152">
        <f>MIN(BV419,BV$7)</f>
        <v/>
      </c>
      <c r="BX419" s="152">
        <f>MAX(0,MIN(BV419-BW419,CL419-(AZ419+BD419+BH419+BL419+BP419+BT419)))</f>
        <v/>
      </c>
      <c r="BY419" s="152">
        <f>BV419-BW419-BX419</f>
        <v/>
      </c>
      <c r="BZ419" s="152">
        <f>IF(CC418&lt;=0.005,0,CC418*(1+BZ$6))</f>
        <v/>
      </c>
      <c r="CA419" s="152">
        <f>MIN(BZ419,BZ$7)</f>
        <v/>
      </c>
      <c r="CB419" s="152">
        <f>MAX(0,MIN(BZ419-CA419,CL419-(AZ419+BD419+BH419+BL419+BP419+BT419+BX419)))</f>
        <v/>
      </c>
      <c r="CC419" s="152">
        <f>BZ419-CA419-CB419</f>
        <v/>
      </c>
      <c r="CD419" s="152">
        <f>IF(CG418&lt;=0.005,0,CG418*(1+CD$6))</f>
        <v/>
      </c>
      <c r="CE419" s="152">
        <f>MIN(CD419,CD$7)</f>
        <v/>
      </c>
      <c r="CF419" s="152">
        <f>MAX(0,MIN(CD419-CE419,CL419-(AZ419+BD419+BH419+BL419+BP419+BT419+BX419+CB419)))</f>
        <v/>
      </c>
      <c r="CG419" s="152">
        <f>CD419-CE419-CF419</f>
        <v/>
      </c>
      <c r="CH419" s="152">
        <f>IF(CK418&lt;=0.005,0,CK418*(1+CH$6))</f>
        <v/>
      </c>
      <c r="CI419" s="152">
        <f>MIN(CH419,CH$7)</f>
        <v/>
      </c>
      <c r="CJ419" s="152">
        <f>MAX(0,MIN(CH419-CI419,CL419-(AZ419+BD419+BH419+BL419+BP419+BT419+BX419+CB419+CF419)))</f>
        <v/>
      </c>
      <c r="CK419" s="152">
        <f>CH419-CI419-CJ419</f>
        <v/>
      </c>
      <c r="CL419" s="152">
        <f>'Debt Payoff'!$C$8-SUM(AY419,BC419,BG419,BK419,BO419,BS419,BW419,CA419,CE419,CI419)</f>
        <v/>
      </c>
      <c r="CM419" s="152">
        <f>SUM(AY419,BC419,BG419,BK419,BO419,BS419,BW419,CA419,CE419,CI419)+SUM(AZ419,BD419,BH419,BL419,BP419,BT419,BX419,CB419,CF419,CJ419)</f>
        <v/>
      </c>
      <c r="CN419" s="152">
        <f>SUM(BA419,BE419,BI419,BM419,BQ419,BU419,BY419,CC419,CG419,CK419)</f>
        <v/>
      </c>
      <c r="CO419" s="152">
        <f>IF(AW419&gt;CN$6,NA(),AW419)</f>
        <v/>
      </c>
      <c r="CP419" s="152">
        <f>IF(AW419&gt;CN$6,NA(),CN419)</f>
        <v/>
      </c>
    </row>
    <row r="420">
      <c r="B420" s="152" t="n">
        <v>409</v>
      </c>
      <c r="C420" s="152">
        <f>IF(F419&lt;=0.005,0,F419*(1+C$6))</f>
        <v/>
      </c>
      <c r="D420" s="152">
        <f>MIN(C420,C$7)</f>
        <v/>
      </c>
      <c r="E420" s="152">
        <f>MAX(0,MIN(C420-D420,AQ420))</f>
        <v/>
      </c>
      <c r="F420" s="152">
        <f>C420-D420-E420</f>
        <v/>
      </c>
      <c r="G420" s="152">
        <f>IF(J419&lt;=0.005,0,J419*(1+G$6))</f>
        <v/>
      </c>
      <c r="H420" s="152">
        <f>MIN(G420,G$7)</f>
        <v/>
      </c>
      <c r="I420" s="152">
        <f>MAX(0,MIN(G420-H420,AQ420-(E420)))</f>
        <v/>
      </c>
      <c r="J420" s="152">
        <f>G420-H420-I420</f>
        <v/>
      </c>
      <c r="K420" s="152">
        <f>IF(N419&lt;=0.005,0,N419*(1+K$6))</f>
        <v/>
      </c>
      <c r="L420" s="152">
        <f>MIN(K420,K$7)</f>
        <v/>
      </c>
      <c r="M420" s="152">
        <f>MAX(0,MIN(K420-L420,AQ420-(E420+I420)))</f>
        <v/>
      </c>
      <c r="N420" s="152">
        <f>K420-L420-M420</f>
        <v/>
      </c>
      <c r="O420" s="152">
        <f>IF(R419&lt;=0.005,0,R419*(1+O$6))</f>
        <v/>
      </c>
      <c r="P420" s="152">
        <f>MIN(O420,O$7)</f>
        <v/>
      </c>
      <c r="Q420" s="152">
        <f>MAX(0,MIN(O420-P420,AQ420-(E420+I420+M420)))</f>
        <v/>
      </c>
      <c r="R420" s="152">
        <f>O420-P420-Q420</f>
        <v/>
      </c>
      <c r="S420" s="152">
        <f>IF(V419&lt;=0.005,0,V419*(1+S$6))</f>
        <v/>
      </c>
      <c r="T420" s="152">
        <f>MIN(S420,S$7)</f>
        <v/>
      </c>
      <c r="U420" s="152">
        <f>MAX(0,MIN(S420-T420,AQ420-(E420+I420+M420+Q420)))</f>
        <v/>
      </c>
      <c r="V420" s="152">
        <f>S420-T420-U420</f>
        <v/>
      </c>
      <c r="W420" s="152">
        <f>IF(Z419&lt;=0.005,0,Z419*(1+W$6))</f>
        <v/>
      </c>
      <c r="X420" s="152">
        <f>MIN(W420,W$7)</f>
        <v/>
      </c>
      <c r="Y420" s="152">
        <f>MAX(0,MIN(W420-X420,AQ420-(E420+I420+M420+Q420+U420)))</f>
        <v/>
      </c>
      <c r="Z420" s="152">
        <f>W420-X420-Y420</f>
        <v/>
      </c>
      <c r="AA420" s="152">
        <f>IF(AD419&lt;=0.005,0,AD419*(1+AA$6))</f>
        <v/>
      </c>
      <c r="AB420" s="152">
        <f>MIN(AA420,AA$7)</f>
        <v/>
      </c>
      <c r="AC420" s="152">
        <f>MAX(0,MIN(AA420-AB420,AQ420-(E420+I420+M420+Q420+U420+Y420)))</f>
        <v/>
      </c>
      <c r="AD420" s="152">
        <f>AA420-AB420-AC420</f>
        <v/>
      </c>
      <c r="AE420" s="152">
        <f>IF(AH419&lt;=0.005,0,AH419*(1+AE$6))</f>
        <v/>
      </c>
      <c r="AF420" s="152">
        <f>MIN(AE420,AE$7)</f>
        <v/>
      </c>
      <c r="AG420" s="152">
        <f>MAX(0,MIN(AE420-AF420,AQ420-(E420+I420+M420+Q420+U420+Y420+AC420)))</f>
        <v/>
      </c>
      <c r="AH420" s="152">
        <f>AE420-AF420-AG420</f>
        <v/>
      </c>
      <c r="AI420" s="152">
        <f>IF(AL419&lt;=0.005,0,AL419*(1+AI$6))</f>
        <v/>
      </c>
      <c r="AJ420" s="152">
        <f>MIN(AI420,AI$7)</f>
        <v/>
      </c>
      <c r="AK420" s="152">
        <f>MAX(0,MIN(AI420-AJ420,AQ420-(E420+I420+M420+Q420+U420+Y420+AC420+AG420)))</f>
        <v/>
      </c>
      <c r="AL420" s="152">
        <f>AI420-AJ420-AK420</f>
        <v/>
      </c>
      <c r="AM420" s="152">
        <f>IF(AP419&lt;=0.005,0,AP419*(1+AM$6))</f>
        <v/>
      </c>
      <c r="AN420" s="152">
        <f>MIN(AM420,AM$7)</f>
        <v/>
      </c>
      <c r="AO420" s="152">
        <f>MAX(0,MIN(AM420-AN420,AQ420-(E420+I420+M420+Q420+U420+Y420+AC420+AG420+AK420)))</f>
        <v/>
      </c>
      <c r="AP420" s="152">
        <f>AM420-AN420-AO420</f>
        <v/>
      </c>
      <c r="AQ420" s="152">
        <f>'Debt Payoff'!$C$8-SUM(D420,H420,L420,P420,T420,X420,AB420,AF420,AJ420,AN420)</f>
        <v/>
      </c>
      <c r="AR420" s="152">
        <f>SUM(D420,H420,L420,P420,T420,X420,AB420,AF420,AJ420,AN420)+SUM(E420,I420,M420,Q420,U420,Y420,AC420,AG420,AK420,AO420)</f>
        <v/>
      </c>
      <c r="AS420" s="152">
        <f>SUM(F420,J420,N420,R420,V420,Z420,AD420,AH420,AL420,AP420)</f>
        <v/>
      </c>
      <c r="AT420" s="152">
        <f>IF(B420&gt;AS$6,NA(),B420)</f>
        <v/>
      </c>
      <c r="AU420" s="152">
        <f>IF(B420&gt;AS$6,NA(),AS420)</f>
        <v/>
      </c>
      <c r="AV420" s="152" t="n"/>
      <c r="AW420" s="152" t="n">
        <v>409</v>
      </c>
      <c r="AX420" s="152">
        <f>IF(BA419&lt;=0.005,0,BA419*(1+AX$6))</f>
        <v/>
      </c>
      <c r="AY420" s="152">
        <f>MIN(AX420,AX$7)</f>
        <v/>
      </c>
      <c r="AZ420" s="152">
        <f>MAX(0,MIN(AX420-AY420,CL420))</f>
        <v/>
      </c>
      <c r="BA420" s="152">
        <f>AX420-AY420-AZ420</f>
        <v/>
      </c>
      <c r="BB420" s="152">
        <f>IF(BE419&lt;=0.005,0,BE419*(1+BB$6))</f>
        <v/>
      </c>
      <c r="BC420" s="152">
        <f>MIN(BB420,BB$7)</f>
        <v/>
      </c>
      <c r="BD420" s="152">
        <f>MAX(0,MIN(BB420-BC420,CL420-(AZ420)))</f>
        <v/>
      </c>
      <c r="BE420" s="152">
        <f>BB420-BC420-BD420</f>
        <v/>
      </c>
      <c r="BF420" s="152">
        <f>IF(BI419&lt;=0.005,0,BI419*(1+BF$6))</f>
        <v/>
      </c>
      <c r="BG420" s="152">
        <f>MIN(BF420,BF$7)</f>
        <v/>
      </c>
      <c r="BH420" s="152">
        <f>MAX(0,MIN(BF420-BG420,CL420-(AZ420+BD420)))</f>
        <v/>
      </c>
      <c r="BI420" s="152">
        <f>BF420-BG420-BH420</f>
        <v/>
      </c>
      <c r="BJ420" s="152">
        <f>IF(BM419&lt;=0.005,0,BM419*(1+BJ$6))</f>
        <v/>
      </c>
      <c r="BK420" s="152">
        <f>MIN(BJ420,BJ$7)</f>
        <v/>
      </c>
      <c r="BL420" s="152">
        <f>MAX(0,MIN(BJ420-BK420,CL420-(AZ420+BD420+BH420)))</f>
        <v/>
      </c>
      <c r="BM420" s="152">
        <f>BJ420-BK420-BL420</f>
        <v/>
      </c>
      <c r="BN420" s="152">
        <f>IF(BQ419&lt;=0.005,0,BQ419*(1+BN$6))</f>
        <v/>
      </c>
      <c r="BO420" s="152">
        <f>MIN(BN420,BN$7)</f>
        <v/>
      </c>
      <c r="BP420" s="152">
        <f>MAX(0,MIN(BN420-BO420,CL420-(AZ420+BD420+BH420+BL420)))</f>
        <v/>
      </c>
      <c r="BQ420" s="152">
        <f>BN420-BO420-BP420</f>
        <v/>
      </c>
      <c r="BR420" s="152">
        <f>IF(BU419&lt;=0.005,0,BU419*(1+BR$6))</f>
        <v/>
      </c>
      <c r="BS420" s="152">
        <f>MIN(BR420,BR$7)</f>
        <v/>
      </c>
      <c r="BT420" s="152">
        <f>MAX(0,MIN(BR420-BS420,CL420-(AZ420+BD420+BH420+BL420+BP420)))</f>
        <v/>
      </c>
      <c r="BU420" s="152">
        <f>BR420-BS420-BT420</f>
        <v/>
      </c>
      <c r="BV420" s="152">
        <f>IF(BY419&lt;=0.005,0,BY419*(1+BV$6))</f>
        <v/>
      </c>
      <c r="BW420" s="152">
        <f>MIN(BV420,BV$7)</f>
        <v/>
      </c>
      <c r="BX420" s="152">
        <f>MAX(0,MIN(BV420-BW420,CL420-(AZ420+BD420+BH420+BL420+BP420+BT420)))</f>
        <v/>
      </c>
      <c r="BY420" s="152">
        <f>BV420-BW420-BX420</f>
        <v/>
      </c>
      <c r="BZ420" s="152">
        <f>IF(CC419&lt;=0.005,0,CC419*(1+BZ$6))</f>
        <v/>
      </c>
      <c r="CA420" s="152">
        <f>MIN(BZ420,BZ$7)</f>
        <v/>
      </c>
      <c r="CB420" s="152">
        <f>MAX(0,MIN(BZ420-CA420,CL420-(AZ420+BD420+BH420+BL420+BP420+BT420+BX420)))</f>
        <v/>
      </c>
      <c r="CC420" s="152">
        <f>BZ420-CA420-CB420</f>
        <v/>
      </c>
      <c r="CD420" s="152">
        <f>IF(CG419&lt;=0.005,0,CG419*(1+CD$6))</f>
        <v/>
      </c>
      <c r="CE420" s="152">
        <f>MIN(CD420,CD$7)</f>
        <v/>
      </c>
      <c r="CF420" s="152">
        <f>MAX(0,MIN(CD420-CE420,CL420-(AZ420+BD420+BH420+BL420+BP420+BT420+BX420+CB420)))</f>
        <v/>
      </c>
      <c r="CG420" s="152">
        <f>CD420-CE420-CF420</f>
        <v/>
      </c>
      <c r="CH420" s="152">
        <f>IF(CK419&lt;=0.005,0,CK419*(1+CH$6))</f>
        <v/>
      </c>
      <c r="CI420" s="152">
        <f>MIN(CH420,CH$7)</f>
        <v/>
      </c>
      <c r="CJ420" s="152">
        <f>MAX(0,MIN(CH420-CI420,CL420-(AZ420+BD420+BH420+BL420+BP420+BT420+BX420+CB420+CF420)))</f>
        <v/>
      </c>
      <c r="CK420" s="152">
        <f>CH420-CI420-CJ420</f>
        <v/>
      </c>
      <c r="CL420" s="152">
        <f>'Debt Payoff'!$C$8-SUM(AY420,BC420,BG420,BK420,BO420,BS420,BW420,CA420,CE420,CI420)</f>
        <v/>
      </c>
      <c r="CM420" s="152">
        <f>SUM(AY420,BC420,BG420,BK420,BO420,BS420,BW420,CA420,CE420,CI420)+SUM(AZ420,BD420,BH420,BL420,BP420,BT420,BX420,CB420,CF420,CJ420)</f>
        <v/>
      </c>
      <c r="CN420" s="152">
        <f>SUM(BA420,BE420,BI420,BM420,BQ420,BU420,BY420,CC420,CG420,CK420)</f>
        <v/>
      </c>
      <c r="CO420" s="152">
        <f>IF(AW420&gt;CN$6,NA(),AW420)</f>
        <v/>
      </c>
      <c r="CP420" s="152">
        <f>IF(AW420&gt;CN$6,NA(),CN420)</f>
        <v/>
      </c>
    </row>
    <row r="421">
      <c r="B421" s="152" t="n">
        <v>410</v>
      </c>
      <c r="C421" s="152">
        <f>IF(F420&lt;=0.005,0,F420*(1+C$6))</f>
        <v/>
      </c>
      <c r="D421" s="152">
        <f>MIN(C421,C$7)</f>
        <v/>
      </c>
      <c r="E421" s="152">
        <f>MAX(0,MIN(C421-D421,AQ421))</f>
        <v/>
      </c>
      <c r="F421" s="152">
        <f>C421-D421-E421</f>
        <v/>
      </c>
      <c r="G421" s="152">
        <f>IF(J420&lt;=0.005,0,J420*(1+G$6))</f>
        <v/>
      </c>
      <c r="H421" s="152">
        <f>MIN(G421,G$7)</f>
        <v/>
      </c>
      <c r="I421" s="152">
        <f>MAX(0,MIN(G421-H421,AQ421-(E421)))</f>
        <v/>
      </c>
      <c r="J421" s="152">
        <f>G421-H421-I421</f>
        <v/>
      </c>
      <c r="K421" s="152">
        <f>IF(N420&lt;=0.005,0,N420*(1+K$6))</f>
        <v/>
      </c>
      <c r="L421" s="152">
        <f>MIN(K421,K$7)</f>
        <v/>
      </c>
      <c r="M421" s="152">
        <f>MAX(0,MIN(K421-L421,AQ421-(E421+I421)))</f>
        <v/>
      </c>
      <c r="N421" s="152">
        <f>K421-L421-M421</f>
        <v/>
      </c>
      <c r="O421" s="152">
        <f>IF(R420&lt;=0.005,0,R420*(1+O$6))</f>
        <v/>
      </c>
      <c r="P421" s="152">
        <f>MIN(O421,O$7)</f>
        <v/>
      </c>
      <c r="Q421" s="152">
        <f>MAX(0,MIN(O421-P421,AQ421-(E421+I421+M421)))</f>
        <v/>
      </c>
      <c r="R421" s="152">
        <f>O421-P421-Q421</f>
        <v/>
      </c>
      <c r="S421" s="152">
        <f>IF(V420&lt;=0.005,0,V420*(1+S$6))</f>
        <v/>
      </c>
      <c r="T421" s="152">
        <f>MIN(S421,S$7)</f>
        <v/>
      </c>
      <c r="U421" s="152">
        <f>MAX(0,MIN(S421-T421,AQ421-(E421+I421+M421+Q421)))</f>
        <v/>
      </c>
      <c r="V421" s="152">
        <f>S421-T421-U421</f>
        <v/>
      </c>
      <c r="W421" s="152">
        <f>IF(Z420&lt;=0.005,0,Z420*(1+W$6))</f>
        <v/>
      </c>
      <c r="X421" s="152">
        <f>MIN(W421,W$7)</f>
        <v/>
      </c>
      <c r="Y421" s="152">
        <f>MAX(0,MIN(W421-X421,AQ421-(E421+I421+M421+Q421+U421)))</f>
        <v/>
      </c>
      <c r="Z421" s="152">
        <f>W421-X421-Y421</f>
        <v/>
      </c>
      <c r="AA421" s="152">
        <f>IF(AD420&lt;=0.005,0,AD420*(1+AA$6))</f>
        <v/>
      </c>
      <c r="AB421" s="152">
        <f>MIN(AA421,AA$7)</f>
        <v/>
      </c>
      <c r="AC421" s="152">
        <f>MAX(0,MIN(AA421-AB421,AQ421-(E421+I421+M421+Q421+U421+Y421)))</f>
        <v/>
      </c>
      <c r="AD421" s="152">
        <f>AA421-AB421-AC421</f>
        <v/>
      </c>
      <c r="AE421" s="152">
        <f>IF(AH420&lt;=0.005,0,AH420*(1+AE$6))</f>
        <v/>
      </c>
      <c r="AF421" s="152">
        <f>MIN(AE421,AE$7)</f>
        <v/>
      </c>
      <c r="AG421" s="152">
        <f>MAX(0,MIN(AE421-AF421,AQ421-(E421+I421+M421+Q421+U421+Y421+AC421)))</f>
        <v/>
      </c>
      <c r="AH421" s="152">
        <f>AE421-AF421-AG421</f>
        <v/>
      </c>
      <c r="AI421" s="152">
        <f>IF(AL420&lt;=0.005,0,AL420*(1+AI$6))</f>
        <v/>
      </c>
      <c r="AJ421" s="152">
        <f>MIN(AI421,AI$7)</f>
        <v/>
      </c>
      <c r="AK421" s="152">
        <f>MAX(0,MIN(AI421-AJ421,AQ421-(E421+I421+M421+Q421+U421+Y421+AC421+AG421)))</f>
        <v/>
      </c>
      <c r="AL421" s="152">
        <f>AI421-AJ421-AK421</f>
        <v/>
      </c>
      <c r="AM421" s="152">
        <f>IF(AP420&lt;=0.005,0,AP420*(1+AM$6))</f>
        <v/>
      </c>
      <c r="AN421" s="152">
        <f>MIN(AM421,AM$7)</f>
        <v/>
      </c>
      <c r="AO421" s="152">
        <f>MAX(0,MIN(AM421-AN421,AQ421-(E421+I421+M421+Q421+U421+Y421+AC421+AG421+AK421)))</f>
        <v/>
      </c>
      <c r="AP421" s="152">
        <f>AM421-AN421-AO421</f>
        <v/>
      </c>
      <c r="AQ421" s="152">
        <f>'Debt Payoff'!$C$8-SUM(D421,H421,L421,P421,T421,X421,AB421,AF421,AJ421,AN421)</f>
        <v/>
      </c>
      <c r="AR421" s="152">
        <f>SUM(D421,H421,L421,P421,T421,X421,AB421,AF421,AJ421,AN421)+SUM(E421,I421,M421,Q421,U421,Y421,AC421,AG421,AK421,AO421)</f>
        <v/>
      </c>
      <c r="AS421" s="152">
        <f>SUM(F421,J421,N421,R421,V421,Z421,AD421,AH421,AL421,AP421)</f>
        <v/>
      </c>
      <c r="AT421" s="152">
        <f>IF(B421&gt;AS$6,NA(),B421)</f>
        <v/>
      </c>
      <c r="AU421" s="152">
        <f>IF(B421&gt;AS$6,NA(),AS421)</f>
        <v/>
      </c>
      <c r="AV421" s="152" t="n"/>
      <c r="AW421" s="152" t="n">
        <v>410</v>
      </c>
      <c r="AX421" s="152">
        <f>IF(BA420&lt;=0.005,0,BA420*(1+AX$6))</f>
        <v/>
      </c>
      <c r="AY421" s="152">
        <f>MIN(AX421,AX$7)</f>
        <v/>
      </c>
      <c r="AZ421" s="152">
        <f>MAX(0,MIN(AX421-AY421,CL421))</f>
        <v/>
      </c>
      <c r="BA421" s="152">
        <f>AX421-AY421-AZ421</f>
        <v/>
      </c>
      <c r="BB421" s="152">
        <f>IF(BE420&lt;=0.005,0,BE420*(1+BB$6))</f>
        <v/>
      </c>
      <c r="BC421" s="152">
        <f>MIN(BB421,BB$7)</f>
        <v/>
      </c>
      <c r="BD421" s="152">
        <f>MAX(0,MIN(BB421-BC421,CL421-(AZ421)))</f>
        <v/>
      </c>
      <c r="BE421" s="152">
        <f>BB421-BC421-BD421</f>
        <v/>
      </c>
      <c r="BF421" s="152">
        <f>IF(BI420&lt;=0.005,0,BI420*(1+BF$6))</f>
        <v/>
      </c>
      <c r="BG421" s="152">
        <f>MIN(BF421,BF$7)</f>
        <v/>
      </c>
      <c r="BH421" s="152">
        <f>MAX(0,MIN(BF421-BG421,CL421-(AZ421+BD421)))</f>
        <v/>
      </c>
      <c r="BI421" s="152">
        <f>BF421-BG421-BH421</f>
        <v/>
      </c>
      <c r="BJ421" s="152">
        <f>IF(BM420&lt;=0.005,0,BM420*(1+BJ$6))</f>
        <v/>
      </c>
      <c r="BK421" s="152">
        <f>MIN(BJ421,BJ$7)</f>
        <v/>
      </c>
      <c r="BL421" s="152">
        <f>MAX(0,MIN(BJ421-BK421,CL421-(AZ421+BD421+BH421)))</f>
        <v/>
      </c>
      <c r="BM421" s="152">
        <f>BJ421-BK421-BL421</f>
        <v/>
      </c>
      <c r="BN421" s="152">
        <f>IF(BQ420&lt;=0.005,0,BQ420*(1+BN$6))</f>
        <v/>
      </c>
      <c r="BO421" s="152">
        <f>MIN(BN421,BN$7)</f>
        <v/>
      </c>
      <c r="BP421" s="152">
        <f>MAX(0,MIN(BN421-BO421,CL421-(AZ421+BD421+BH421+BL421)))</f>
        <v/>
      </c>
      <c r="BQ421" s="152">
        <f>BN421-BO421-BP421</f>
        <v/>
      </c>
      <c r="BR421" s="152">
        <f>IF(BU420&lt;=0.005,0,BU420*(1+BR$6))</f>
        <v/>
      </c>
      <c r="BS421" s="152">
        <f>MIN(BR421,BR$7)</f>
        <v/>
      </c>
      <c r="BT421" s="152">
        <f>MAX(0,MIN(BR421-BS421,CL421-(AZ421+BD421+BH421+BL421+BP421)))</f>
        <v/>
      </c>
      <c r="BU421" s="152">
        <f>BR421-BS421-BT421</f>
        <v/>
      </c>
      <c r="BV421" s="152">
        <f>IF(BY420&lt;=0.005,0,BY420*(1+BV$6))</f>
        <v/>
      </c>
      <c r="BW421" s="152">
        <f>MIN(BV421,BV$7)</f>
        <v/>
      </c>
      <c r="BX421" s="152">
        <f>MAX(0,MIN(BV421-BW421,CL421-(AZ421+BD421+BH421+BL421+BP421+BT421)))</f>
        <v/>
      </c>
      <c r="BY421" s="152">
        <f>BV421-BW421-BX421</f>
        <v/>
      </c>
      <c r="BZ421" s="152">
        <f>IF(CC420&lt;=0.005,0,CC420*(1+BZ$6))</f>
        <v/>
      </c>
      <c r="CA421" s="152">
        <f>MIN(BZ421,BZ$7)</f>
        <v/>
      </c>
      <c r="CB421" s="152">
        <f>MAX(0,MIN(BZ421-CA421,CL421-(AZ421+BD421+BH421+BL421+BP421+BT421+BX421)))</f>
        <v/>
      </c>
      <c r="CC421" s="152">
        <f>BZ421-CA421-CB421</f>
        <v/>
      </c>
      <c r="CD421" s="152">
        <f>IF(CG420&lt;=0.005,0,CG420*(1+CD$6))</f>
        <v/>
      </c>
      <c r="CE421" s="152">
        <f>MIN(CD421,CD$7)</f>
        <v/>
      </c>
      <c r="CF421" s="152">
        <f>MAX(0,MIN(CD421-CE421,CL421-(AZ421+BD421+BH421+BL421+BP421+BT421+BX421+CB421)))</f>
        <v/>
      </c>
      <c r="CG421" s="152">
        <f>CD421-CE421-CF421</f>
        <v/>
      </c>
      <c r="CH421" s="152">
        <f>IF(CK420&lt;=0.005,0,CK420*(1+CH$6))</f>
        <v/>
      </c>
      <c r="CI421" s="152">
        <f>MIN(CH421,CH$7)</f>
        <v/>
      </c>
      <c r="CJ421" s="152">
        <f>MAX(0,MIN(CH421-CI421,CL421-(AZ421+BD421+BH421+BL421+BP421+BT421+BX421+CB421+CF421)))</f>
        <v/>
      </c>
      <c r="CK421" s="152">
        <f>CH421-CI421-CJ421</f>
        <v/>
      </c>
      <c r="CL421" s="152">
        <f>'Debt Payoff'!$C$8-SUM(AY421,BC421,BG421,BK421,BO421,BS421,BW421,CA421,CE421,CI421)</f>
        <v/>
      </c>
      <c r="CM421" s="152">
        <f>SUM(AY421,BC421,BG421,BK421,BO421,BS421,BW421,CA421,CE421,CI421)+SUM(AZ421,BD421,BH421,BL421,BP421,BT421,BX421,CB421,CF421,CJ421)</f>
        <v/>
      </c>
      <c r="CN421" s="152">
        <f>SUM(BA421,BE421,BI421,BM421,BQ421,BU421,BY421,CC421,CG421,CK421)</f>
        <v/>
      </c>
      <c r="CO421" s="152">
        <f>IF(AW421&gt;CN$6,NA(),AW421)</f>
        <v/>
      </c>
      <c r="CP421" s="152">
        <f>IF(AW421&gt;CN$6,NA(),CN421)</f>
        <v/>
      </c>
    </row>
    <row r="422">
      <c r="B422" s="152" t="n">
        <v>411</v>
      </c>
      <c r="C422" s="152">
        <f>IF(F421&lt;=0.005,0,F421*(1+C$6))</f>
        <v/>
      </c>
      <c r="D422" s="152">
        <f>MIN(C422,C$7)</f>
        <v/>
      </c>
      <c r="E422" s="152">
        <f>MAX(0,MIN(C422-D422,AQ422))</f>
        <v/>
      </c>
      <c r="F422" s="152">
        <f>C422-D422-E422</f>
        <v/>
      </c>
      <c r="G422" s="152">
        <f>IF(J421&lt;=0.005,0,J421*(1+G$6))</f>
        <v/>
      </c>
      <c r="H422" s="152">
        <f>MIN(G422,G$7)</f>
        <v/>
      </c>
      <c r="I422" s="152">
        <f>MAX(0,MIN(G422-H422,AQ422-(E422)))</f>
        <v/>
      </c>
      <c r="J422" s="152">
        <f>G422-H422-I422</f>
        <v/>
      </c>
      <c r="K422" s="152">
        <f>IF(N421&lt;=0.005,0,N421*(1+K$6))</f>
        <v/>
      </c>
      <c r="L422" s="152">
        <f>MIN(K422,K$7)</f>
        <v/>
      </c>
      <c r="M422" s="152">
        <f>MAX(0,MIN(K422-L422,AQ422-(E422+I422)))</f>
        <v/>
      </c>
      <c r="N422" s="152">
        <f>K422-L422-M422</f>
        <v/>
      </c>
      <c r="O422" s="152">
        <f>IF(R421&lt;=0.005,0,R421*(1+O$6))</f>
        <v/>
      </c>
      <c r="P422" s="152">
        <f>MIN(O422,O$7)</f>
        <v/>
      </c>
      <c r="Q422" s="152">
        <f>MAX(0,MIN(O422-P422,AQ422-(E422+I422+M422)))</f>
        <v/>
      </c>
      <c r="R422" s="152">
        <f>O422-P422-Q422</f>
        <v/>
      </c>
      <c r="S422" s="152">
        <f>IF(V421&lt;=0.005,0,V421*(1+S$6))</f>
        <v/>
      </c>
      <c r="T422" s="152">
        <f>MIN(S422,S$7)</f>
        <v/>
      </c>
      <c r="U422" s="152">
        <f>MAX(0,MIN(S422-T422,AQ422-(E422+I422+M422+Q422)))</f>
        <v/>
      </c>
      <c r="V422" s="152">
        <f>S422-T422-U422</f>
        <v/>
      </c>
      <c r="W422" s="152">
        <f>IF(Z421&lt;=0.005,0,Z421*(1+W$6))</f>
        <v/>
      </c>
      <c r="X422" s="152">
        <f>MIN(W422,W$7)</f>
        <v/>
      </c>
      <c r="Y422" s="152">
        <f>MAX(0,MIN(W422-X422,AQ422-(E422+I422+M422+Q422+U422)))</f>
        <v/>
      </c>
      <c r="Z422" s="152">
        <f>W422-X422-Y422</f>
        <v/>
      </c>
      <c r="AA422" s="152">
        <f>IF(AD421&lt;=0.005,0,AD421*(1+AA$6))</f>
        <v/>
      </c>
      <c r="AB422" s="152">
        <f>MIN(AA422,AA$7)</f>
        <v/>
      </c>
      <c r="AC422" s="152">
        <f>MAX(0,MIN(AA422-AB422,AQ422-(E422+I422+M422+Q422+U422+Y422)))</f>
        <v/>
      </c>
      <c r="AD422" s="152">
        <f>AA422-AB422-AC422</f>
        <v/>
      </c>
      <c r="AE422" s="152">
        <f>IF(AH421&lt;=0.005,0,AH421*(1+AE$6))</f>
        <v/>
      </c>
      <c r="AF422" s="152">
        <f>MIN(AE422,AE$7)</f>
        <v/>
      </c>
      <c r="AG422" s="152">
        <f>MAX(0,MIN(AE422-AF422,AQ422-(E422+I422+M422+Q422+U422+Y422+AC422)))</f>
        <v/>
      </c>
      <c r="AH422" s="152">
        <f>AE422-AF422-AG422</f>
        <v/>
      </c>
      <c r="AI422" s="152">
        <f>IF(AL421&lt;=0.005,0,AL421*(1+AI$6))</f>
        <v/>
      </c>
      <c r="AJ422" s="152">
        <f>MIN(AI422,AI$7)</f>
        <v/>
      </c>
      <c r="AK422" s="152">
        <f>MAX(0,MIN(AI422-AJ422,AQ422-(E422+I422+M422+Q422+U422+Y422+AC422+AG422)))</f>
        <v/>
      </c>
      <c r="AL422" s="152">
        <f>AI422-AJ422-AK422</f>
        <v/>
      </c>
      <c r="AM422" s="152">
        <f>IF(AP421&lt;=0.005,0,AP421*(1+AM$6))</f>
        <v/>
      </c>
      <c r="AN422" s="152">
        <f>MIN(AM422,AM$7)</f>
        <v/>
      </c>
      <c r="AO422" s="152">
        <f>MAX(0,MIN(AM422-AN422,AQ422-(E422+I422+M422+Q422+U422+Y422+AC422+AG422+AK422)))</f>
        <v/>
      </c>
      <c r="AP422" s="152">
        <f>AM422-AN422-AO422</f>
        <v/>
      </c>
      <c r="AQ422" s="152">
        <f>'Debt Payoff'!$C$8-SUM(D422,H422,L422,P422,T422,X422,AB422,AF422,AJ422,AN422)</f>
        <v/>
      </c>
      <c r="AR422" s="152">
        <f>SUM(D422,H422,L422,P422,T422,X422,AB422,AF422,AJ422,AN422)+SUM(E422,I422,M422,Q422,U422,Y422,AC422,AG422,AK422,AO422)</f>
        <v/>
      </c>
      <c r="AS422" s="152">
        <f>SUM(F422,J422,N422,R422,V422,Z422,AD422,AH422,AL422,AP422)</f>
        <v/>
      </c>
      <c r="AT422" s="152">
        <f>IF(B422&gt;AS$6,NA(),B422)</f>
        <v/>
      </c>
      <c r="AU422" s="152">
        <f>IF(B422&gt;AS$6,NA(),AS422)</f>
        <v/>
      </c>
      <c r="AV422" s="152" t="n"/>
      <c r="AW422" s="152" t="n">
        <v>411</v>
      </c>
      <c r="AX422" s="152">
        <f>IF(BA421&lt;=0.005,0,BA421*(1+AX$6))</f>
        <v/>
      </c>
      <c r="AY422" s="152">
        <f>MIN(AX422,AX$7)</f>
        <v/>
      </c>
      <c r="AZ422" s="152">
        <f>MAX(0,MIN(AX422-AY422,CL422))</f>
        <v/>
      </c>
      <c r="BA422" s="152">
        <f>AX422-AY422-AZ422</f>
        <v/>
      </c>
      <c r="BB422" s="152">
        <f>IF(BE421&lt;=0.005,0,BE421*(1+BB$6))</f>
        <v/>
      </c>
      <c r="BC422" s="152">
        <f>MIN(BB422,BB$7)</f>
        <v/>
      </c>
      <c r="BD422" s="152">
        <f>MAX(0,MIN(BB422-BC422,CL422-(AZ422)))</f>
        <v/>
      </c>
      <c r="BE422" s="152">
        <f>BB422-BC422-BD422</f>
        <v/>
      </c>
      <c r="BF422" s="152">
        <f>IF(BI421&lt;=0.005,0,BI421*(1+BF$6))</f>
        <v/>
      </c>
      <c r="BG422" s="152">
        <f>MIN(BF422,BF$7)</f>
        <v/>
      </c>
      <c r="BH422" s="152">
        <f>MAX(0,MIN(BF422-BG422,CL422-(AZ422+BD422)))</f>
        <v/>
      </c>
      <c r="BI422" s="152">
        <f>BF422-BG422-BH422</f>
        <v/>
      </c>
      <c r="BJ422" s="152">
        <f>IF(BM421&lt;=0.005,0,BM421*(1+BJ$6))</f>
        <v/>
      </c>
      <c r="BK422" s="152">
        <f>MIN(BJ422,BJ$7)</f>
        <v/>
      </c>
      <c r="BL422" s="152">
        <f>MAX(0,MIN(BJ422-BK422,CL422-(AZ422+BD422+BH422)))</f>
        <v/>
      </c>
      <c r="BM422" s="152">
        <f>BJ422-BK422-BL422</f>
        <v/>
      </c>
      <c r="BN422" s="152">
        <f>IF(BQ421&lt;=0.005,0,BQ421*(1+BN$6))</f>
        <v/>
      </c>
      <c r="BO422" s="152">
        <f>MIN(BN422,BN$7)</f>
        <v/>
      </c>
      <c r="BP422" s="152">
        <f>MAX(0,MIN(BN422-BO422,CL422-(AZ422+BD422+BH422+BL422)))</f>
        <v/>
      </c>
      <c r="BQ422" s="152">
        <f>BN422-BO422-BP422</f>
        <v/>
      </c>
      <c r="BR422" s="152">
        <f>IF(BU421&lt;=0.005,0,BU421*(1+BR$6))</f>
        <v/>
      </c>
      <c r="BS422" s="152">
        <f>MIN(BR422,BR$7)</f>
        <v/>
      </c>
      <c r="BT422" s="152">
        <f>MAX(0,MIN(BR422-BS422,CL422-(AZ422+BD422+BH422+BL422+BP422)))</f>
        <v/>
      </c>
      <c r="BU422" s="152">
        <f>BR422-BS422-BT422</f>
        <v/>
      </c>
      <c r="BV422" s="152">
        <f>IF(BY421&lt;=0.005,0,BY421*(1+BV$6))</f>
        <v/>
      </c>
      <c r="BW422" s="152">
        <f>MIN(BV422,BV$7)</f>
        <v/>
      </c>
      <c r="BX422" s="152">
        <f>MAX(0,MIN(BV422-BW422,CL422-(AZ422+BD422+BH422+BL422+BP422+BT422)))</f>
        <v/>
      </c>
      <c r="BY422" s="152">
        <f>BV422-BW422-BX422</f>
        <v/>
      </c>
      <c r="BZ422" s="152">
        <f>IF(CC421&lt;=0.005,0,CC421*(1+BZ$6))</f>
        <v/>
      </c>
      <c r="CA422" s="152">
        <f>MIN(BZ422,BZ$7)</f>
        <v/>
      </c>
      <c r="CB422" s="152">
        <f>MAX(0,MIN(BZ422-CA422,CL422-(AZ422+BD422+BH422+BL422+BP422+BT422+BX422)))</f>
        <v/>
      </c>
      <c r="CC422" s="152">
        <f>BZ422-CA422-CB422</f>
        <v/>
      </c>
      <c r="CD422" s="152">
        <f>IF(CG421&lt;=0.005,0,CG421*(1+CD$6))</f>
        <v/>
      </c>
      <c r="CE422" s="152">
        <f>MIN(CD422,CD$7)</f>
        <v/>
      </c>
      <c r="CF422" s="152">
        <f>MAX(0,MIN(CD422-CE422,CL422-(AZ422+BD422+BH422+BL422+BP422+BT422+BX422+CB422)))</f>
        <v/>
      </c>
      <c r="CG422" s="152">
        <f>CD422-CE422-CF422</f>
        <v/>
      </c>
      <c r="CH422" s="152">
        <f>IF(CK421&lt;=0.005,0,CK421*(1+CH$6))</f>
        <v/>
      </c>
      <c r="CI422" s="152">
        <f>MIN(CH422,CH$7)</f>
        <v/>
      </c>
      <c r="CJ422" s="152">
        <f>MAX(0,MIN(CH422-CI422,CL422-(AZ422+BD422+BH422+BL422+BP422+BT422+BX422+CB422+CF422)))</f>
        <v/>
      </c>
      <c r="CK422" s="152">
        <f>CH422-CI422-CJ422</f>
        <v/>
      </c>
      <c r="CL422" s="152">
        <f>'Debt Payoff'!$C$8-SUM(AY422,BC422,BG422,BK422,BO422,BS422,BW422,CA422,CE422,CI422)</f>
        <v/>
      </c>
      <c r="CM422" s="152">
        <f>SUM(AY422,BC422,BG422,BK422,BO422,BS422,BW422,CA422,CE422,CI422)+SUM(AZ422,BD422,BH422,BL422,BP422,BT422,BX422,CB422,CF422,CJ422)</f>
        <v/>
      </c>
      <c r="CN422" s="152">
        <f>SUM(BA422,BE422,BI422,BM422,BQ422,BU422,BY422,CC422,CG422,CK422)</f>
        <v/>
      </c>
      <c r="CO422" s="152">
        <f>IF(AW422&gt;CN$6,NA(),AW422)</f>
        <v/>
      </c>
      <c r="CP422" s="152">
        <f>IF(AW422&gt;CN$6,NA(),CN422)</f>
        <v/>
      </c>
    </row>
    <row r="423">
      <c r="B423" s="152" t="n">
        <v>412</v>
      </c>
      <c r="C423" s="152">
        <f>IF(F422&lt;=0.005,0,F422*(1+C$6))</f>
        <v/>
      </c>
      <c r="D423" s="152">
        <f>MIN(C423,C$7)</f>
        <v/>
      </c>
      <c r="E423" s="152">
        <f>MAX(0,MIN(C423-D423,AQ423))</f>
        <v/>
      </c>
      <c r="F423" s="152">
        <f>C423-D423-E423</f>
        <v/>
      </c>
      <c r="G423" s="152">
        <f>IF(J422&lt;=0.005,0,J422*(1+G$6))</f>
        <v/>
      </c>
      <c r="H423" s="152">
        <f>MIN(G423,G$7)</f>
        <v/>
      </c>
      <c r="I423" s="152">
        <f>MAX(0,MIN(G423-H423,AQ423-(E423)))</f>
        <v/>
      </c>
      <c r="J423" s="152">
        <f>G423-H423-I423</f>
        <v/>
      </c>
      <c r="K423" s="152">
        <f>IF(N422&lt;=0.005,0,N422*(1+K$6))</f>
        <v/>
      </c>
      <c r="L423" s="152">
        <f>MIN(K423,K$7)</f>
        <v/>
      </c>
      <c r="M423" s="152">
        <f>MAX(0,MIN(K423-L423,AQ423-(E423+I423)))</f>
        <v/>
      </c>
      <c r="N423" s="152">
        <f>K423-L423-M423</f>
        <v/>
      </c>
      <c r="O423" s="152">
        <f>IF(R422&lt;=0.005,0,R422*(1+O$6))</f>
        <v/>
      </c>
      <c r="P423" s="152">
        <f>MIN(O423,O$7)</f>
        <v/>
      </c>
      <c r="Q423" s="152">
        <f>MAX(0,MIN(O423-P423,AQ423-(E423+I423+M423)))</f>
        <v/>
      </c>
      <c r="R423" s="152">
        <f>O423-P423-Q423</f>
        <v/>
      </c>
      <c r="S423" s="152">
        <f>IF(V422&lt;=0.005,0,V422*(1+S$6))</f>
        <v/>
      </c>
      <c r="T423" s="152">
        <f>MIN(S423,S$7)</f>
        <v/>
      </c>
      <c r="U423" s="152">
        <f>MAX(0,MIN(S423-T423,AQ423-(E423+I423+M423+Q423)))</f>
        <v/>
      </c>
      <c r="V423" s="152">
        <f>S423-T423-U423</f>
        <v/>
      </c>
      <c r="W423" s="152">
        <f>IF(Z422&lt;=0.005,0,Z422*(1+W$6))</f>
        <v/>
      </c>
      <c r="X423" s="152">
        <f>MIN(W423,W$7)</f>
        <v/>
      </c>
      <c r="Y423" s="152">
        <f>MAX(0,MIN(W423-X423,AQ423-(E423+I423+M423+Q423+U423)))</f>
        <v/>
      </c>
      <c r="Z423" s="152">
        <f>W423-X423-Y423</f>
        <v/>
      </c>
      <c r="AA423" s="152">
        <f>IF(AD422&lt;=0.005,0,AD422*(1+AA$6))</f>
        <v/>
      </c>
      <c r="AB423" s="152">
        <f>MIN(AA423,AA$7)</f>
        <v/>
      </c>
      <c r="AC423" s="152">
        <f>MAX(0,MIN(AA423-AB423,AQ423-(E423+I423+M423+Q423+U423+Y423)))</f>
        <v/>
      </c>
      <c r="AD423" s="152">
        <f>AA423-AB423-AC423</f>
        <v/>
      </c>
      <c r="AE423" s="152">
        <f>IF(AH422&lt;=0.005,0,AH422*(1+AE$6))</f>
        <v/>
      </c>
      <c r="AF423" s="152">
        <f>MIN(AE423,AE$7)</f>
        <v/>
      </c>
      <c r="AG423" s="152">
        <f>MAX(0,MIN(AE423-AF423,AQ423-(E423+I423+M423+Q423+U423+Y423+AC423)))</f>
        <v/>
      </c>
      <c r="AH423" s="152">
        <f>AE423-AF423-AG423</f>
        <v/>
      </c>
      <c r="AI423" s="152">
        <f>IF(AL422&lt;=0.005,0,AL422*(1+AI$6))</f>
        <v/>
      </c>
      <c r="AJ423" s="152">
        <f>MIN(AI423,AI$7)</f>
        <v/>
      </c>
      <c r="AK423" s="152">
        <f>MAX(0,MIN(AI423-AJ423,AQ423-(E423+I423+M423+Q423+U423+Y423+AC423+AG423)))</f>
        <v/>
      </c>
      <c r="AL423" s="152">
        <f>AI423-AJ423-AK423</f>
        <v/>
      </c>
      <c r="AM423" s="152">
        <f>IF(AP422&lt;=0.005,0,AP422*(1+AM$6))</f>
        <v/>
      </c>
      <c r="AN423" s="152">
        <f>MIN(AM423,AM$7)</f>
        <v/>
      </c>
      <c r="AO423" s="152">
        <f>MAX(0,MIN(AM423-AN423,AQ423-(E423+I423+M423+Q423+U423+Y423+AC423+AG423+AK423)))</f>
        <v/>
      </c>
      <c r="AP423" s="152">
        <f>AM423-AN423-AO423</f>
        <v/>
      </c>
      <c r="AQ423" s="152">
        <f>'Debt Payoff'!$C$8-SUM(D423,H423,L423,P423,T423,X423,AB423,AF423,AJ423,AN423)</f>
        <v/>
      </c>
      <c r="AR423" s="152">
        <f>SUM(D423,H423,L423,P423,T423,X423,AB423,AF423,AJ423,AN423)+SUM(E423,I423,M423,Q423,U423,Y423,AC423,AG423,AK423,AO423)</f>
        <v/>
      </c>
      <c r="AS423" s="152">
        <f>SUM(F423,J423,N423,R423,V423,Z423,AD423,AH423,AL423,AP423)</f>
        <v/>
      </c>
      <c r="AT423" s="152">
        <f>IF(B423&gt;AS$6,NA(),B423)</f>
        <v/>
      </c>
      <c r="AU423" s="152">
        <f>IF(B423&gt;AS$6,NA(),AS423)</f>
        <v/>
      </c>
      <c r="AV423" s="152" t="n"/>
      <c r="AW423" s="152" t="n">
        <v>412</v>
      </c>
      <c r="AX423" s="152">
        <f>IF(BA422&lt;=0.005,0,BA422*(1+AX$6))</f>
        <v/>
      </c>
      <c r="AY423" s="152">
        <f>MIN(AX423,AX$7)</f>
        <v/>
      </c>
      <c r="AZ423" s="152">
        <f>MAX(0,MIN(AX423-AY423,CL423))</f>
        <v/>
      </c>
      <c r="BA423" s="152">
        <f>AX423-AY423-AZ423</f>
        <v/>
      </c>
      <c r="BB423" s="152">
        <f>IF(BE422&lt;=0.005,0,BE422*(1+BB$6))</f>
        <v/>
      </c>
      <c r="BC423" s="152">
        <f>MIN(BB423,BB$7)</f>
        <v/>
      </c>
      <c r="BD423" s="152">
        <f>MAX(0,MIN(BB423-BC423,CL423-(AZ423)))</f>
        <v/>
      </c>
      <c r="BE423" s="152">
        <f>BB423-BC423-BD423</f>
        <v/>
      </c>
      <c r="BF423" s="152">
        <f>IF(BI422&lt;=0.005,0,BI422*(1+BF$6))</f>
        <v/>
      </c>
      <c r="BG423" s="152">
        <f>MIN(BF423,BF$7)</f>
        <v/>
      </c>
      <c r="BH423" s="152">
        <f>MAX(0,MIN(BF423-BG423,CL423-(AZ423+BD423)))</f>
        <v/>
      </c>
      <c r="BI423" s="152">
        <f>BF423-BG423-BH423</f>
        <v/>
      </c>
      <c r="BJ423" s="152">
        <f>IF(BM422&lt;=0.005,0,BM422*(1+BJ$6))</f>
        <v/>
      </c>
      <c r="BK423" s="152">
        <f>MIN(BJ423,BJ$7)</f>
        <v/>
      </c>
      <c r="BL423" s="152">
        <f>MAX(0,MIN(BJ423-BK423,CL423-(AZ423+BD423+BH423)))</f>
        <v/>
      </c>
      <c r="BM423" s="152">
        <f>BJ423-BK423-BL423</f>
        <v/>
      </c>
      <c r="BN423" s="152">
        <f>IF(BQ422&lt;=0.005,0,BQ422*(1+BN$6))</f>
        <v/>
      </c>
      <c r="BO423" s="152">
        <f>MIN(BN423,BN$7)</f>
        <v/>
      </c>
      <c r="BP423" s="152">
        <f>MAX(0,MIN(BN423-BO423,CL423-(AZ423+BD423+BH423+BL423)))</f>
        <v/>
      </c>
      <c r="BQ423" s="152">
        <f>BN423-BO423-BP423</f>
        <v/>
      </c>
      <c r="BR423" s="152">
        <f>IF(BU422&lt;=0.005,0,BU422*(1+BR$6))</f>
        <v/>
      </c>
      <c r="BS423" s="152">
        <f>MIN(BR423,BR$7)</f>
        <v/>
      </c>
      <c r="BT423" s="152">
        <f>MAX(0,MIN(BR423-BS423,CL423-(AZ423+BD423+BH423+BL423+BP423)))</f>
        <v/>
      </c>
      <c r="BU423" s="152">
        <f>BR423-BS423-BT423</f>
        <v/>
      </c>
      <c r="BV423" s="152">
        <f>IF(BY422&lt;=0.005,0,BY422*(1+BV$6))</f>
        <v/>
      </c>
      <c r="BW423" s="152">
        <f>MIN(BV423,BV$7)</f>
        <v/>
      </c>
      <c r="BX423" s="152">
        <f>MAX(0,MIN(BV423-BW423,CL423-(AZ423+BD423+BH423+BL423+BP423+BT423)))</f>
        <v/>
      </c>
      <c r="BY423" s="152">
        <f>BV423-BW423-BX423</f>
        <v/>
      </c>
      <c r="BZ423" s="152">
        <f>IF(CC422&lt;=0.005,0,CC422*(1+BZ$6))</f>
        <v/>
      </c>
      <c r="CA423" s="152">
        <f>MIN(BZ423,BZ$7)</f>
        <v/>
      </c>
      <c r="CB423" s="152">
        <f>MAX(0,MIN(BZ423-CA423,CL423-(AZ423+BD423+BH423+BL423+BP423+BT423+BX423)))</f>
        <v/>
      </c>
      <c r="CC423" s="152">
        <f>BZ423-CA423-CB423</f>
        <v/>
      </c>
      <c r="CD423" s="152">
        <f>IF(CG422&lt;=0.005,0,CG422*(1+CD$6))</f>
        <v/>
      </c>
      <c r="CE423" s="152">
        <f>MIN(CD423,CD$7)</f>
        <v/>
      </c>
      <c r="CF423" s="152">
        <f>MAX(0,MIN(CD423-CE423,CL423-(AZ423+BD423+BH423+BL423+BP423+BT423+BX423+CB423)))</f>
        <v/>
      </c>
      <c r="CG423" s="152">
        <f>CD423-CE423-CF423</f>
        <v/>
      </c>
      <c r="CH423" s="152">
        <f>IF(CK422&lt;=0.005,0,CK422*(1+CH$6))</f>
        <v/>
      </c>
      <c r="CI423" s="152">
        <f>MIN(CH423,CH$7)</f>
        <v/>
      </c>
      <c r="CJ423" s="152">
        <f>MAX(0,MIN(CH423-CI423,CL423-(AZ423+BD423+BH423+BL423+BP423+BT423+BX423+CB423+CF423)))</f>
        <v/>
      </c>
      <c r="CK423" s="152">
        <f>CH423-CI423-CJ423</f>
        <v/>
      </c>
      <c r="CL423" s="152">
        <f>'Debt Payoff'!$C$8-SUM(AY423,BC423,BG423,BK423,BO423,BS423,BW423,CA423,CE423,CI423)</f>
        <v/>
      </c>
      <c r="CM423" s="152">
        <f>SUM(AY423,BC423,BG423,BK423,BO423,BS423,BW423,CA423,CE423,CI423)+SUM(AZ423,BD423,BH423,BL423,BP423,BT423,BX423,CB423,CF423,CJ423)</f>
        <v/>
      </c>
      <c r="CN423" s="152">
        <f>SUM(BA423,BE423,BI423,BM423,BQ423,BU423,BY423,CC423,CG423,CK423)</f>
        <v/>
      </c>
      <c r="CO423" s="152">
        <f>IF(AW423&gt;CN$6,NA(),AW423)</f>
        <v/>
      </c>
      <c r="CP423" s="152">
        <f>IF(AW423&gt;CN$6,NA(),CN423)</f>
        <v/>
      </c>
    </row>
    <row r="424">
      <c r="B424" s="152" t="n">
        <v>413</v>
      </c>
      <c r="C424" s="152">
        <f>IF(F423&lt;=0.005,0,F423*(1+C$6))</f>
        <v/>
      </c>
      <c r="D424" s="152">
        <f>MIN(C424,C$7)</f>
        <v/>
      </c>
      <c r="E424" s="152">
        <f>MAX(0,MIN(C424-D424,AQ424))</f>
        <v/>
      </c>
      <c r="F424" s="152">
        <f>C424-D424-E424</f>
        <v/>
      </c>
      <c r="G424" s="152">
        <f>IF(J423&lt;=0.005,0,J423*(1+G$6))</f>
        <v/>
      </c>
      <c r="H424" s="152">
        <f>MIN(G424,G$7)</f>
        <v/>
      </c>
      <c r="I424" s="152">
        <f>MAX(0,MIN(G424-H424,AQ424-(E424)))</f>
        <v/>
      </c>
      <c r="J424" s="152">
        <f>G424-H424-I424</f>
        <v/>
      </c>
      <c r="K424" s="152">
        <f>IF(N423&lt;=0.005,0,N423*(1+K$6))</f>
        <v/>
      </c>
      <c r="L424" s="152">
        <f>MIN(K424,K$7)</f>
        <v/>
      </c>
      <c r="M424" s="152">
        <f>MAX(0,MIN(K424-L424,AQ424-(E424+I424)))</f>
        <v/>
      </c>
      <c r="N424" s="152">
        <f>K424-L424-M424</f>
        <v/>
      </c>
      <c r="O424" s="152">
        <f>IF(R423&lt;=0.005,0,R423*(1+O$6))</f>
        <v/>
      </c>
      <c r="P424" s="152">
        <f>MIN(O424,O$7)</f>
        <v/>
      </c>
      <c r="Q424" s="152">
        <f>MAX(0,MIN(O424-P424,AQ424-(E424+I424+M424)))</f>
        <v/>
      </c>
      <c r="R424" s="152">
        <f>O424-P424-Q424</f>
        <v/>
      </c>
      <c r="S424" s="152">
        <f>IF(V423&lt;=0.005,0,V423*(1+S$6))</f>
        <v/>
      </c>
      <c r="T424" s="152">
        <f>MIN(S424,S$7)</f>
        <v/>
      </c>
      <c r="U424" s="152">
        <f>MAX(0,MIN(S424-T424,AQ424-(E424+I424+M424+Q424)))</f>
        <v/>
      </c>
      <c r="V424" s="152">
        <f>S424-T424-U424</f>
        <v/>
      </c>
      <c r="W424" s="152">
        <f>IF(Z423&lt;=0.005,0,Z423*(1+W$6))</f>
        <v/>
      </c>
      <c r="X424" s="152">
        <f>MIN(W424,W$7)</f>
        <v/>
      </c>
      <c r="Y424" s="152">
        <f>MAX(0,MIN(W424-X424,AQ424-(E424+I424+M424+Q424+U424)))</f>
        <v/>
      </c>
      <c r="Z424" s="152">
        <f>W424-X424-Y424</f>
        <v/>
      </c>
      <c r="AA424" s="152">
        <f>IF(AD423&lt;=0.005,0,AD423*(1+AA$6))</f>
        <v/>
      </c>
      <c r="AB424" s="152">
        <f>MIN(AA424,AA$7)</f>
        <v/>
      </c>
      <c r="AC424" s="152">
        <f>MAX(0,MIN(AA424-AB424,AQ424-(E424+I424+M424+Q424+U424+Y424)))</f>
        <v/>
      </c>
      <c r="AD424" s="152">
        <f>AA424-AB424-AC424</f>
        <v/>
      </c>
      <c r="AE424" s="152">
        <f>IF(AH423&lt;=0.005,0,AH423*(1+AE$6))</f>
        <v/>
      </c>
      <c r="AF424" s="152">
        <f>MIN(AE424,AE$7)</f>
        <v/>
      </c>
      <c r="AG424" s="152">
        <f>MAX(0,MIN(AE424-AF424,AQ424-(E424+I424+M424+Q424+U424+Y424+AC424)))</f>
        <v/>
      </c>
      <c r="AH424" s="152">
        <f>AE424-AF424-AG424</f>
        <v/>
      </c>
      <c r="AI424" s="152">
        <f>IF(AL423&lt;=0.005,0,AL423*(1+AI$6))</f>
        <v/>
      </c>
      <c r="AJ424" s="152">
        <f>MIN(AI424,AI$7)</f>
        <v/>
      </c>
      <c r="AK424" s="152">
        <f>MAX(0,MIN(AI424-AJ424,AQ424-(E424+I424+M424+Q424+U424+Y424+AC424+AG424)))</f>
        <v/>
      </c>
      <c r="AL424" s="152">
        <f>AI424-AJ424-AK424</f>
        <v/>
      </c>
      <c r="AM424" s="152">
        <f>IF(AP423&lt;=0.005,0,AP423*(1+AM$6))</f>
        <v/>
      </c>
      <c r="AN424" s="152">
        <f>MIN(AM424,AM$7)</f>
        <v/>
      </c>
      <c r="AO424" s="152">
        <f>MAX(0,MIN(AM424-AN424,AQ424-(E424+I424+M424+Q424+U424+Y424+AC424+AG424+AK424)))</f>
        <v/>
      </c>
      <c r="AP424" s="152">
        <f>AM424-AN424-AO424</f>
        <v/>
      </c>
      <c r="AQ424" s="152">
        <f>'Debt Payoff'!$C$8-SUM(D424,H424,L424,P424,T424,X424,AB424,AF424,AJ424,AN424)</f>
        <v/>
      </c>
      <c r="AR424" s="152">
        <f>SUM(D424,H424,L424,P424,T424,X424,AB424,AF424,AJ424,AN424)+SUM(E424,I424,M424,Q424,U424,Y424,AC424,AG424,AK424,AO424)</f>
        <v/>
      </c>
      <c r="AS424" s="152">
        <f>SUM(F424,J424,N424,R424,V424,Z424,AD424,AH424,AL424,AP424)</f>
        <v/>
      </c>
      <c r="AT424" s="152">
        <f>IF(B424&gt;AS$6,NA(),B424)</f>
        <v/>
      </c>
      <c r="AU424" s="152">
        <f>IF(B424&gt;AS$6,NA(),AS424)</f>
        <v/>
      </c>
      <c r="AV424" s="152" t="n"/>
      <c r="AW424" s="152" t="n">
        <v>413</v>
      </c>
      <c r="AX424" s="152">
        <f>IF(BA423&lt;=0.005,0,BA423*(1+AX$6))</f>
        <v/>
      </c>
      <c r="AY424" s="152">
        <f>MIN(AX424,AX$7)</f>
        <v/>
      </c>
      <c r="AZ424" s="152">
        <f>MAX(0,MIN(AX424-AY424,CL424))</f>
        <v/>
      </c>
      <c r="BA424" s="152">
        <f>AX424-AY424-AZ424</f>
        <v/>
      </c>
      <c r="BB424" s="152">
        <f>IF(BE423&lt;=0.005,0,BE423*(1+BB$6))</f>
        <v/>
      </c>
      <c r="BC424" s="152">
        <f>MIN(BB424,BB$7)</f>
        <v/>
      </c>
      <c r="BD424" s="152">
        <f>MAX(0,MIN(BB424-BC424,CL424-(AZ424)))</f>
        <v/>
      </c>
      <c r="BE424" s="152">
        <f>BB424-BC424-BD424</f>
        <v/>
      </c>
      <c r="BF424" s="152">
        <f>IF(BI423&lt;=0.005,0,BI423*(1+BF$6))</f>
        <v/>
      </c>
      <c r="BG424" s="152">
        <f>MIN(BF424,BF$7)</f>
        <v/>
      </c>
      <c r="BH424" s="152">
        <f>MAX(0,MIN(BF424-BG424,CL424-(AZ424+BD424)))</f>
        <v/>
      </c>
      <c r="BI424" s="152">
        <f>BF424-BG424-BH424</f>
        <v/>
      </c>
      <c r="BJ424" s="152">
        <f>IF(BM423&lt;=0.005,0,BM423*(1+BJ$6))</f>
        <v/>
      </c>
      <c r="BK424" s="152">
        <f>MIN(BJ424,BJ$7)</f>
        <v/>
      </c>
      <c r="BL424" s="152">
        <f>MAX(0,MIN(BJ424-BK424,CL424-(AZ424+BD424+BH424)))</f>
        <v/>
      </c>
      <c r="BM424" s="152">
        <f>BJ424-BK424-BL424</f>
        <v/>
      </c>
      <c r="BN424" s="152">
        <f>IF(BQ423&lt;=0.005,0,BQ423*(1+BN$6))</f>
        <v/>
      </c>
      <c r="BO424" s="152">
        <f>MIN(BN424,BN$7)</f>
        <v/>
      </c>
      <c r="BP424" s="152">
        <f>MAX(0,MIN(BN424-BO424,CL424-(AZ424+BD424+BH424+BL424)))</f>
        <v/>
      </c>
      <c r="BQ424" s="152">
        <f>BN424-BO424-BP424</f>
        <v/>
      </c>
      <c r="BR424" s="152">
        <f>IF(BU423&lt;=0.005,0,BU423*(1+BR$6))</f>
        <v/>
      </c>
      <c r="BS424" s="152">
        <f>MIN(BR424,BR$7)</f>
        <v/>
      </c>
      <c r="BT424" s="152">
        <f>MAX(0,MIN(BR424-BS424,CL424-(AZ424+BD424+BH424+BL424+BP424)))</f>
        <v/>
      </c>
      <c r="BU424" s="152">
        <f>BR424-BS424-BT424</f>
        <v/>
      </c>
      <c r="BV424" s="152">
        <f>IF(BY423&lt;=0.005,0,BY423*(1+BV$6))</f>
        <v/>
      </c>
      <c r="BW424" s="152">
        <f>MIN(BV424,BV$7)</f>
        <v/>
      </c>
      <c r="BX424" s="152">
        <f>MAX(0,MIN(BV424-BW424,CL424-(AZ424+BD424+BH424+BL424+BP424+BT424)))</f>
        <v/>
      </c>
      <c r="BY424" s="152">
        <f>BV424-BW424-BX424</f>
        <v/>
      </c>
      <c r="BZ424" s="152">
        <f>IF(CC423&lt;=0.005,0,CC423*(1+BZ$6))</f>
        <v/>
      </c>
      <c r="CA424" s="152">
        <f>MIN(BZ424,BZ$7)</f>
        <v/>
      </c>
      <c r="CB424" s="152">
        <f>MAX(0,MIN(BZ424-CA424,CL424-(AZ424+BD424+BH424+BL424+BP424+BT424+BX424)))</f>
        <v/>
      </c>
      <c r="CC424" s="152">
        <f>BZ424-CA424-CB424</f>
        <v/>
      </c>
      <c r="CD424" s="152">
        <f>IF(CG423&lt;=0.005,0,CG423*(1+CD$6))</f>
        <v/>
      </c>
      <c r="CE424" s="152">
        <f>MIN(CD424,CD$7)</f>
        <v/>
      </c>
      <c r="CF424" s="152">
        <f>MAX(0,MIN(CD424-CE424,CL424-(AZ424+BD424+BH424+BL424+BP424+BT424+BX424+CB424)))</f>
        <v/>
      </c>
      <c r="CG424" s="152">
        <f>CD424-CE424-CF424</f>
        <v/>
      </c>
      <c r="CH424" s="152">
        <f>IF(CK423&lt;=0.005,0,CK423*(1+CH$6))</f>
        <v/>
      </c>
      <c r="CI424" s="152">
        <f>MIN(CH424,CH$7)</f>
        <v/>
      </c>
      <c r="CJ424" s="152">
        <f>MAX(0,MIN(CH424-CI424,CL424-(AZ424+BD424+BH424+BL424+BP424+BT424+BX424+CB424+CF424)))</f>
        <v/>
      </c>
      <c r="CK424" s="152">
        <f>CH424-CI424-CJ424</f>
        <v/>
      </c>
      <c r="CL424" s="152">
        <f>'Debt Payoff'!$C$8-SUM(AY424,BC424,BG424,BK424,BO424,BS424,BW424,CA424,CE424,CI424)</f>
        <v/>
      </c>
      <c r="CM424" s="152">
        <f>SUM(AY424,BC424,BG424,BK424,BO424,BS424,BW424,CA424,CE424,CI424)+SUM(AZ424,BD424,BH424,BL424,BP424,BT424,BX424,CB424,CF424,CJ424)</f>
        <v/>
      </c>
      <c r="CN424" s="152">
        <f>SUM(BA424,BE424,BI424,BM424,BQ424,BU424,BY424,CC424,CG424,CK424)</f>
        <v/>
      </c>
      <c r="CO424" s="152">
        <f>IF(AW424&gt;CN$6,NA(),AW424)</f>
        <v/>
      </c>
      <c r="CP424" s="152">
        <f>IF(AW424&gt;CN$6,NA(),CN424)</f>
        <v/>
      </c>
    </row>
    <row r="425">
      <c r="B425" s="152" t="n">
        <v>414</v>
      </c>
      <c r="C425" s="152">
        <f>IF(F424&lt;=0.005,0,F424*(1+C$6))</f>
        <v/>
      </c>
      <c r="D425" s="152">
        <f>MIN(C425,C$7)</f>
        <v/>
      </c>
      <c r="E425" s="152">
        <f>MAX(0,MIN(C425-D425,AQ425))</f>
        <v/>
      </c>
      <c r="F425" s="152">
        <f>C425-D425-E425</f>
        <v/>
      </c>
      <c r="G425" s="152">
        <f>IF(J424&lt;=0.005,0,J424*(1+G$6))</f>
        <v/>
      </c>
      <c r="H425" s="152">
        <f>MIN(G425,G$7)</f>
        <v/>
      </c>
      <c r="I425" s="152">
        <f>MAX(0,MIN(G425-H425,AQ425-(E425)))</f>
        <v/>
      </c>
      <c r="J425" s="152">
        <f>G425-H425-I425</f>
        <v/>
      </c>
      <c r="K425" s="152">
        <f>IF(N424&lt;=0.005,0,N424*(1+K$6))</f>
        <v/>
      </c>
      <c r="L425" s="152">
        <f>MIN(K425,K$7)</f>
        <v/>
      </c>
      <c r="M425" s="152">
        <f>MAX(0,MIN(K425-L425,AQ425-(E425+I425)))</f>
        <v/>
      </c>
      <c r="N425" s="152">
        <f>K425-L425-M425</f>
        <v/>
      </c>
      <c r="O425" s="152">
        <f>IF(R424&lt;=0.005,0,R424*(1+O$6))</f>
        <v/>
      </c>
      <c r="P425" s="152">
        <f>MIN(O425,O$7)</f>
        <v/>
      </c>
      <c r="Q425" s="152">
        <f>MAX(0,MIN(O425-P425,AQ425-(E425+I425+M425)))</f>
        <v/>
      </c>
      <c r="R425" s="152">
        <f>O425-P425-Q425</f>
        <v/>
      </c>
      <c r="S425" s="152">
        <f>IF(V424&lt;=0.005,0,V424*(1+S$6))</f>
        <v/>
      </c>
      <c r="T425" s="152">
        <f>MIN(S425,S$7)</f>
        <v/>
      </c>
      <c r="U425" s="152">
        <f>MAX(0,MIN(S425-T425,AQ425-(E425+I425+M425+Q425)))</f>
        <v/>
      </c>
      <c r="V425" s="152">
        <f>S425-T425-U425</f>
        <v/>
      </c>
      <c r="W425" s="152">
        <f>IF(Z424&lt;=0.005,0,Z424*(1+W$6))</f>
        <v/>
      </c>
      <c r="X425" s="152">
        <f>MIN(W425,W$7)</f>
        <v/>
      </c>
      <c r="Y425" s="152">
        <f>MAX(0,MIN(W425-X425,AQ425-(E425+I425+M425+Q425+U425)))</f>
        <v/>
      </c>
      <c r="Z425" s="152">
        <f>W425-X425-Y425</f>
        <v/>
      </c>
      <c r="AA425" s="152">
        <f>IF(AD424&lt;=0.005,0,AD424*(1+AA$6))</f>
        <v/>
      </c>
      <c r="AB425" s="152">
        <f>MIN(AA425,AA$7)</f>
        <v/>
      </c>
      <c r="AC425" s="152">
        <f>MAX(0,MIN(AA425-AB425,AQ425-(E425+I425+M425+Q425+U425+Y425)))</f>
        <v/>
      </c>
      <c r="AD425" s="152">
        <f>AA425-AB425-AC425</f>
        <v/>
      </c>
      <c r="AE425" s="152">
        <f>IF(AH424&lt;=0.005,0,AH424*(1+AE$6))</f>
        <v/>
      </c>
      <c r="AF425" s="152">
        <f>MIN(AE425,AE$7)</f>
        <v/>
      </c>
      <c r="AG425" s="152">
        <f>MAX(0,MIN(AE425-AF425,AQ425-(E425+I425+M425+Q425+U425+Y425+AC425)))</f>
        <v/>
      </c>
      <c r="AH425" s="152">
        <f>AE425-AF425-AG425</f>
        <v/>
      </c>
      <c r="AI425" s="152">
        <f>IF(AL424&lt;=0.005,0,AL424*(1+AI$6))</f>
        <v/>
      </c>
      <c r="AJ425" s="152">
        <f>MIN(AI425,AI$7)</f>
        <v/>
      </c>
      <c r="AK425" s="152">
        <f>MAX(0,MIN(AI425-AJ425,AQ425-(E425+I425+M425+Q425+U425+Y425+AC425+AG425)))</f>
        <v/>
      </c>
      <c r="AL425" s="152">
        <f>AI425-AJ425-AK425</f>
        <v/>
      </c>
      <c r="AM425" s="152">
        <f>IF(AP424&lt;=0.005,0,AP424*(1+AM$6))</f>
        <v/>
      </c>
      <c r="AN425" s="152">
        <f>MIN(AM425,AM$7)</f>
        <v/>
      </c>
      <c r="AO425" s="152">
        <f>MAX(0,MIN(AM425-AN425,AQ425-(E425+I425+M425+Q425+U425+Y425+AC425+AG425+AK425)))</f>
        <v/>
      </c>
      <c r="AP425" s="152">
        <f>AM425-AN425-AO425</f>
        <v/>
      </c>
      <c r="AQ425" s="152">
        <f>'Debt Payoff'!$C$8-SUM(D425,H425,L425,P425,T425,X425,AB425,AF425,AJ425,AN425)</f>
        <v/>
      </c>
      <c r="AR425" s="152">
        <f>SUM(D425,H425,L425,P425,T425,X425,AB425,AF425,AJ425,AN425)+SUM(E425,I425,M425,Q425,U425,Y425,AC425,AG425,AK425,AO425)</f>
        <v/>
      </c>
      <c r="AS425" s="152">
        <f>SUM(F425,J425,N425,R425,V425,Z425,AD425,AH425,AL425,AP425)</f>
        <v/>
      </c>
      <c r="AT425" s="152">
        <f>IF(B425&gt;AS$6,NA(),B425)</f>
        <v/>
      </c>
      <c r="AU425" s="152">
        <f>IF(B425&gt;AS$6,NA(),AS425)</f>
        <v/>
      </c>
      <c r="AV425" s="152" t="n"/>
      <c r="AW425" s="152" t="n">
        <v>414</v>
      </c>
      <c r="AX425" s="152">
        <f>IF(BA424&lt;=0.005,0,BA424*(1+AX$6))</f>
        <v/>
      </c>
      <c r="AY425" s="152">
        <f>MIN(AX425,AX$7)</f>
        <v/>
      </c>
      <c r="AZ425" s="152">
        <f>MAX(0,MIN(AX425-AY425,CL425))</f>
        <v/>
      </c>
      <c r="BA425" s="152">
        <f>AX425-AY425-AZ425</f>
        <v/>
      </c>
      <c r="BB425" s="152">
        <f>IF(BE424&lt;=0.005,0,BE424*(1+BB$6))</f>
        <v/>
      </c>
      <c r="BC425" s="152">
        <f>MIN(BB425,BB$7)</f>
        <v/>
      </c>
      <c r="BD425" s="152">
        <f>MAX(0,MIN(BB425-BC425,CL425-(AZ425)))</f>
        <v/>
      </c>
      <c r="BE425" s="152">
        <f>BB425-BC425-BD425</f>
        <v/>
      </c>
      <c r="BF425" s="152">
        <f>IF(BI424&lt;=0.005,0,BI424*(1+BF$6))</f>
        <v/>
      </c>
      <c r="BG425" s="152">
        <f>MIN(BF425,BF$7)</f>
        <v/>
      </c>
      <c r="BH425" s="152">
        <f>MAX(0,MIN(BF425-BG425,CL425-(AZ425+BD425)))</f>
        <v/>
      </c>
      <c r="BI425" s="152">
        <f>BF425-BG425-BH425</f>
        <v/>
      </c>
      <c r="BJ425" s="152">
        <f>IF(BM424&lt;=0.005,0,BM424*(1+BJ$6))</f>
        <v/>
      </c>
      <c r="BK425" s="152">
        <f>MIN(BJ425,BJ$7)</f>
        <v/>
      </c>
      <c r="BL425" s="152">
        <f>MAX(0,MIN(BJ425-BK425,CL425-(AZ425+BD425+BH425)))</f>
        <v/>
      </c>
      <c r="BM425" s="152">
        <f>BJ425-BK425-BL425</f>
        <v/>
      </c>
      <c r="BN425" s="152">
        <f>IF(BQ424&lt;=0.005,0,BQ424*(1+BN$6))</f>
        <v/>
      </c>
      <c r="BO425" s="152">
        <f>MIN(BN425,BN$7)</f>
        <v/>
      </c>
      <c r="BP425" s="152">
        <f>MAX(0,MIN(BN425-BO425,CL425-(AZ425+BD425+BH425+BL425)))</f>
        <v/>
      </c>
      <c r="BQ425" s="152">
        <f>BN425-BO425-BP425</f>
        <v/>
      </c>
      <c r="BR425" s="152">
        <f>IF(BU424&lt;=0.005,0,BU424*(1+BR$6))</f>
        <v/>
      </c>
      <c r="BS425" s="152">
        <f>MIN(BR425,BR$7)</f>
        <v/>
      </c>
      <c r="BT425" s="152">
        <f>MAX(0,MIN(BR425-BS425,CL425-(AZ425+BD425+BH425+BL425+BP425)))</f>
        <v/>
      </c>
      <c r="BU425" s="152">
        <f>BR425-BS425-BT425</f>
        <v/>
      </c>
      <c r="BV425" s="152">
        <f>IF(BY424&lt;=0.005,0,BY424*(1+BV$6))</f>
        <v/>
      </c>
      <c r="BW425" s="152">
        <f>MIN(BV425,BV$7)</f>
        <v/>
      </c>
      <c r="BX425" s="152">
        <f>MAX(0,MIN(BV425-BW425,CL425-(AZ425+BD425+BH425+BL425+BP425+BT425)))</f>
        <v/>
      </c>
      <c r="BY425" s="152">
        <f>BV425-BW425-BX425</f>
        <v/>
      </c>
      <c r="BZ425" s="152">
        <f>IF(CC424&lt;=0.005,0,CC424*(1+BZ$6))</f>
        <v/>
      </c>
      <c r="CA425" s="152">
        <f>MIN(BZ425,BZ$7)</f>
        <v/>
      </c>
      <c r="CB425" s="152">
        <f>MAX(0,MIN(BZ425-CA425,CL425-(AZ425+BD425+BH425+BL425+BP425+BT425+BX425)))</f>
        <v/>
      </c>
      <c r="CC425" s="152">
        <f>BZ425-CA425-CB425</f>
        <v/>
      </c>
      <c r="CD425" s="152">
        <f>IF(CG424&lt;=0.005,0,CG424*(1+CD$6))</f>
        <v/>
      </c>
      <c r="CE425" s="152">
        <f>MIN(CD425,CD$7)</f>
        <v/>
      </c>
      <c r="CF425" s="152">
        <f>MAX(0,MIN(CD425-CE425,CL425-(AZ425+BD425+BH425+BL425+BP425+BT425+BX425+CB425)))</f>
        <v/>
      </c>
      <c r="CG425" s="152">
        <f>CD425-CE425-CF425</f>
        <v/>
      </c>
      <c r="CH425" s="152">
        <f>IF(CK424&lt;=0.005,0,CK424*(1+CH$6))</f>
        <v/>
      </c>
      <c r="CI425" s="152">
        <f>MIN(CH425,CH$7)</f>
        <v/>
      </c>
      <c r="CJ425" s="152">
        <f>MAX(0,MIN(CH425-CI425,CL425-(AZ425+BD425+BH425+BL425+BP425+BT425+BX425+CB425+CF425)))</f>
        <v/>
      </c>
      <c r="CK425" s="152">
        <f>CH425-CI425-CJ425</f>
        <v/>
      </c>
      <c r="CL425" s="152">
        <f>'Debt Payoff'!$C$8-SUM(AY425,BC425,BG425,BK425,BO425,BS425,BW425,CA425,CE425,CI425)</f>
        <v/>
      </c>
      <c r="CM425" s="152">
        <f>SUM(AY425,BC425,BG425,BK425,BO425,BS425,BW425,CA425,CE425,CI425)+SUM(AZ425,BD425,BH425,BL425,BP425,BT425,BX425,CB425,CF425,CJ425)</f>
        <v/>
      </c>
      <c r="CN425" s="152">
        <f>SUM(BA425,BE425,BI425,BM425,BQ425,BU425,BY425,CC425,CG425,CK425)</f>
        <v/>
      </c>
      <c r="CO425" s="152">
        <f>IF(AW425&gt;CN$6,NA(),AW425)</f>
        <v/>
      </c>
      <c r="CP425" s="152">
        <f>IF(AW425&gt;CN$6,NA(),CN425)</f>
        <v/>
      </c>
    </row>
    <row r="426">
      <c r="B426" s="152" t="n">
        <v>415</v>
      </c>
      <c r="C426" s="152">
        <f>IF(F425&lt;=0.005,0,F425*(1+C$6))</f>
        <v/>
      </c>
      <c r="D426" s="152">
        <f>MIN(C426,C$7)</f>
        <v/>
      </c>
      <c r="E426" s="152">
        <f>MAX(0,MIN(C426-D426,AQ426))</f>
        <v/>
      </c>
      <c r="F426" s="152">
        <f>C426-D426-E426</f>
        <v/>
      </c>
      <c r="G426" s="152">
        <f>IF(J425&lt;=0.005,0,J425*(1+G$6))</f>
        <v/>
      </c>
      <c r="H426" s="152">
        <f>MIN(G426,G$7)</f>
        <v/>
      </c>
      <c r="I426" s="152">
        <f>MAX(0,MIN(G426-H426,AQ426-(E426)))</f>
        <v/>
      </c>
      <c r="J426" s="152">
        <f>G426-H426-I426</f>
        <v/>
      </c>
      <c r="K426" s="152">
        <f>IF(N425&lt;=0.005,0,N425*(1+K$6))</f>
        <v/>
      </c>
      <c r="L426" s="152">
        <f>MIN(K426,K$7)</f>
        <v/>
      </c>
      <c r="M426" s="152">
        <f>MAX(0,MIN(K426-L426,AQ426-(E426+I426)))</f>
        <v/>
      </c>
      <c r="N426" s="152">
        <f>K426-L426-M426</f>
        <v/>
      </c>
      <c r="O426" s="152">
        <f>IF(R425&lt;=0.005,0,R425*(1+O$6))</f>
        <v/>
      </c>
      <c r="P426" s="152">
        <f>MIN(O426,O$7)</f>
        <v/>
      </c>
      <c r="Q426" s="152">
        <f>MAX(0,MIN(O426-P426,AQ426-(E426+I426+M426)))</f>
        <v/>
      </c>
      <c r="R426" s="152">
        <f>O426-P426-Q426</f>
        <v/>
      </c>
      <c r="S426" s="152">
        <f>IF(V425&lt;=0.005,0,V425*(1+S$6))</f>
        <v/>
      </c>
      <c r="T426" s="152">
        <f>MIN(S426,S$7)</f>
        <v/>
      </c>
      <c r="U426" s="152">
        <f>MAX(0,MIN(S426-T426,AQ426-(E426+I426+M426+Q426)))</f>
        <v/>
      </c>
      <c r="V426" s="152">
        <f>S426-T426-U426</f>
        <v/>
      </c>
      <c r="W426" s="152">
        <f>IF(Z425&lt;=0.005,0,Z425*(1+W$6))</f>
        <v/>
      </c>
      <c r="X426" s="152">
        <f>MIN(W426,W$7)</f>
        <v/>
      </c>
      <c r="Y426" s="152">
        <f>MAX(0,MIN(W426-X426,AQ426-(E426+I426+M426+Q426+U426)))</f>
        <v/>
      </c>
      <c r="Z426" s="152">
        <f>W426-X426-Y426</f>
        <v/>
      </c>
      <c r="AA426" s="152">
        <f>IF(AD425&lt;=0.005,0,AD425*(1+AA$6))</f>
        <v/>
      </c>
      <c r="AB426" s="152">
        <f>MIN(AA426,AA$7)</f>
        <v/>
      </c>
      <c r="AC426" s="152">
        <f>MAX(0,MIN(AA426-AB426,AQ426-(E426+I426+M426+Q426+U426+Y426)))</f>
        <v/>
      </c>
      <c r="AD426" s="152">
        <f>AA426-AB426-AC426</f>
        <v/>
      </c>
      <c r="AE426" s="152">
        <f>IF(AH425&lt;=0.005,0,AH425*(1+AE$6))</f>
        <v/>
      </c>
      <c r="AF426" s="152">
        <f>MIN(AE426,AE$7)</f>
        <v/>
      </c>
      <c r="AG426" s="152">
        <f>MAX(0,MIN(AE426-AF426,AQ426-(E426+I426+M426+Q426+U426+Y426+AC426)))</f>
        <v/>
      </c>
      <c r="AH426" s="152">
        <f>AE426-AF426-AG426</f>
        <v/>
      </c>
      <c r="AI426" s="152">
        <f>IF(AL425&lt;=0.005,0,AL425*(1+AI$6))</f>
        <v/>
      </c>
      <c r="AJ426" s="152">
        <f>MIN(AI426,AI$7)</f>
        <v/>
      </c>
      <c r="AK426" s="152">
        <f>MAX(0,MIN(AI426-AJ426,AQ426-(E426+I426+M426+Q426+U426+Y426+AC426+AG426)))</f>
        <v/>
      </c>
      <c r="AL426" s="152">
        <f>AI426-AJ426-AK426</f>
        <v/>
      </c>
      <c r="AM426" s="152">
        <f>IF(AP425&lt;=0.005,0,AP425*(1+AM$6))</f>
        <v/>
      </c>
      <c r="AN426" s="152">
        <f>MIN(AM426,AM$7)</f>
        <v/>
      </c>
      <c r="AO426" s="152">
        <f>MAX(0,MIN(AM426-AN426,AQ426-(E426+I426+M426+Q426+U426+Y426+AC426+AG426+AK426)))</f>
        <v/>
      </c>
      <c r="AP426" s="152">
        <f>AM426-AN426-AO426</f>
        <v/>
      </c>
      <c r="AQ426" s="152">
        <f>'Debt Payoff'!$C$8-SUM(D426,H426,L426,P426,T426,X426,AB426,AF426,AJ426,AN426)</f>
        <v/>
      </c>
      <c r="AR426" s="152">
        <f>SUM(D426,H426,L426,P426,T426,X426,AB426,AF426,AJ426,AN426)+SUM(E426,I426,M426,Q426,U426,Y426,AC426,AG426,AK426,AO426)</f>
        <v/>
      </c>
      <c r="AS426" s="152">
        <f>SUM(F426,J426,N426,R426,V426,Z426,AD426,AH426,AL426,AP426)</f>
        <v/>
      </c>
      <c r="AT426" s="152">
        <f>IF(B426&gt;AS$6,NA(),B426)</f>
        <v/>
      </c>
      <c r="AU426" s="152">
        <f>IF(B426&gt;AS$6,NA(),AS426)</f>
        <v/>
      </c>
      <c r="AV426" s="152" t="n"/>
      <c r="AW426" s="152" t="n">
        <v>415</v>
      </c>
      <c r="AX426" s="152">
        <f>IF(BA425&lt;=0.005,0,BA425*(1+AX$6))</f>
        <v/>
      </c>
      <c r="AY426" s="152">
        <f>MIN(AX426,AX$7)</f>
        <v/>
      </c>
      <c r="AZ426" s="152">
        <f>MAX(0,MIN(AX426-AY426,CL426))</f>
        <v/>
      </c>
      <c r="BA426" s="152">
        <f>AX426-AY426-AZ426</f>
        <v/>
      </c>
      <c r="BB426" s="152">
        <f>IF(BE425&lt;=0.005,0,BE425*(1+BB$6))</f>
        <v/>
      </c>
      <c r="BC426" s="152">
        <f>MIN(BB426,BB$7)</f>
        <v/>
      </c>
      <c r="BD426" s="152">
        <f>MAX(0,MIN(BB426-BC426,CL426-(AZ426)))</f>
        <v/>
      </c>
      <c r="BE426" s="152">
        <f>BB426-BC426-BD426</f>
        <v/>
      </c>
      <c r="BF426" s="152">
        <f>IF(BI425&lt;=0.005,0,BI425*(1+BF$6))</f>
        <v/>
      </c>
      <c r="BG426" s="152">
        <f>MIN(BF426,BF$7)</f>
        <v/>
      </c>
      <c r="BH426" s="152">
        <f>MAX(0,MIN(BF426-BG426,CL426-(AZ426+BD426)))</f>
        <v/>
      </c>
      <c r="BI426" s="152">
        <f>BF426-BG426-BH426</f>
        <v/>
      </c>
      <c r="BJ426" s="152">
        <f>IF(BM425&lt;=0.005,0,BM425*(1+BJ$6))</f>
        <v/>
      </c>
      <c r="BK426" s="152">
        <f>MIN(BJ426,BJ$7)</f>
        <v/>
      </c>
      <c r="BL426" s="152">
        <f>MAX(0,MIN(BJ426-BK426,CL426-(AZ426+BD426+BH426)))</f>
        <v/>
      </c>
      <c r="BM426" s="152">
        <f>BJ426-BK426-BL426</f>
        <v/>
      </c>
      <c r="BN426" s="152">
        <f>IF(BQ425&lt;=0.005,0,BQ425*(1+BN$6))</f>
        <v/>
      </c>
      <c r="BO426" s="152">
        <f>MIN(BN426,BN$7)</f>
        <v/>
      </c>
      <c r="BP426" s="152">
        <f>MAX(0,MIN(BN426-BO426,CL426-(AZ426+BD426+BH426+BL426)))</f>
        <v/>
      </c>
      <c r="BQ426" s="152">
        <f>BN426-BO426-BP426</f>
        <v/>
      </c>
      <c r="BR426" s="152">
        <f>IF(BU425&lt;=0.005,0,BU425*(1+BR$6))</f>
        <v/>
      </c>
      <c r="BS426" s="152">
        <f>MIN(BR426,BR$7)</f>
        <v/>
      </c>
      <c r="BT426" s="152">
        <f>MAX(0,MIN(BR426-BS426,CL426-(AZ426+BD426+BH426+BL426+BP426)))</f>
        <v/>
      </c>
      <c r="BU426" s="152">
        <f>BR426-BS426-BT426</f>
        <v/>
      </c>
      <c r="BV426" s="152">
        <f>IF(BY425&lt;=0.005,0,BY425*(1+BV$6))</f>
        <v/>
      </c>
      <c r="BW426" s="152">
        <f>MIN(BV426,BV$7)</f>
        <v/>
      </c>
      <c r="BX426" s="152">
        <f>MAX(0,MIN(BV426-BW426,CL426-(AZ426+BD426+BH426+BL426+BP426+BT426)))</f>
        <v/>
      </c>
      <c r="BY426" s="152">
        <f>BV426-BW426-BX426</f>
        <v/>
      </c>
      <c r="BZ426" s="152">
        <f>IF(CC425&lt;=0.005,0,CC425*(1+BZ$6))</f>
        <v/>
      </c>
      <c r="CA426" s="152">
        <f>MIN(BZ426,BZ$7)</f>
        <v/>
      </c>
      <c r="CB426" s="152">
        <f>MAX(0,MIN(BZ426-CA426,CL426-(AZ426+BD426+BH426+BL426+BP426+BT426+BX426)))</f>
        <v/>
      </c>
      <c r="CC426" s="152">
        <f>BZ426-CA426-CB426</f>
        <v/>
      </c>
      <c r="CD426" s="152">
        <f>IF(CG425&lt;=0.005,0,CG425*(1+CD$6))</f>
        <v/>
      </c>
      <c r="CE426" s="152">
        <f>MIN(CD426,CD$7)</f>
        <v/>
      </c>
      <c r="CF426" s="152">
        <f>MAX(0,MIN(CD426-CE426,CL426-(AZ426+BD426+BH426+BL426+BP426+BT426+BX426+CB426)))</f>
        <v/>
      </c>
      <c r="CG426" s="152">
        <f>CD426-CE426-CF426</f>
        <v/>
      </c>
      <c r="CH426" s="152">
        <f>IF(CK425&lt;=0.005,0,CK425*(1+CH$6))</f>
        <v/>
      </c>
      <c r="CI426" s="152">
        <f>MIN(CH426,CH$7)</f>
        <v/>
      </c>
      <c r="CJ426" s="152">
        <f>MAX(0,MIN(CH426-CI426,CL426-(AZ426+BD426+BH426+BL426+BP426+BT426+BX426+CB426+CF426)))</f>
        <v/>
      </c>
      <c r="CK426" s="152">
        <f>CH426-CI426-CJ426</f>
        <v/>
      </c>
      <c r="CL426" s="152">
        <f>'Debt Payoff'!$C$8-SUM(AY426,BC426,BG426,BK426,BO426,BS426,BW426,CA426,CE426,CI426)</f>
        <v/>
      </c>
      <c r="CM426" s="152">
        <f>SUM(AY426,BC426,BG426,BK426,BO426,BS426,BW426,CA426,CE426,CI426)+SUM(AZ426,BD426,BH426,BL426,BP426,BT426,BX426,CB426,CF426,CJ426)</f>
        <v/>
      </c>
      <c r="CN426" s="152">
        <f>SUM(BA426,BE426,BI426,BM426,BQ426,BU426,BY426,CC426,CG426,CK426)</f>
        <v/>
      </c>
      <c r="CO426" s="152">
        <f>IF(AW426&gt;CN$6,NA(),AW426)</f>
        <v/>
      </c>
      <c r="CP426" s="152">
        <f>IF(AW426&gt;CN$6,NA(),CN426)</f>
        <v/>
      </c>
    </row>
    <row r="427">
      <c r="B427" s="152" t="n">
        <v>416</v>
      </c>
      <c r="C427" s="152">
        <f>IF(F426&lt;=0.005,0,F426*(1+C$6))</f>
        <v/>
      </c>
      <c r="D427" s="152">
        <f>MIN(C427,C$7)</f>
        <v/>
      </c>
      <c r="E427" s="152">
        <f>MAX(0,MIN(C427-D427,AQ427))</f>
        <v/>
      </c>
      <c r="F427" s="152">
        <f>C427-D427-E427</f>
        <v/>
      </c>
      <c r="G427" s="152">
        <f>IF(J426&lt;=0.005,0,J426*(1+G$6))</f>
        <v/>
      </c>
      <c r="H427" s="152">
        <f>MIN(G427,G$7)</f>
        <v/>
      </c>
      <c r="I427" s="152">
        <f>MAX(0,MIN(G427-H427,AQ427-(E427)))</f>
        <v/>
      </c>
      <c r="J427" s="152">
        <f>G427-H427-I427</f>
        <v/>
      </c>
      <c r="K427" s="152">
        <f>IF(N426&lt;=0.005,0,N426*(1+K$6))</f>
        <v/>
      </c>
      <c r="L427" s="152">
        <f>MIN(K427,K$7)</f>
        <v/>
      </c>
      <c r="M427" s="152">
        <f>MAX(0,MIN(K427-L427,AQ427-(E427+I427)))</f>
        <v/>
      </c>
      <c r="N427" s="152">
        <f>K427-L427-M427</f>
        <v/>
      </c>
      <c r="O427" s="152">
        <f>IF(R426&lt;=0.005,0,R426*(1+O$6))</f>
        <v/>
      </c>
      <c r="P427" s="152">
        <f>MIN(O427,O$7)</f>
        <v/>
      </c>
      <c r="Q427" s="152">
        <f>MAX(0,MIN(O427-P427,AQ427-(E427+I427+M427)))</f>
        <v/>
      </c>
      <c r="R427" s="152">
        <f>O427-P427-Q427</f>
        <v/>
      </c>
      <c r="S427" s="152">
        <f>IF(V426&lt;=0.005,0,V426*(1+S$6))</f>
        <v/>
      </c>
      <c r="T427" s="152">
        <f>MIN(S427,S$7)</f>
        <v/>
      </c>
      <c r="U427" s="152">
        <f>MAX(0,MIN(S427-T427,AQ427-(E427+I427+M427+Q427)))</f>
        <v/>
      </c>
      <c r="V427" s="152">
        <f>S427-T427-U427</f>
        <v/>
      </c>
      <c r="W427" s="152">
        <f>IF(Z426&lt;=0.005,0,Z426*(1+W$6))</f>
        <v/>
      </c>
      <c r="X427" s="152">
        <f>MIN(W427,W$7)</f>
        <v/>
      </c>
      <c r="Y427" s="152">
        <f>MAX(0,MIN(W427-X427,AQ427-(E427+I427+M427+Q427+U427)))</f>
        <v/>
      </c>
      <c r="Z427" s="152">
        <f>W427-X427-Y427</f>
        <v/>
      </c>
      <c r="AA427" s="152">
        <f>IF(AD426&lt;=0.005,0,AD426*(1+AA$6))</f>
        <v/>
      </c>
      <c r="AB427" s="152">
        <f>MIN(AA427,AA$7)</f>
        <v/>
      </c>
      <c r="AC427" s="152">
        <f>MAX(0,MIN(AA427-AB427,AQ427-(E427+I427+M427+Q427+U427+Y427)))</f>
        <v/>
      </c>
      <c r="AD427" s="152">
        <f>AA427-AB427-AC427</f>
        <v/>
      </c>
      <c r="AE427" s="152">
        <f>IF(AH426&lt;=0.005,0,AH426*(1+AE$6))</f>
        <v/>
      </c>
      <c r="AF427" s="152">
        <f>MIN(AE427,AE$7)</f>
        <v/>
      </c>
      <c r="AG427" s="152">
        <f>MAX(0,MIN(AE427-AF427,AQ427-(E427+I427+M427+Q427+U427+Y427+AC427)))</f>
        <v/>
      </c>
      <c r="AH427" s="152">
        <f>AE427-AF427-AG427</f>
        <v/>
      </c>
      <c r="AI427" s="152">
        <f>IF(AL426&lt;=0.005,0,AL426*(1+AI$6))</f>
        <v/>
      </c>
      <c r="AJ427" s="152">
        <f>MIN(AI427,AI$7)</f>
        <v/>
      </c>
      <c r="AK427" s="152">
        <f>MAX(0,MIN(AI427-AJ427,AQ427-(E427+I427+M427+Q427+U427+Y427+AC427+AG427)))</f>
        <v/>
      </c>
      <c r="AL427" s="152">
        <f>AI427-AJ427-AK427</f>
        <v/>
      </c>
      <c r="AM427" s="152">
        <f>IF(AP426&lt;=0.005,0,AP426*(1+AM$6))</f>
        <v/>
      </c>
      <c r="AN427" s="152">
        <f>MIN(AM427,AM$7)</f>
        <v/>
      </c>
      <c r="AO427" s="152">
        <f>MAX(0,MIN(AM427-AN427,AQ427-(E427+I427+M427+Q427+U427+Y427+AC427+AG427+AK427)))</f>
        <v/>
      </c>
      <c r="AP427" s="152">
        <f>AM427-AN427-AO427</f>
        <v/>
      </c>
      <c r="AQ427" s="152">
        <f>'Debt Payoff'!$C$8-SUM(D427,H427,L427,P427,T427,X427,AB427,AF427,AJ427,AN427)</f>
        <v/>
      </c>
      <c r="AR427" s="152">
        <f>SUM(D427,H427,L427,P427,T427,X427,AB427,AF427,AJ427,AN427)+SUM(E427,I427,M427,Q427,U427,Y427,AC427,AG427,AK427,AO427)</f>
        <v/>
      </c>
      <c r="AS427" s="152">
        <f>SUM(F427,J427,N427,R427,V427,Z427,AD427,AH427,AL427,AP427)</f>
        <v/>
      </c>
      <c r="AT427" s="152">
        <f>IF(B427&gt;AS$6,NA(),B427)</f>
        <v/>
      </c>
      <c r="AU427" s="152">
        <f>IF(B427&gt;AS$6,NA(),AS427)</f>
        <v/>
      </c>
      <c r="AV427" s="152" t="n"/>
      <c r="AW427" s="152" t="n">
        <v>416</v>
      </c>
      <c r="AX427" s="152">
        <f>IF(BA426&lt;=0.005,0,BA426*(1+AX$6))</f>
        <v/>
      </c>
      <c r="AY427" s="152">
        <f>MIN(AX427,AX$7)</f>
        <v/>
      </c>
      <c r="AZ427" s="152">
        <f>MAX(0,MIN(AX427-AY427,CL427))</f>
        <v/>
      </c>
      <c r="BA427" s="152">
        <f>AX427-AY427-AZ427</f>
        <v/>
      </c>
      <c r="BB427" s="152">
        <f>IF(BE426&lt;=0.005,0,BE426*(1+BB$6))</f>
        <v/>
      </c>
      <c r="BC427" s="152">
        <f>MIN(BB427,BB$7)</f>
        <v/>
      </c>
      <c r="BD427" s="152">
        <f>MAX(0,MIN(BB427-BC427,CL427-(AZ427)))</f>
        <v/>
      </c>
      <c r="BE427" s="152">
        <f>BB427-BC427-BD427</f>
        <v/>
      </c>
      <c r="BF427" s="152">
        <f>IF(BI426&lt;=0.005,0,BI426*(1+BF$6))</f>
        <v/>
      </c>
      <c r="BG427" s="152">
        <f>MIN(BF427,BF$7)</f>
        <v/>
      </c>
      <c r="BH427" s="152">
        <f>MAX(0,MIN(BF427-BG427,CL427-(AZ427+BD427)))</f>
        <v/>
      </c>
      <c r="BI427" s="152">
        <f>BF427-BG427-BH427</f>
        <v/>
      </c>
      <c r="BJ427" s="152">
        <f>IF(BM426&lt;=0.005,0,BM426*(1+BJ$6))</f>
        <v/>
      </c>
      <c r="BK427" s="152">
        <f>MIN(BJ427,BJ$7)</f>
        <v/>
      </c>
      <c r="BL427" s="152">
        <f>MAX(0,MIN(BJ427-BK427,CL427-(AZ427+BD427+BH427)))</f>
        <v/>
      </c>
      <c r="BM427" s="152">
        <f>BJ427-BK427-BL427</f>
        <v/>
      </c>
      <c r="BN427" s="152">
        <f>IF(BQ426&lt;=0.005,0,BQ426*(1+BN$6))</f>
        <v/>
      </c>
      <c r="BO427" s="152">
        <f>MIN(BN427,BN$7)</f>
        <v/>
      </c>
      <c r="BP427" s="152">
        <f>MAX(0,MIN(BN427-BO427,CL427-(AZ427+BD427+BH427+BL427)))</f>
        <v/>
      </c>
      <c r="BQ427" s="152">
        <f>BN427-BO427-BP427</f>
        <v/>
      </c>
      <c r="BR427" s="152">
        <f>IF(BU426&lt;=0.005,0,BU426*(1+BR$6))</f>
        <v/>
      </c>
      <c r="BS427" s="152">
        <f>MIN(BR427,BR$7)</f>
        <v/>
      </c>
      <c r="BT427" s="152">
        <f>MAX(0,MIN(BR427-BS427,CL427-(AZ427+BD427+BH427+BL427+BP427)))</f>
        <v/>
      </c>
      <c r="BU427" s="152">
        <f>BR427-BS427-BT427</f>
        <v/>
      </c>
      <c r="BV427" s="152">
        <f>IF(BY426&lt;=0.005,0,BY426*(1+BV$6))</f>
        <v/>
      </c>
      <c r="BW427" s="152">
        <f>MIN(BV427,BV$7)</f>
        <v/>
      </c>
      <c r="BX427" s="152">
        <f>MAX(0,MIN(BV427-BW427,CL427-(AZ427+BD427+BH427+BL427+BP427+BT427)))</f>
        <v/>
      </c>
      <c r="BY427" s="152">
        <f>BV427-BW427-BX427</f>
        <v/>
      </c>
      <c r="BZ427" s="152">
        <f>IF(CC426&lt;=0.005,0,CC426*(1+BZ$6))</f>
        <v/>
      </c>
      <c r="CA427" s="152">
        <f>MIN(BZ427,BZ$7)</f>
        <v/>
      </c>
      <c r="CB427" s="152">
        <f>MAX(0,MIN(BZ427-CA427,CL427-(AZ427+BD427+BH427+BL427+BP427+BT427+BX427)))</f>
        <v/>
      </c>
      <c r="CC427" s="152">
        <f>BZ427-CA427-CB427</f>
        <v/>
      </c>
      <c r="CD427" s="152">
        <f>IF(CG426&lt;=0.005,0,CG426*(1+CD$6))</f>
        <v/>
      </c>
      <c r="CE427" s="152">
        <f>MIN(CD427,CD$7)</f>
        <v/>
      </c>
      <c r="CF427" s="152">
        <f>MAX(0,MIN(CD427-CE427,CL427-(AZ427+BD427+BH427+BL427+BP427+BT427+BX427+CB427)))</f>
        <v/>
      </c>
      <c r="CG427" s="152">
        <f>CD427-CE427-CF427</f>
        <v/>
      </c>
      <c r="CH427" s="152">
        <f>IF(CK426&lt;=0.005,0,CK426*(1+CH$6))</f>
        <v/>
      </c>
      <c r="CI427" s="152">
        <f>MIN(CH427,CH$7)</f>
        <v/>
      </c>
      <c r="CJ427" s="152">
        <f>MAX(0,MIN(CH427-CI427,CL427-(AZ427+BD427+BH427+BL427+BP427+BT427+BX427+CB427+CF427)))</f>
        <v/>
      </c>
      <c r="CK427" s="152">
        <f>CH427-CI427-CJ427</f>
        <v/>
      </c>
      <c r="CL427" s="152">
        <f>'Debt Payoff'!$C$8-SUM(AY427,BC427,BG427,BK427,BO427,BS427,BW427,CA427,CE427,CI427)</f>
        <v/>
      </c>
      <c r="CM427" s="152">
        <f>SUM(AY427,BC427,BG427,BK427,BO427,BS427,BW427,CA427,CE427,CI427)+SUM(AZ427,BD427,BH427,BL427,BP427,BT427,BX427,CB427,CF427,CJ427)</f>
        <v/>
      </c>
      <c r="CN427" s="152">
        <f>SUM(BA427,BE427,BI427,BM427,BQ427,BU427,BY427,CC427,CG427,CK427)</f>
        <v/>
      </c>
      <c r="CO427" s="152">
        <f>IF(AW427&gt;CN$6,NA(),AW427)</f>
        <v/>
      </c>
      <c r="CP427" s="152">
        <f>IF(AW427&gt;CN$6,NA(),CN427)</f>
        <v/>
      </c>
    </row>
    <row r="428">
      <c r="B428" s="152" t="n">
        <v>417</v>
      </c>
      <c r="C428" s="152">
        <f>IF(F427&lt;=0.005,0,F427*(1+C$6))</f>
        <v/>
      </c>
      <c r="D428" s="152">
        <f>MIN(C428,C$7)</f>
        <v/>
      </c>
      <c r="E428" s="152">
        <f>MAX(0,MIN(C428-D428,AQ428))</f>
        <v/>
      </c>
      <c r="F428" s="152">
        <f>C428-D428-E428</f>
        <v/>
      </c>
      <c r="G428" s="152">
        <f>IF(J427&lt;=0.005,0,J427*(1+G$6))</f>
        <v/>
      </c>
      <c r="H428" s="152">
        <f>MIN(G428,G$7)</f>
        <v/>
      </c>
      <c r="I428" s="152">
        <f>MAX(0,MIN(G428-H428,AQ428-(E428)))</f>
        <v/>
      </c>
      <c r="J428" s="152">
        <f>G428-H428-I428</f>
        <v/>
      </c>
      <c r="K428" s="152">
        <f>IF(N427&lt;=0.005,0,N427*(1+K$6))</f>
        <v/>
      </c>
      <c r="L428" s="152">
        <f>MIN(K428,K$7)</f>
        <v/>
      </c>
      <c r="M428" s="152">
        <f>MAX(0,MIN(K428-L428,AQ428-(E428+I428)))</f>
        <v/>
      </c>
      <c r="N428" s="152">
        <f>K428-L428-M428</f>
        <v/>
      </c>
      <c r="O428" s="152">
        <f>IF(R427&lt;=0.005,0,R427*(1+O$6))</f>
        <v/>
      </c>
      <c r="P428" s="152">
        <f>MIN(O428,O$7)</f>
        <v/>
      </c>
      <c r="Q428" s="152">
        <f>MAX(0,MIN(O428-P428,AQ428-(E428+I428+M428)))</f>
        <v/>
      </c>
      <c r="R428" s="152">
        <f>O428-P428-Q428</f>
        <v/>
      </c>
      <c r="S428" s="152">
        <f>IF(V427&lt;=0.005,0,V427*(1+S$6))</f>
        <v/>
      </c>
      <c r="T428" s="152">
        <f>MIN(S428,S$7)</f>
        <v/>
      </c>
      <c r="U428" s="152">
        <f>MAX(0,MIN(S428-T428,AQ428-(E428+I428+M428+Q428)))</f>
        <v/>
      </c>
      <c r="V428" s="152">
        <f>S428-T428-U428</f>
        <v/>
      </c>
      <c r="W428" s="152">
        <f>IF(Z427&lt;=0.005,0,Z427*(1+W$6))</f>
        <v/>
      </c>
      <c r="X428" s="152">
        <f>MIN(W428,W$7)</f>
        <v/>
      </c>
      <c r="Y428" s="152">
        <f>MAX(0,MIN(W428-X428,AQ428-(E428+I428+M428+Q428+U428)))</f>
        <v/>
      </c>
      <c r="Z428" s="152">
        <f>W428-X428-Y428</f>
        <v/>
      </c>
      <c r="AA428" s="152">
        <f>IF(AD427&lt;=0.005,0,AD427*(1+AA$6))</f>
        <v/>
      </c>
      <c r="AB428" s="152">
        <f>MIN(AA428,AA$7)</f>
        <v/>
      </c>
      <c r="AC428" s="152">
        <f>MAX(0,MIN(AA428-AB428,AQ428-(E428+I428+M428+Q428+U428+Y428)))</f>
        <v/>
      </c>
      <c r="AD428" s="152">
        <f>AA428-AB428-AC428</f>
        <v/>
      </c>
      <c r="AE428" s="152">
        <f>IF(AH427&lt;=0.005,0,AH427*(1+AE$6))</f>
        <v/>
      </c>
      <c r="AF428" s="152">
        <f>MIN(AE428,AE$7)</f>
        <v/>
      </c>
      <c r="AG428" s="152">
        <f>MAX(0,MIN(AE428-AF428,AQ428-(E428+I428+M428+Q428+U428+Y428+AC428)))</f>
        <v/>
      </c>
      <c r="AH428" s="152">
        <f>AE428-AF428-AG428</f>
        <v/>
      </c>
      <c r="AI428" s="152">
        <f>IF(AL427&lt;=0.005,0,AL427*(1+AI$6))</f>
        <v/>
      </c>
      <c r="AJ428" s="152">
        <f>MIN(AI428,AI$7)</f>
        <v/>
      </c>
      <c r="AK428" s="152">
        <f>MAX(0,MIN(AI428-AJ428,AQ428-(E428+I428+M428+Q428+U428+Y428+AC428+AG428)))</f>
        <v/>
      </c>
      <c r="AL428" s="152">
        <f>AI428-AJ428-AK428</f>
        <v/>
      </c>
      <c r="AM428" s="152">
        <f>IF(AP427&lt;=0.005,0,AP427*(1+AM$6))</f>
        <v/>
      </c>
      <c r="AN428" s="152">
        <f>MIN(AM428,AM$7)</f>
        <v/>
      </c>
      <c r="AO428" s="152">
        <f>MAX(0,MIN(AM428-AN428,AQ428-(E428+I428+M428+Q428+U428+Y428+AC428+AG428+AK428)))</f>
        <v/>
      </c>
      <c r="AP428" s="152">
        <f>AM428-AN428-AO428</f>
        <v/>
      </c>
      <c r="AQ428" s="152">
        <f>'Debt Payoff'!$C$8-SUM(D428,H428,L428,P428,T428,X428,AB428,AF428,AJ428,AN428)</f>
        <v/>
      </c>
      <c r="AR428" s="152">
        <f>SUM(D428,H428,L428,P428,T428,X428,AB428,AF428,AJ428,AN428)+SUM(E428,I428,M428,Q428,U428,Y428,AC428,AG428,AK428,AO428)</f>
        <v/>
      </c>
      <c r="AS428" s="152">
        <f>SUM(F428,J428,N428,R428,V428,Z428,AD428,AH428,AL428,AP428)</f>
        <v/>
      </c>
      <c r="AT428" s="152">
        <f>IF(B428&gt;AS$6,NA(),B428)</f>
        <v/>
      </c>
      <c r="AU428" s="152">
        <f>IF(B428&gt;AS$6,NA(),AS428)</f>
        <v/>
      </c>
      <c r="AV428" s="152" t="n"/>
      <c r="AW428" s="152" t="n">
        <v>417</v>
      </c>
      <c r="AX428" s="152">
        <f>IF(BA427&lt;=0.005,0,BA427*(1+AX$6))</f>
        <v/>
      </c>
      <c r="AY428" s="152">
        <f>MIN(AX428,AX$7)</f>
        <v/>
      </c>
      <c r="AZ428" s="152">
        <f>MAX(0,MIN(AX428-AY428,CL428))</f>
        <v/>
      </c>
      <c r="BA428" s="152">
        <f>AX428-AY428-AZ428</f>
        <v/>
      </c>
      <c r="BB428" s="152">
        <f>IF(BE427&lt;=0.005,0,BE427*(1+BB$6))</f>
        <v/>
      </c>
      <c r="BC428" s="152">
        <f>MIN(BB428,BB$7)</f>
        <v/>
      </c>
      <c r="BD428" s="152">
        <f>MAX(0,MIN(BB428-BC428,CL428-(AZ428)))</f>
        <v/>
      </c>
      <c r="BE428" s="152">
        <f>BB428-BC428-BD428</f>
        <v/>
      </c>
      <c r="BF428" s="152">
        <f>IF(BI427&lt;=0.005,0,BI427*(1+BF$6))</f>
        <v/>
      </c>
      <c r="BG428" s="152">
        <f>MIN(BF428,BF$7)</f>
        <v/>
      </c>
      <c r="BH428" s="152">
        <f>MAX(0,MIN(BF428-BG428,CL428-(AZ428+BD428)))</f>
        <v/>
      </c>
      <c r="BI428" s="152">
        <f>BF428-BG428-BH428</f>
        <v/>
      </c>
      <c r="BJ428" s="152">
        <f>IF(BM427&lt;=0.005,0,BM427*(1+BJ$6))</f>
        <v/>
      </c>
      <c r="BK428" s="152">
        <f>MIN(BJ428,BJ$7)</f>
        <v/>
      </c>
      <c r="BL428" s="152">
        <f>MAX(0,MIN(BJ428-BK428,CL428-(AZ428+BD428+BH428)))</f>
        <v/>
      </c>
      <c r="BM428" s="152">
        <f>BJ428-BK428-BL428</f>
        <v/>
      </c>
      <c r="BN428" s="152">
        <f>IF(BQ427&lt;=0.005,0,BQ427*(1+BN$6))</f>
        <v/>
      </c>
      <c r="BO428" s="152">
        <f>MIN(BN428,BN$7)</f>
        <v/>
      </c>
      <c r="BP428" s="152">
        <f>MAX(0,MIN(BN428-BO428,CL428-(AZ428+BD428+BH428+BL428)))</f>
        <v/>
      </c>
      <c r="BQ428" s="152">
        <f>BN428-BO428-BP428</f>
        <v/>
      </c>
      <c r="BR428" s="152">
        <f>IF(BU427&lt;=0.005,0,BU427*(1+BR$6))</f>
        <v/>
      </c>
      <c r="BS428" s="152">
        <f>MIN(BR428,BR$7)</f>
        <v/>
      </c>
      <c r="BT428" s="152">
        <f>MAX(0,MIN(BR428-BS428,CL428-(AZ428+BD428+BH428+BL428+BP428)))</f>
        <v/>
      </c>
      <c r="BU428" s="152">
        <f>BR428-BS428-BT428</f>
        <v/>
      </c>
      <c r="BV428" s="152">
        <f>IF(BY427&lt;=0.005,0,BY427*(1+BV$6))</f>
        <v/>
      </c>
      <c r="BW428" s="152">
        <f>MIN(BV428,BV$7)</f>
        <v/>
      </c>
      <c r="BX428" s="152">
        <f>MAX(0,MIN(BV428-BW428,CL428-(AZ428+BD428+BH428+BL428+BP428+BT428)))</f>
        <v/>
      </c>
      <c r="BY428" s="152">
        <f>BV428-BW428-BX428</f>
        <v/>
      </c>
      <c r="BZ428" s="152">
        <f>IF(CC427&lt;=0.005,0,CC427*(1+BZ$6))</f>
        <v/>
      </c>
      <c r="CA428" s="152">
        <f>MIN(BZ428,BZ$7)</f>
        <v/>
      </c>
      <c r="CB428" s="152">
        <f>MAX(0,MIN(BZ428-CA428,CL428-(AZ428+BD428+BH428+BL428+BP428+BT428+BX428)))</f>
        <v/>
      </c>
      <c r="CC428" s="152">
        <f>BZ428-CA428-CB428</f>
        <v/>
      </c>
      <c r="CD428" s="152">
        <f>IF(CG427&lt;=0.005,0,CG427*(1+CD$6))</f>
        <v/>
      </c>
      <c r="CE428" s="152">
        <f>MIN(CD428,CD$7)</f>
        <v/>
      </c>
      <c r="CF428" s="152">
        <f>MAX(0,MIN(CD428-CE428,CL428-(AZ428+BD428+BH428+BL428+BP428+BT428+BX428+CB428)))</f>
        <v/>
      </c>
      <c r="CG428" s="152">
        <f>CD428-CE428-CF428</f>
        <v/>
      </c>
      <c r="CH428" s="152">
        <f>IF(CK427&lt;=0.005,0,CK427*(1+CH$6))</f>
        <v/>
      </c>
      <c r="CI428" s="152">
        <f>MIN(CH428,CH$7)</f>
        <v/>
      </c>
      <c r="CJ428" s="152">
        <f>MAX(0,MIN(CH428-CI428,CL428-(AZ428+BD428+BH428+BL428+BP428+BT428+BX428+CB428+CF428)))</f>
        <v/>
      </c>
      <c r="CK428" s="152">
        <f>CH428-CI428-CJ428</f>
        <v/>
      </c>
      <c r="CL428" s="152">
        <f>'Debt Payoff'!$C$8-SUM(AY428,BC428,BG428,BK428,BO428,BS428,BW428,CA428,CE428,CI428)</f>
        <v/>
      </c>
      <c r="CM428" s="152">
        <f>SUM(AY428,BC428,BG428,BK428,BO428,BS428,BW428,CA428,CE428,CI428)+SUM(AZ428,BD428,BH428,BL428,BP428,BT428,BX428,CB428,CF428,CJ428)</f>
        <v/>
      </c>
      <c r="CN428" s="152">
        <f>SUM(BA428,BE428,BI428,BM428,BQ428,BU428,BY428,CC428,CG428,CK428)</f>
        <v/>
      </c>
      <c r="CO428" s="152">
        <f>IF(AW428&gt;CN$6,NA(),AW428)</f>
        <v/>
      </c>
      <c r="CP428" s="152">
        <f>IF(AW428&gt;CN$6,NA(),CN428)</f>
        <v/>
      </c>
    </row>
    <row r="429">
      <c r="B429" s="152" t="n">
        <v>418</v>
      </c>
      <c r="C429" s="152">
        <f>IF(F428&lt;=0.005,0,F428*(1+C$6))</f>
        <v/>
      </c>
      <c r="D429" s="152">
        <f>MIN(C429,C$7)</f>
        <v/>
      </c>
      <c r="E429" s="152">
        <f>MAX(0,MIN(C429-D429,AQ429))</f>
        <v/>
      </c>
      <c r="F429" s="152">
        <f>C429-D429-E429</f>
        <v/>
      </c>
      <c r="G429" s="152">
        <f>IF(J428&lt;=0.005,0,J428*(1+G$6))</f>
        <v/>
      </c>
      <c r="H429" s="152">
        <f>MIN(G429,G$7)</f>
        <v/>
      </c>
      <c r="I429" s="152">
        <f>MAX(0,MIN(G429-H429,AQ429-(E429)))</f>
        <v/>
      </c>
      <c r="J429" s="152">
        <f>G429-H429-I429</f>
        <v/>
      </c>
      <c r="K429" s="152">
        <f>IF(N428&lt;=0.005,0,N428*(1+K$6))</f>
        <v/>
      </c>
      <c r="L429" s="152">
        <f>MIN(K429,K$7)</f>
        <v/>
      </c>
      <c r="M429" s="152">
        <f>MAX(0,MIN(K429-L429,AQ429-(E429+I429)))</f>
        <v/>
      </c>
      <c r="N429" s="152">
        <f>K429-L429-M429</f>
        <v/>
      </c>
      <c r="O429" s="152">
        <f>IF(R428&lt;=0.005,0,R428*(1+O$6))</f>
        <v/>
      </c>
      <c r="P429" s="152">
        <f>MIN(O429,O$7)</f>
        <v/>
      </c>
      <c r="Q429" s="152">
        <f>MAX(0,MIN(O429-P429,AQ429-(E429+I429+M429)))</f>
        <v/>
      </c>
      <c r="R429" s="152">
        <f>O429-P429-Q429</f>
        <v/>
      </c>
      <c r="S429" s="152">
        <f>IF(V428&lt;=0.005,0,V428*(1+S$6))</f>
        <v/>
      </c>
      <c r="T429" s="152">
        <f>MIN(S429,S$7)</f>
        <v/>
      </c>
      <c r="U429" s="152">
        <f>MAX(0,MIN(S429-T429,AQ429-(E429+I429+M429+Q429)))</f>
        <v/>
      </c>
      <c r="V429" s="152">
        <f>S429-T429-U429</f>
        <v/>
      </c>
      <c r="W429" s="152">
        <f>IF(Z428&lt;=0.005,0,Z428*(1+W$6))</f>
        <v/>
      </c>
      <c r="X429" s="152">
        <f>MIN(W429,W$7)</f>
        <v/>
      </c>
      <c r="Y429" s="152">
        <f>MAX(0,MIN(W429-X429,AQ429-(E429+I429+M429+Q429+U429)))</f>
        <v/>
      </c>
      <c r="Z429" s="152">
        <f>W429-X429-Y429</f>
        <v/>
      </c>
      <c r="AA429" s="152">
        <f>IF(AD428&lt;=0.005,0,AD428*(1+AA$6))</f>
        <v/>
      </c>
      <c r="AB429" s="152">
        <f>MIN(AA429,AA$7)</f>
        <v/>
      </c>
      <c r="AC429" s="152">
        <f>MAX(0,MIN(AA429-AB429,AQ429-(E429+I429+M429+Q429+U429+Y429)))</f>
        <v/>
      </c>
      <c r="AD429" s="152">
        <f>AA429-AB429-AC429</f>
        <v/>
      </c>
      <c r="AE429" s="152">
        <f>IF(AH428&lt;=0.005,0,AH428*(1+AE$6))</f>
        <v/>
      </c>
      <c r="AF429" s="152">
        <f>MIN(AE429,AE$7)</f>
        <v/>
      </c>
      <c r="AG429" s="152">
        <f>MAX(0,MIN(AE429-AF429,AQ429-(E429+I429+M429+Q429+U429+Y429+AC429)))</f>
        <v/>
      </c>
      <c r="AH429" s="152">
        <f>AE429-AF429-AG429</f>
        <v/>
      </c>
      <c r="AI429" s="152">
        <f>IF(AL428&lt;=0.005,0,AL428*(1+AI$6))</f>
        <v/>
      </c>
      <c r="AJ429" s="152">
        <f>MIN(AI429,AI$7)</f>
        <v/>
      </c>
      <c r="AK429" s="152">
        <f>MAX(0,MIN(AI429-AJ429,AQ429-(E429+I429+M429+Q429+U429+Y429+AC429+AG429)))</f>
        <v/>
      </c>
      <c r="AL429" s="152">
        <f>AI429-AJ429-AK429</f>
        <v/>
      </c>
      <c r="AM429" s="152">
        <f>IF(AP428&lt;=0.005,0,AP428*(1+AM$6))</f>
        <v/>
      </c>
      <c r="AN429" s="152">
        <f>MIN(AM429,AM$7)</f>
        <v/>
      </c>
      <c r="AO429" s="152">
        <f>MAX(0,MIN(AM429-AN429,AQ429-(E429+I429+M429+Q429+U429+Y429+AC429+AG429+AK429)))</f>
        <v/>
      </c>
      <c r="AP429" s="152">
        <f>AM429-AN429-AO429</f>
        <v/>
      </c>
      <c r="AQ429" s="152">
        <f>'Debt Payoff'!$C$8-SUM(D429,H429,L429,P429,T429,X429,AB429,AF429,AJ429,AN429)</f>
        <v/>
      </c>
      <c r="AR429" s="152">
        <f>SUM(D429,H429,L429,P429,T429,X429,AB429,AF429,AJ429,AN429)+SUM(E429,I429,M429,Q429,U429,Y429,AC429,AG429,AK429,AO429)</f>
        <v/>
      </c>
      <c r="AS429" s="152">
        <f>SUM(F429,J429,N429,R429,V429,Z429,AD429,AH429,AL429,AP429)</f>
        <v/>
      </c>
      <c r="AT429" s="152">
        <f>IF(B429&gt;AS$6,NA(),B429)</f>
        <v/>
      </c>
      <c r="AU429" s="152">
        <f>IF(B429&gt;AS$6,NA(),AS429)</f>
        <v/>
      </c>
      <c r="AV429" s="152" t="n"/>
      <c r="AW429" s="152" t="n">
        <v>418</v>
      </c>
      <c r="AX429" s="152">
        <f>IF(BA428&lt;=0.005,0,BA428*(1+AX$6))</f>
        <v/>
      </c>
      <c r="AY429" s="152">
        <f>MIN(AX429,AX$7)</f>
        <v/>
      </c>
      <c r="AZ429" s="152">
        <f>MAX(0,MIN(AX429-AY429,CL429))</f>
        <v/>
      </c>
      <c r="BA429" s="152">
        <f>AX429-AY429-AZ429</f>
        <v/>
      </c>
      <c r="BB429" s="152">
        <f>IF(BE428&lt;=0.005,0,BE428*(1+BB$6))</f>
        <v/>
      </c>
      <c r="BC429" s="152">
        <f>MIN(BB429,BB$7)</f>
        <v/>
      </c>
      <c r="BD429" s="152">
        <f>MAX(0,MIN(BB429-BC429,CL429-(AZ429)))</f>
        <v/>
      </c>
      <c r="BE429" s="152">
        <f>BB429-BC429-BD429</f>
        <v/>
      </c>
      <c r="BF429" s="152">
        <f>IF(BI428&lt;=0.005,0,BI428*(1+BF$6))</f>
        <v/>
      </c>
      <c r="BG429" s="152">
        <f>MIN(BF429,BF$7)</f>
        <v/>
      </c>
      <c r="BH429" s="152">
        <f>MAX(0,MIN(BF429-BG429,CL429-(AZ429+BD429)))</f>
        <v/>
      </c>
      <c r="BI429" s="152">
        <f>BF429-BG429-BH429</f>
        <v/>
      </c>
      <c r="BJ429" s="152">
        <f>IF(BM428&lt;=0.005,0,BM428*(1+BJ$6))</f>
        <v/>
      </c>
      <c r="BK429" s="152">
        <f>MIN(BJ429,BJ$7)</f>
        <v/>
      </c>
      <c r="BL429" s="152">
        <f>MAX(0,MIN(BJ429-BK429,CL429-(AZ429+BD429+BH429)))</f>
        <v/>
      </c>
      <c r="BM429" s="152">
        <f>BJ429-BK429-BL429</f>
        <v/>
      </c>
      <c r="BN429" s="152">
        <f>IF(BQ428&lt;=0.005,0,BQ428*(1+BN$6))</f>
        <v/>
      </c>
      <c r="BO429" s="152">
        <f>MIN(BN429,BN$7)</f>
        <v/>
      </c>
      <c r="BP429" s="152">
        <f>MAX(0,MIN(BN429-BO429,CL429-(AZ429+BD429+BH429+BL429)))</f>
        <v/>
      </c>
      <c r="BQ429" s="152">
        <f>BN429-BO429-BP429</f>
        <v/>
      </c>
      <c r="BR429" s="152">
        <f>IF(BU428&lt;=0.005,0,BU428*(1+BR$6))</f>
        <v/>
      </c>
      <c r="BS429" s="152">
        <f>MIN(BR429,BR$7)</f>
        <v/>
      </c>
      <c r="BT429" s="152">
        <f>MAX(0,MIN(BR429-BS429,CL429-(AZ429+BD429+BH429+BL429+BP429)))</f>
        <v/>
      </c>
      <c r="BU429" s="152">
        <f>BR429-BS429-BT429</f>
        <v/>
      </c>
      <c r="BV429" s="152">
        <f>IF(BY428&lt;=0.005,0,BY428*(1+BV$6))</f>
        <v/>
      </c>
      <c r="BW429" s="152">
        <f>MIN(BV429,BV$7)</f>
        <v/>
      </c>
      <c r="BX429" s="152">
        <f>MAX(0,MIN(BV429-BW429,CL429-(AZ429+BD429+BH429+BL429+BP429+BT429)))</f>
        <v/>
      </c>
      <c r="BY429" s="152">
        <f>BV429-BW429-BX429</f>
        <v/>
      </c>
      <c r="BZ429" s="152">
        <f>IF(CC428&lt;=0.005,0,CC428*(1+BZ$6))</f>
        <v/>
      </c>
      <c r="CA429" s="152">
        <f>MIN(BZ429,BZ$7)</f>
        <v/>
      </c>
      <c r="CB429" s="152">
        <f>MAX(0,MIN(BZ429-CA429,CL429-(AZ429+BD429+BH429+BL429+BP429+BT429+BX429)))</f>
        <v/>
      </c>
      <c r="CC429" s="152">
        <f>BZ429-CA429-CB429</f>
        <v/>
      </c>
      <c r="CD429" s="152">
        <f>IF(CG428&lt;=0.005,0,CG428*(1+CD$6))</f>
        <v/>
      </c>
      <c r="CE429" s="152">
        <f>MIN(CD429,CD$7)</f>
        <v/>
      </c>
      <c r="CF429" s="152">
        <f>MAX(0,MIN(CD429-CE429,CL429-(AZ429+BD429+BH429+BL429+BP429+BT429+BX429+CB429)))</f>
        <v/>
      </c>
      <c r="CG429" s="152">
        <f>CD429-CE429-CF429</f>
        <v/>
      </c>
      <c r="CH429" s="152">
        <f>IF(CK428&lt;=0.005,0,CK428*(1+CH$6))</f>
        <v/>
      </c>
      <c r="CI429" s="152">
        <f>MIN(CH429,CH$7)</f>
        <v/>
      </c>
      <c r="CJ429" s="152">
        <f>MAX(0,MIN(CH429-CI429,CL429-(AZ429+BD429+BH429+BL429+BP429+BT429+BX429+CB429+CF429)))</f>
        <v/>
      </c>
      <c r="CK429" s="152">
        <f>CH429-CI429-CJ429</f>
        <v/>
      </c>
      <c r="CL429" s="152">
        <f>'Debt Payoff'!$C$8-SUM(AY429,BC429,BG429,BK429,BO429,BS429,BW429,CA429,CE429,CI429)</f>
        <v/>
      </c>
      <c r="CM429" s="152">
        <f>SUM(AY429,BC429,BG429,BK429,BO429,BS429,BW429,CA429,CE429,CI429)+SUM(AZ429,BD429,BH429,BL429,BP429,BT429,BX429,CB429,CF429,CJ429)</f>
        <v/>
      </c>
      <c r="CN429" s="152">
        <f>SUM(BA429,BE429,BI429,BM429,BQ429,BU429,BY429,CC429,CG429,CK429)</f>
        <v/>
      </c>
      <c r="CO429" s="152">
        <f>IF(AW429&gt;CN$6,NA(),AW429)</f>
        <v/>
      </c>
      <c r="CP429" s="152">
        <f>IF(AW429&gt;CN$6,NA(),CN429)</f>
        <v/>
      </c>
    </row>
    <row r="430">
      <c r="B430" s="152" t="n">
        <v>419</v>
      </c>
      <c r="C430" s="152">
        <f>IF(F429&lt;=0.005,0,F429*(1+C$6))</f>
        <v/>
      </c>
      <c r="D430" s="152">
        <f>MIN(C430,C$7)</f>
        <v/>
      </c>
      <c r="E430" s="152">
        <f>MAX(0,MIN(C430-D430,AQ430))</f>
        <v/>
      </c>
      <c r="F430" s="152">
        <f>C430-D430-E430</f>
        <v/>
      </c>
      <c r="G430" s="152">
        <f>IF(J429&lt;=0.005,0,J429*(1+G$6))</f>
        <v/>
      </c>
      <c r="H430" s="152">
        <f>MIN(G430,G$7)</f>
        <v/>
      </c>
      <c r="I430" s="152">
        <f>MAX(0,MIN(G430-H430,AQ430-(E430)))</f>
        <v/>
      </c>
      <c r="J430" s="152">
        <f>G430-H430-I430</f>
        <v/>
      </c>
      <c r="K430" s="152">
        <f>IF(N429&lt;=0.005,0,N429*(1+K$6))</f>
        <v/>
      </c>
      <c r="L430" s="152">
        <f>MIN(K430,K$7)</f>
        <v/>
      </c>
      <c r="M430" s="152">
        <f>MAX(0,MIN(K430-L430,AQ430-(E430+I430)))</f>
        <v/>
      </c>
      <c r="N430" s="152">
        <f>K430-L430-M430</f>
        <v/>
      </c>
      <c r="O430" s="152">
        <f>IF(R429&lt;=0.005,0,R429*(1+O$6))</f>
        <v/>
      </c>
      <c r="P430" s="152">
        <f>MIN(O430,O$7)</f>
        <v/>
      </c>
      <c r="Q430" s="152">
        <f>MAX(0,MIN(O430-P430,AQ430-(E430+I430+M430)))</f>
        <v/>
      </c>
      <c r="R430" s="152">
        <f>O430-P430-Q430</f>
        <v/>
      </c>
      <c r="S430" s="152">
        <f>IF(V429&lt;=0.005,0,V429*(1+S$6))</f>
        <v/>
      </c>
      <c r="T430" s="152">
        <f>MIN(S430,S$7)</f>
        <v/>
      </c>
      <c r="U430" s="152">
        <f>MAX(0,MIN(S430-T430,AQ430-(E430+I430+M430+Q430)))</f>
        <v/>
      </c>
      <c r="V430" s="152">
        <f>S430-T430-U430</f>
        <v/>
      </c>
      <c r="W430" s="152">
        <f>IF(Z429&lt;=0.005,0,Z429*(1+W$6))</f>
        <v/>
      </c>
      <c r="X430" s="152">
        <f>MIN(W430,W$7)</f>
        <v/>
      </c>
      <c r="Y430" s="152">
        <f>MAX(0,MIN(W430-X430,AQ430-(E430+I430+M430+Q430+U430)))</f>
        <v/>
      </c>
      <c r="Z430" s="152">
        <f>W430-X430-Y430</f>
        <v/>
      </c>
      <c r="AA430" s="152">
        <f>IF(AD429&lt;=0.005,0,AD429*(1+AA$6))</f>
        <v/>
      </c>
      <c r="AB430" s="152">
        <f>MIN(AA430,AA$7)</f>
        <v/>
      </c>
      <c r="AC430" s="152">
        <f>MAX(0,MIN(AA430-AB430,AQ430-(E430+I430+M430+Q430+U430+Y430)))</f>
        <v/>
      </c>
      <c r="AD430" s="152">
        <f>AA430-AB430-AC430</f>
        <v/>
      </c>
      <c r="AE430" s="152">
        <f>IF(AH429&lt;=0.005,0,AH429*(1+AE$6))</f>
        <v/>
      </c>
      <c r="AF430" s="152">
        <f>MIN(AE430,AE$7)</f>
        <v/>
      </c>
      <c r="AG430" s="152">
        <f>MAX(0,MIN(AE430-AF430,AQ430-(E430+I430+M430+Q430+U430+Y430+AC430)))</f>
        <v/>
      </c>
      <c r="AH430" s="152">
        <f>AE430-AF430-AG430</f>
        <v/>
      </c>
      <c r="AI430" s="152">
        <f>IF(AL429&lt;=0.005,0,AL429*(1+AI$6))</f>
        <v/>
      </c>
      <c r="AJ430" s="152">
        <f>MIN(AI430,AI$7)</f>
        <v/>
      </c>
      <c r="AK430" s="152">
        <f>MAX(0,MIN(AI430-AJ430,AQ430-(E430+I430+M430+Q430+U430+Y430+AC430+AG430)))</f>
        <v/>
      </c>
      <c r="AL430" s="152">
        <f>AI430-AJ430-AK430</f>
        <v/>
      </c>
      <c r="AM430" s="152">
        <f>IF(AP429&lt;=0.005,0,AP429*(1+AM$6))</f>
        <v/>
      </c>
      <c r="AN430" s="152">
        <f>MIN(AM430,AM$7)</f>
        <v/>
      </c>
      <c r="AO430" s="152">
        <f>MAX(0,MIN(AM430-AN430,AQ430-(E430+I430+M430+Q430+U430+Y430+AC430+AG430+AK430)))</f>
        <v/>
      </c>
      <c r="AP430" s="152">
        <f>AM430-AN430-AO430</f>
        <v/>
      </c>
      <c r="AQ430" s="152">
        <f>'Debt Payoff'!$C$8-SUM(D430,H430,L430,P430,T430,X430,AB430,AF430,AJ430,AN430)</f>
        <v/>
      </c>
      <c r="AR430" s="152">
        <f>SUM(D430,H430,L430,P430,T430,X430,AB430,AF430,AJ430,AN430)+SUM(E430,I430,M430,Q430,U430,Y430,AC430,AG430,AK430,AO430)</f>
        <v/>
      </c>
      <c r="AS430" s="152">
        <f>SUM(F430,J430,N430,R430,V430,Z430,AD430,AH430,AL430,AP430)</f>
        <v/>
      </c>
      <c r="AT430" s="152">
        <f>IF(B430&gt;AS$6,NA(),B430)</f>
        <v/>
      </c>
      <c r="AU430" s="152">
        <f>IF(B430&gt;AS$6,NA(),AS430)</f>
        <v/>
      </c>
      <c r="AV430" s="152" t="n"/>
      <c r="AW430" s="152" t="n">
        <v>419</v>
      </c>
      <c r="AX430" s="152">
        <f>IF(BA429&lt;=0.005,0,BA429*(1+AX$6))</f>
        <v/>
      </c>
      <c r="AY430" s="152">
        <f>MIN(AX430,AX$7)</f>
        <v/>
      </c>
      <c r="AZ430" s="152">
        <f>MAX(0,MIN(AX430-AY430,CL430))</f>
        <v/>
      </c>
      <c r="BA430" s="152">
        <f>AX430-AY430-AZ430</f>
        <v/>
      </c>
      <c r="BB430" s="152">
        <f>IF(BE429&lt;=0.005,0,BE429*(1+BB$6))</f>
        <v/>
      </c>
      <c r="BC430" s="152">
        <f>MIN(BB430,BB$7)</f>
        <v/>
      </c>
      <c r="BD430" s="152">
        <f>MAX(0,MIN(BB430-BC430,CL430-(AZ430)))</f>
        <v/>
      </c>
      <c r="BE430" s="152">
        <f>BB430-BC430-BD430</f>
        <v/>
      </c>
      <c r="BF430" s="152">
        <f>IF(BI429&lt;=0.005,0,BI429*(1+BF$6))</f>
        <v/>
      </c>
      <c r="BG430" s="152">
        <f>MIN(BF430,BF$7)</f>
        <v/>
      </c>
      <c r="BH430" s="152">
        <f>MAX(0,MIN(BF430-BG430,CL430-(AZ430+BD430)))</f>
        <v/>
      </c>
      <c r="BI430" s="152">
        <f>BF430-BG430-BH430</f>
        <v/>
      </c>
      <c r="BJ430" s="152">
        <f>IF(BM429&lt;=0.005,0,BM429*(1+BJ$6))</f>
        <v/>
      </c>
      <c r="BK430" s="152">
        <f>MIN(BJ430,BJ$7)</f>
        <v/>
      </c>
      <c r="BL430" s="152">
        <f>MAX(0,MIN(BJ430-BK430,CL430-(AZ430+BD430+BH430)))</f>
        <v/>
      </c>
      <c r="BM430" s="152">
        <f>BJ430-BK430-BL430</f>
        <v/>
      </c>
      <c r="BN430" s="152">
        <f>IF(BQ429&lt;=0.005,0,BQ429*(1+BN$6))</f>
        <v/>
      </c>
      <c r="BO430" s="152">
        <f>MIN(BN430,BN$7)</f>
        <v/>
      </c>
      <c r="BP430" s="152">
        <f>MAX(0,MIN(BN430-BO430,CL430-(AZ430+BD430+BH430+BL430)))</f>
        <v/>
      </c>
      <c r="BQ430" s="152">
        <f>BN430-BO430-BP430</f>
        <v/>
      </c>
      <c r="BR430" s="152">
        <f>IF(BU429&lt;=0.005,0,BU429*(1+BR$6))</f>
        <v/>
      </c>
      <c r="BS430" s="152">
        <f>MIN(BR430,BR$7)</f>
        <v/>
      </c>
      <c r="BT430" s="152">
        <f>MAX(0,MIN(BR430-BS430,CL430-(AZ430+BD430+BH430+BL430+BP430)))</f>
        <v/>
      </c>
      <c r="BU430" s="152">
        <f>BR430-BS430-BT430</f>
        <v/>
      </c>
      <c r="BV430" s="152">
        <f>IF(BY429&lt;=0.005,0,BY429*(1+BV$6))</f>
        <v/>
      </c>
      <c r="BW430" s="152">
        <f>MIN(BV430,BV$7)</f>
        <v/>
      </c>
      <c r="BX430" s="152">
        <f>MAX(0,MIN(BV430-BW430,CL430-(AZ430+BD430+BH430+BL430+BP430+BT430)))</f>
        <v/>
      </c>
      <c r="BY430" s="152">
        <f>BV430-BW430-BX430</f>
        <v/>
      </c>
      <c r="BZ430" s="152">
        <f>IF(CC429&lt;=0.005,0,CC429*(1+BZ$6))</f>
        <v/>
      </c>
      <c r="CA430" s="152">
        <f>MIN(BZ430,BZ$7)</f>
        <v/>
      </c>
      <c r="CB430" s="152">
        <f>MAX(0,MIN(BZ430-CA430,CL430-(AZ430+BD430+BH430+BL430+BP430+BT430+BX430)))</f>
        <v/>
      </c>
      <c r="CC430" s="152">
        <f>BZ430-CA430-CB430</f>
        <v/>
      </c>
      <c r="CD430" s="152">
        <f>IF(CG429&lt;=0.005,0,CG429*(1+CD$6))</f>
        <v/>
      </c>
      <c r="CE430" s="152">
        <f>MIN(CD430,CD$7)</f>
        <v/>
      </c>
      <c r="CF430" s="152">
        <f>MAX(0,MIN(CD430-CE430,CL430-(AZ430+BD430+BH430+BL430+BP430+BT430+BX430+CB430)))</f>
        <v/>
      </c>
      <c r="CG430" s="152">
        <f>CD430-CE430-CF430</f>
        <v/>
      </c>
      <c r="CH430" s="152">
        <f>IF(CK429&lt;=0.005,0,CK429*(1+CH$6))</f>
        <v/>
      </c>
      <c r="CI430" s="152">
        <f>MIN(CH430,CH$7)</f>
        <v/>
      </c>
      <c r="CJ430" s="152">
        <f>MAX(0,MIN(CH430-CI430,CL430-(AZ430+BD430+BH430+BL430+BP430+BT430+BX430+CB430+CF430)))</f>
        <v/>
      </c>
      <c r="CK430" s="152">
        <f>CH430-CI430-CJ430</f>
        <v/>
      </c>
      <c r="CL430" s="152">
        <f>'Debt Payoff'!$C$8-SUM(AY430,BC430,BG430,BK430,BO430,BS430,BW430,CA430,CE430,CI430)</f>
        <v/>
      </c>
      <c r="CM430" s="152">
        <f>SUM(AY430,BC430,BG430,BK430,BO430,BS430,BW430,CA430,CE430,CI430)+SUM(AZ430,BD430,BH430,BL430,BP430,BT430,BX430,CB430,CF430,CJ430)</f>
        <v/>
      </c>
      <c r="CN430" s="152">
        <f>SUM(BA430,BE430,BI430,BM430,BQ430,BU430,BY430,CC430,CG430,CK430)</f>
        <v/>
      </c>
      <c r="CO430" s="152">
        <f>IF(AW430&gt;CN$6,NA(),AW430)</f>
        <v/>
      </c>
      <c r="CP430" s="152">
        <f>IF(AW430&gt;CN$6,NA(),CN430)</f>
        <v/>
      </c>
    </row>
    <row r="431">
      <c r="B431" s="152" t="n">
        <v>420</v>
      </c>
      <c r="C431" s="152">
        <f>IF(F430&lt;=0.005,0,F430*(1+C$6))</f>
        <v/>
      </c>
      <c r="D431" s="152">
        <f>MIN(C431,C$7)</f>
        <v/>
      </c>
      <c r="E431" s="152">
        <f>MAX(0,MIN(C431-D431,AQ431))</f>
        <v/>
      </c>
      <c r="F431" s="152">
        <f>C431-D431-E431</f>
        <v/>
      </c>
      <c r="G431" s="152">
        <f>IF(J430&lt;=0.005,0,J430*(1+G$6))</f>
        <v/>
      </c>
      <c r="H431" s="152">
        <f>MIN(G431,G$7)</f>
        <v/>
      </c>
      <c r="I431" s="152">
        <f>MAX(0,MIN(G431-H431,AQ431-(E431)))</f>
        <v/>
      </c>
      <c r="J431" s="152">
        <f>G431-H431-I431</f>
        <v/>
      </c>
      <c r="K431" s="152">
        <f>IF(N430&lt;=0.005,0,N430*(1+K$6))</f>
        <v/>
      </c>
      <c r="L431" s="152">
        <f>MIN(K431,K$7)</f>
        <v/>
      </c>
      <c r="M431" s="152">
        <f>MAX(0,MIN(K431-L431,AQ431-(E431+I431)))</f>
        <v/>
      </c>
      <c r="N431" s="152">
        <f>K431-L431-M431</f>
        <v/>
      </c>
      <c r="O431" s="152">
        <f>IF(R430&lt;=0.005,0,R430*(1+O$6))</f>
        <v/>
      </c>
      <c r="P431" s="152">
        <f>MIN(O431,O$7)</f>
        <v/>
      </c>
      <c r="Q431" s="152">
        <f>MAX(0,MIN(O431-P431,AQ431-(E431+I431+M431)))</f>
        <v/>
      </c>
      <c r="R431" s="152">
        <f>O431-P431-Q431</f>
        <v/>
      </c>
      <c r="S431" s="152">
        <f>IF(V430&lt;=0.005,0,V430*(1+S$6))</f>
        <v/>
      </c>
      <c r="T431" s="152">
        <f>MIN(S431,S$7)</f>
        <v/>
      </c>
      <c r="U431" s="152">
        <f>MAX(0,MIN(S431-T431,AQ431-(E431+I431+M431+Q431)))</f>
        <v/>
      </c>
      <c r="V431" s="152">
        <f>S431-T431-U431</f>
        <v/>
      </c>
      <c r="W431" s="152">
        <f>IF(Z430&lt;=0.005,0,Z430*(1+W$6))</f>
        <v/>
      </c>
      <c r="X431" s="152">
        <f>MIN(W431,W$7)</f>
        <v/>
      </c>
      <c r="Y431" s="152">
        <f>MAX(0,MIN(W431-X431,AQ431-(E431+I431+M431+Q431+U431)))</f>
        <v/>
      </c>
      <c r="Z431" s="152">
        <f>W431-X431-Y431</f>
        <v/>
      </c>
      <c r="AA431" s="152">
        <f>IF(AD430&lt;=0.005,0,AD430*(1+AA$6))</f>
        <v/>
      </c>
      <c r="AB431" s="152">
        <f>MIN(AA431,AA$7)</f>
        <v/>
      </c>
      <c r="AC431" s="152">
        <f>MAX(0,MIN(AA431-AB431,AQ431-(E431+I431+M431+Q431+U431+Y431)))</f>
        <v/>
      </c>
      <c r="AD431" s="152">
        <f>AA431-AB431-AC431</f>
        <v/>
      </c>
      <c r="AE431" s="152">
        <f>IF(AH430&lt;=0.005,0,AH430*(1+AE$6))</f>
        <v/>
      </c>
      <c r="AF431" s="152">
        <f>MIN(AE431,AE$7)</f>
        <v/>
      </c>
      <c r="AG431" s="152">
        <f>MAX(0,MIN(AE431-AF431,AQ431-(E431+I431+M431+Q431+U431+Y431+AC431)))</f>
        <v/>
      </c>
      <c r="AH431" s="152">
        <f>AE431-AF431-AG431</f>
        <v/>
      </c>
      <c r="AI431" s="152">
        <f>IF(AL430&lt;=0.005,0,AL430*(1+AI$6))</f>
        <v/>
      </c>
      <c r="AJ431" s="152">
        <f>MIN(AI431,AI$7)</f>
        <v/>
      </c>
      <c r="AK431" s="152">
        <f>MAX(0,MIN(AI431-AJ431,AQ431-(E431+I431+M431+Q431+U431+Y431+AC431+AG431)))</f>
        <v/>
      </c>
      <c r="AL431" s="152">
        <f>AI431-AJ431-AK431</f>
        <v/>
      </c>
      <c r="AM431" s="152">
        <f>IF(AP430&lt;=0.005,0,AP430*(1+AM$6))</f>
        <v/>
      </c>
      <c r="AN431" s="152">
        <f>MIN(AM431,AM$7)</f>
        <v/>
      </c>
      <c r="AO431" s="152">
        <f>MAX(0,MIN(AM431-AN431,AQ431-(E431+I431+M431+Q431+U431+Y431+AC431+AG431+AK431)))</f>
        <v/>
      </c>
      <c r="AP431" s="152">
        <f>AM431-AN431-AO431</f>
        <v/>
      </c>
      <c r="AQ431" s="152">
        <f>'Debt Payoff'!$C$8-SUM(D431,H431,L431,P431,T431,X431,AB431,AF431,AJ431,AN431)</f>
        <v/>
      </c>
      <c r="AR431" s="152">
        <f>SUM(D431,H431,L431,P431,T431,X431,AB431,AF431,AJ431,AN431)+SUM(E431,I431,M431,Q431,U431,Y431,AC431,AG431,AK431,AO431)</f>
        <v/>
      </c>
      <c r="AS431" s="152">
        <f>SUM(F431,J431,N431,R431,V431,Z431,AD431,AH431,AL431,AP431)</f>
        <v/>
      </c>
      <c r="AT431" s="152">
        <f>IF(B431&gt;AS$6,NA(),B431)</f>
        <v/>
      </c>
      <c r="AU431" s="152">
        <f>IF(B431&gt;AS$6,NA(),AS431)</f>
        <v/>
      </c>
      <c r="AV431" s="152" t="n"/>
      <c r="AW431" s="152" t="n">
        <v>420</v>
      </c>
      <c r="AX431" s="152">
        <f>IF(BA430&lt;=0.005,0,BA430*(1+AX$6))</f>
        <v/>
      </c>
      <c r="AY431" s="152">
        <f>MIN(AX431,AX$7)</f>
        <v/>
      </c>
      <c r="AZ431" s="152">
        <f>MAX(0,MIN(AX431-AY431,CL431))</f>
        <v/>
      </c>
      <c r="BA431" s="152">
        <f>AX431-AY431-AZ431</f>
        <v/>
      </c>
      <c r="BB431" s="152">
        <f>IF(BE430&lt;=0.005,0,BE430*(1+BB$6))</f>
        <v/>
      </c>
      <c r="BC431" s="152">
        <f>MIN(BB431,BB$7)</f>
        <v/>
      </c>
      <c r="BD431" s="152">
        <f>MAX(0,MIN(BB431-BC431,CL431-(AZ431)))</f>
        <v/>
      </c>
      <c r="BE431" s="152">
        <f>BB431-BC431-BD431</f>
        <v/>
      </c>
      <c r="BF431" s="152">
        <f>IF(BI430&lt;=0.005,0,BI430*(1+BF$6))</f>
        <v/>
      </c>
      <c r="BG431" s="152">
        <f>MIN(BF431,BF$7)</f>
        <v/>
      </c>
      <c r="BH431" s="152">
        <f>MAX(0,MIN(BF431-BG431,CL431-(AZ431+BD431)))</f>
        <v/>
      </c>
      <c r="BI431" s="152">
        <f>BF431-BG431-BH431</f>
        <v/>
      </c>
      <c r="BJ431" s="152">
        <f>IF(BM430&lt;=0.005,0,BM430*(1+BJ$6))</f>
        <v/>
      </c>
      <c r="BK431" s="152">
        <f>MIN(BJ431,BJ$7)</f>
        <v/>
      </c>
      <c r="BL431" s="152">
        <f>MAX(0,MIN(BJ431-BK431,CL431-(AZ431+BD431+BH431)))</f>
        <v/>
      </c>
      <c r="BM431" s="152">
        <f>BJ431-BK431-BL431</f>
        <v/>
      </c>
      <c r="BN431" s="152">
        <f>IF(BQ430&lt;=0.005,0,BQ430*(1+BN$6))</f>
        <v/>
      </c>
      <c r="BO431" s="152">
        <f>MIN(BN431,BN$7)</f>
        <v/>
      </c>
      <c r="BP431" s="152">
        <f>MAX(0,MIN(BN431-BO431,CL431-(AZ431+BD431+BH431+BL431)))</f>
        <v/>
      </c>
      <c r="BQ431" s="152">
        <f>BN431-BO431-BP431</f>
        <v/>
      </c>
      <c r="BR431" s="152">
        <f>IF(BU430&lt;=0.005,0,BU430*(1+BR$6))</f>
        <v/>
      </c>
      <c r="BS431" s="152">
        <f>MIN(BR431,BR$7)</f>
        <v/>
      </c>
      <c r="BT431" s="152">
        <f>MAX(0,MIN(BR431-BS431,CL431-(AZ431+BD431+BH431+BL431+BP431)))</f>
        <v/>
      </c>
      <c r="BU431" s="152">
        <f>BR431-BS431-BT431</f>
        <v/>
      </c>
      <c r="BV431" s="152">
        <f>IF(BY430&lt;=0.005,0,BY430*(1+BV$6))</f>
        <v/>
      </c>
      <c r="BW431" s="152">
        <f>MIN(BV431,BV$7)</f>
        <v/>
      </c>
      <c r="BX431" s="152">
        <f>MAX(0,MIN(BV431-BW431,CL431-(AZ431+BD431+BH431+BL431+BP431+BT431)))</f>
        <v/>
      </c>
      <c r="BY431" s="152">
        <f>BV431-BW431-BX431</f>
        <v/>
      </c>
      <c r="BZ431" s="152">
        <f>IF(CC430&lt;=0.005,0,CC430*(1+BZ$6))</f>
        <v/>
      </c>
      <c r="CA431" s="152">
        <f>MIN(BZ431,BZ$7)</f>
        <v/>
      </c>
      <c r="CB431" s="152">
        <f>MAX(0,MIN(BZ431-CA431,CL431-(AZ431+BD431+BH431+BL431+BP431+BT431+BX431)))</f>
        <v/>
      </c>
      <c r="CC431" s="152">
        <f>BZ431-CA431-CB431</f>
        <v/>
      </c>
      <c r="CD431" s="152">
        <f>IF(CG430&lt;=0.005,0,CG430*(1+CD$6))</f>
        <v/>
      </c>
      <c r="CE431" s="152">
        <f>MIN(CD431,CD$7)</f>
        <v/>
      </c>
      <c r="CF431" s="152">
        <f>MAX(0,MIN(CD431-CE431,CL431-(AZ431+BD431+BH431+BL431+BP431+BT431+BX431+CB431)))</f>
        <v/>
      </c>
      <c r="CG431" s="152">
        <f>CD431-CE431-CF431</f>
        <v/>
      </c>
      <c r="CH431" s="152">
        <f>IF(CK430&lt;=0.005,0,CK430*(1+CH$6))</f>
        <v/>
      </c>
      <c r="CI431" s="152">
        <f>MIN(CH431,CH$7)</f>
        <v/>
      </c>
      <c r="CJ431" s="152">
        <f>MAX(0,MIN(CH431-CI431,CL431-(AZ431+BD431+BH431+BL431+BP431+BT431+BX431+CB431+CF431)))</f>
        <v/>
      </c>
      <c r="CK431" s="152">
        <f>CH431-CI431-CJ431</f>
        <v/>
      </c>
      <c r="CL431" s="152">
        <f>'Debt Payoff'!$C$8-SUM(AY431,BC431,BG431,BK431,BO431,BS431,BW431,CA431,CE431,CI431)</f>
        <v/>
      </c>
      <c r="CM431" s="152">
        <f>SUM(AY431,BC431,BG431,BK431,BO431,BS431,BW431,CA431,CE431,CI431)+SUM(AZ431,BD431,BH431,BL431,BP431,BT431,BX431,CB431,CF431,CJ431)</f>
        <v/>
      </c>
      <c r="CN431" s="152">
        <f>SUM(BA431,BE431,BI431,BM431,BQ431,BU431,BY431,CC431,CG431,CK431)</f>
        <v/>
      </c>
      <c r="CO431" s="152">
        <f>IF(AW431&gt;CN$6,NA(),AW431)</f>
        <v/>
      </c>
      <c r="CP431" s="152">
        <f>IF(AW431&gt;CN$6,NA(),CN431)</f>
        <v/>
      </c>
    </row>
    <row r="432">
      <c r="B432" s="152" t="n">
        <v>421</v>
      </c>
      <c r="C432" s="152">
        <f>IF(F431&lt;=0.005,0,F431*(1+C$6))</f>
        <v/>
      </c>
      <c r="D432" s="152">
        <f>MIN(C432,C$7)</f>
        <v/>
      </c>
      <c r="E432" s="152">
        <f>MAX(0,MIN(C432-D432,AQ432))</f>
        <v/>
      </c>
      <c r="F432" s="152">
        <f>C432-D432-E432</f>
        <v/>
      </c>
      <c r="G432" s="152">
        <f>IF(J431&lt;=0.005,0,J431*(1+G$6))</f>
        <v/>
      </c>
      <c r="H432" s="152">
        <f>MIN(G432,G$7)</f>
        <v/>
      </c>
      <c r="I432" s="152">
        <f>MAX(0,MIN(G432-H432,AQ432-(E432)))</f>
        <v/>
      </c>
      <c r="J432" s="152">
        <f>G432-H432-I432</f>
        <v/>
      </c>
      <c r="K432" s="152">
        <f>IF(N431&lt;=0.005,0,N431*(1+K$6))</f>
        <v/>
      </c>
      <c r="L432" s="152">
        <f>MIN(K432,K$7)</f>
        <v/>
      </c>
      <c r="M432" s="152">
        <f>MAX(0,MIN(K432-L432,AQ432-(E432+I432)))</f>
        <v/>
      </c>
      <c r="N432" s="152">
        <f>K432-L432-M432</f>
        <v/>
      </c>
      <c r="O432" s="152">
        <f>IF(R431&lt;=0.005,0,R431*(1+O$6))</f>
        <v/>
      </c>
      <c r="P432" s="152">
        <f>MIN(O432,O$7)</f>
        <v/>
      </c>
      <c r="Q432" s="152">
        <f>MAX(0,MIN(O432-P432,AQ432-(E432+I432+M432)))</f>
        <v/>
      </c>
      <c r="R432" s="152">
        <f>O432-P432-Q432</f>
        <v/>
      </c>
      <c r="S432" s="152">
        <f>IF(V431&lt;=0.005,0,V431*(1+S$6))</f>
        <v/>
      </c>
      <c r="T432" s="152">
        <f>MIN(S432,S$7)</f>
        <v/>
      </c>
      <c r="U432" s="152">
        <f>MAX(0,MIN(S432-T432,AQ432-(E432+I432+M432+Q432)))</f>
        <v/>
      </c>
      <c r="V432" s="152">
        <f>S432-T432-U432</f>
        <v/>
      </c>
      <c r="W432" s="152">
        <f>IF(Z431&lt;=0.005,0,Z431*(1+W$6))</f>
        <v/>
      </c>
      <c r="X432" s="152">
        <f>MIN(W432,W$7)</f>
        <v/>
      </c>
      <c r="Y432" s="152">
        <f>MAX(0,MIN(W432-X432,AQ432-(E432+I432+M432+Q432+U432)))</f>
        <v/>
      </c>
      <c r="Z432" s="152">
        <f>W432-X432-Y432</f>
        <v/>
      </c>
      <c r="AA432" s="152">
        <f>IF(AD431&lt;=0.005,0,AD431*(1+AA$6))</f>
        <v/>
      </c>
      <c r="AB432" s="152">
        <f>MIN(AA432,AA$7)</f>
        <v/>
      </c>
      <c r="AC432" s="152">
        <f>MAX(0,MIN(AA432-AB432,AQ432-(E432+I432+M432+Q432+U432+Y432)))</f>
        <v/>
      </c>
      <c r="AD432" s="152">
        <f>AA432-AB432-AC432</f>
        <v/>
      </c>
      <c r="AE432" s="152">
        <f>IF(AH431&lt;=0.005,0,AH431*(1+AE$6))</f>
        <v/>
      </c>
      <c r="AF432" s="152">
        <f>MIN(AE432,AE$7)</f>
        <v/>
      </c>
      <c r="AG432" s="152">
        <f>MAX(0,MIN(AE432-AF432,AQ432-(E432+I432+M432+Q432+U432+Y432+AC432)))</f>
        <v/>
      </c>
      <c r="AH432" s="152">
        <f>AE432-AF432-AG432</f>
        <v/>
      </c>
      <c r="AI432" s="152">
        <f>IF(AL431&lt;=0.005,0,AL431*(1+AI$6))</f>
        <v/>
      </c>
      <c r="AJ432" s="152">
        <f>MIN(AI432,AI$7)</f>
        <v/>
      </c>
      <c r="AK432" s="152">
        <f>MAX(0,MIN(AI432-AJ432,AQ432-(E432+I432+M432+Q432+U432+Y432+AC432+AG432)))</f>
        <v/>
      </c>
      <c r="AL432" s="152">
        <f>AI432-AJ432-AK432</f>
        <v/>
      </c>
      <c r="AM432" s="152">
        <f>IF(AP431&lt;=0.005,0,AP431*(1+AM$6))</f>
        <v/>
      </c>
      <c r="AN432" s="152">
        <f>MIN(AM432,AM$7)</f>
        <v/>
      </c>
      <c r="AO432" s="152">
        <f>MAX(0,MIN(AM432-AN432,AQ432-(E432+I432+M432+Q432+U432+Y432+AC432+AG432+AK432)))</f>
        <v/>
      </c>
      <c r="AP432" s="152">
        <f>AM432-AN432-AO432</f>
        <v/>
      </c>
      <c r="AQ432" s="152">
        <f>'Debt Payoff'!$C$8-SUM(D432,H432,L432,P432,T432,X432,AB432,AF432,AJ432,AN432)</f>
        <v/>
      </c>
      <c r="AR432" s="152">
        <f>SUM(D432,H432,L432,P432,T432,X432,AB432,AF432,AJ432,AN432)+SUM(E432,I432,M432,Q432,U432,Y432,AC432,AG432,AK432,AO432)</f>
        <v/>
      </c>
      <c r="AS432" s="152">
        <f>SUM(F432,J432,N432,R432,V432,Z432,AD432,AH432,AL432,AP432)</f>
        <v/>
      </c>
      <c r="AT432" s="152">
        <f>IF(B432&gt;AS$6,NA(),B432)</f>
        <v/>
      </c>
      <c r="AU432" s="152">
        <f>IF(B432&gt;AS$6,NA(),AS432)</f>
        <v/>
      </c>
      <c r="AV432" s="152" t="n"/>
      <c r="AW432" s="152" t="n">
        <v>421</v>
      </c>
      <c r="AX432" s="152">
        <f>IF(BA431&lt;=0.005,0,BA431*(1+AX$6))</f>
        <v/>
      </c>
      <c r="AY432" s="152">
        <f>MIN(AX432,AX$7)</f>
        <v/>
      </c>
      <c r="AZ432" s="152">
        <f>MAX(0,MIN(AX432-AY432,CL432))</f>
        <v/>
      </c>
      <c r="BA432" s="152">
        <f>AX432-AY432-AZ432</f>
        <v/>
      </c>
      <c r="BB432" s="152">
        <f>IF(BE431&lt;=0.005,0,BE431*(1+BB$6))</f>
        <v/>
      </c>
      <c r="BC432" s="152">
        <f>MIN(BB432,BB$7)</f>
        <v/>
      </c>
      <c r="BD432" s="152">
        <f>MAX(0,MIN(BB432-BC432,CL432-(AZ432)))</f>
        <v/>
      </c>
      <c r="BE432" s="152">
        <f>BB432-BC432-BD432</f>
        <v/>
      </c>
      <c r="BF432" s="152">
        <f>IF(BI431&lt;=0.005,0,BI431*(1+BF$6))</f>
        <v/>
      </c>
      <c r="BG432" s="152">
        <f>MIN(BF432,BF$7)</f>
        <v/>
      </c>
      <c r="BH432" s="152">
        <f>MAX(0,MIN(BF432-BG432,CL432-(AZ432+BD432)))</f>
        <v/>
      </c>
      <c r="BI432" s="152">
        <f>BF432-BG432-BH432</f>
        <v/>
      </c>
      <c r="BJ432" s="152">
        <f>IF(BM431&lt;=0.005,0,BM431*(1+BJ$6))</f>
        <v/>
      </c>
      <c r="BK432" s="152">
        <f>MIN(BJ432,BJ$7)</f>
        <v/>
      </c>
      <c r="BL432" s="152">
        <f>MAX(0,MIN(BJ432-BK432,CL432-(AZ432+BD432+BH432)))</f>
        <v/>
      </c>
      <c r="BM432" s="152">
        <f>BJ432-BK432-BL432</f>
        <v/>
      </c>
      <c r="BN432" s="152">
        <f>IF(BQ431&lt;=0.005,0,BQ431*(1+BN$6))</f>
        <v/>
      </c>
      <c r="BO432" s="152">
        <f>MIN(BN432,BN$7)</f>
        <v/>
      </c>
      <c r="BP432" s="152">
        <f>MAX(0,MIN(BN432-BO432,CL432-(AZ432+BD432+BH432+BL432)))</f>
        <v/>
      </c>
      <c r="BQ432" s="152">
        <f>BN432-BO432-BP432</f>
        <v/>
      </c>
      <c r="BR432" s="152">
        <f>IF(BU431&lt;=0.005,0,BU431*(1+BR$6))</f>
        <v/>
      </c>
      <c r="BS432" s="152">
        <f>MIN(BR432,BR$7)</f>
        <v/>
      </c>
      <c r="BT432" s="152">
        <f>MAX(0,MIN(BR432-BS432,CL432-(AZ432+BD432+BH432+BL432+BP432)))</f>
        <v/>
      </c>
      <c r="BU432" s="152">
        <f>BR432-BS432-BT432</f>
        <v/>
      </c>
      <c r="BV432" s="152">
        <f>IF(BY431&lt;=0.005,0,BY431*(1+BV$6))</f>
        <v/>
      </c>
      <c r="BW432" s="152">
        <f>MIN(BV432,BV$7)</f>
        <v/>
      </c>
      <c r="BX432" s="152">
        <f>MAX(0,MIN(BV432-BW432,CL432-(AZ432+BD432+BH432+BL432+BP432+BT432)))</f>
        <v/>
      </c>
      <c r="BY432" s="152">
        <f>BV432-BW432-BX432</f>
        <v/>
      </c>
      <c r="BZ432" s="152">
        <f>IF(CC431&lt;=0.005,0,CC431*(1+BZ$6))</f>
        <v/>
      </c>
      <c r="CA432" s="152">
        <f>MIN(BZ432,BZ$7)</f>
        <v/>
      </c>
      <c r="CB432" s="152">
        <f>MAX(0,MIN(BZ432-CA432,CL432-(AZ432+BD432+BH432+BL432+BP432+BT432+BX432)))</f>
        <v/>
      </c>
      <c r="CC432" s="152">
        <f>BZ432-CA432-CB432</f>
        <v/>
      </c>
      <c r="CD432" s="152">
        <f>IF(CG431&lt;=0.005,0,CG431*(1+CD$6))</f>
        <v/>
      </c>
      <c r="CE432" s="152">
        <f>MIN(CD432,CD$7)</f>
        <v/>
      </c>
      <c r="CF432" s="152">
        <f>MAX(0,MIN(CD432-CE432,CL432-(AZ432+BD432+BH432+BL432+BP432+BT432+BX432+CB432)))</f>
        <v/>
      </c>
      <c r="CG432" s="152">
        <f>CD432-CE432-CF432</f>
        <v/>
      </c>
      <c r="CH432" s="152">
        <f>IF(CK431&lt;=0.005,0,CK431*(1+CH$6))</f>
        <v/>
      </c>
      <c r="CI432" s="152">
        <f>MIN(CH432,CH$7)</f>
        <v/>
      </c>
      <c r="CJ432" s="152">
        <f>MAX(0,MIN(CH432-CI432,CL432-(AZ432+BD432+BH432+BL432+BP432+BT432+BX432+CB432+CF432)))</f>
        <v/>
      </c>
      <c r="CK432" s="152">
        <f>CH432-CI432-CJ432</f>
        <v/>
      </c>
      <c r="CL432" s="152">
        <f>'Debt Payoff'!$C$8-SUM(AY432,BC432,BG432,BK432,BO432,BS432,BW432,CA432,CE432,CI432)</f>
        <v/>
      </c>
      <c r="CM432" s="152">
        <f>SUM(AY432,BC432,BG432,BK432,BO432,BS432,BW432,CA432,CE432,CI432)+SUM(AZ432,BD432,BH432,BL432,BP432,BT432,BX432,CB432,CF432,CJ432)</f>
        <v/>
      </c>
      <c r="CN432" s="152">
        <f>SUM(BA432,BE432,BI432,BM432,BQ432,BU432,BY432,CC432,CG432,CK432)</f>
        <v/>
      </c>
      <c r="CO432" s="152">
        <f>IF(AW432&gt;CN$6,NA(),AW432)</f>
        <v/>
      </c>
      <c r="CP432" s="152">
        <f>IF(AW432&gt;CN$6,NA(),CN432)</f>
        <v/>
      </c>
    </row>
    <row r="433">
      <c r="B433" s="152" t="n">
        <v>422</v>
      </c>
      <c r="C433" s="152">
        <f>IF(F432&lt;=0.005,0,F432*(1+C$6))</f>
        <v/>
      </c>
      <c r="D433" s="152">
        <f>MIN(C433,C$7)</f>
        <v/>
      </c>
      <c r="E433" s="152">
        <f>MAX(0,MIN(C433-D433,AQ433))</f>
        <v/>
      </c>
      <c r="F433" s="152">
        <f>C433-D433-E433</f>
        <v/>
      </c>
      <c r="G433" s="152">
        <f>IF(J432&lt;=0.005,0,J432*(1+G$6))</f>
        <v/>
      </c>
      <c r="H433" s="152">
        <f>MIN(G433,G$7)</f>
        <v/>
      </c>
      <c r="I433" s="152">
        <f>MAX(0,MIN(G433-H433,AQ433-(E433)))</f>
        <v/>
      </c>
      <c r="J433" s="152">
        <f>G433-H433-I433</f>
        <v/>
      </c>
      <c r="K433" s="152">
        <f>IF(N432&lt;=0.005,0,N432*(1+K$6))</f>
        <v/>
      </c>
      <c r="L433" s="152">
        <f>MIN(K433,K$7)</f>
        <v/>
      </c>
      <c r="M433" s="152">
        <f>MAX(0,MIN(K433-L433,AQ433-(E433+I433)))</f>
        <v/>
      </c>
      <c r="N433" s="152">
        <f>K433-L433-M433</f>
        <v/>
      </c>
      <c r="O433" s="152">
        <f>IF(R432&lt;=0.005,0,R432*(1+O$6))</f>
        <v/>
      </c>
      <c r="P433" s="152">
        <f>MIN(O433,O$7)</f>
        <v/>
      </c>
      <c r="Q433" s="152">
        <f>MAX(0,MIN(O433-P433,AQ433-(E433+I433+M433)))</f>
        <v/>
      </c>
      <c r="R433" s="152">
        <f>O433-P433-Q433</f>
        <v/>
      </c>
      <c r="S433" s="152">
        <f>IF(V432&lt;=0.005,0,V432*(1+S$6))</f>
        <v/>
      </c>
      <c r="T433" s="152">
        <f>MIN(S433,S$7)</f>
        <v/>
      </c>
      <c r="U433" s="152">
        <f>MAX(0,MIN(S433-T433,AQ433-(E433+I433+M433+Q433)))</f>
        <v/>
      </c>
      <c r="V433" s="152">
        <f>S433-T433-U433</f>
        <v/>
      </c>
      <c r="W433" s="152">
        <f>IF(Z432&lt;=0.005,0,Z432*(1+W$6))</f>
        <v/>
      </c>
      <c r="X433" s="152">
        <f>MIN(W433,W$7)</f>
        <v/>
      </c>
      <c r="Y433" s="152">
        <f>MAX(0,MIN(W433-X433,AQ433-(E433+I433+M433+Q433+U433)))</f>
        <v/>
      </c>
      <c r="Z433" s="152">
        <f>W433-X433-Y433</f>
        <v/>
      </c>
      <c r="AA433" s="152">
        <f>IF(AD432&lt;=0.005,0,AD432*(1+AA$6))</f>
        <v/>
      </c>
      <c r="AB433" s="152">
        <f>MIN(AA433,AA$7)</f>
        <v/>
      </c>
      <c r="AC433" s="152">
        <f>MAX(0,MIN(AA433-AB433,AQ433-(E433+I433+M433+Q433+U433+Y433)))</f>
        <v/>
      </c>
      <c r="AD433" s="152">
        <f>AA433-AB433-AC433</f>
        <v/>
      </c>
      <c r="AE433" s="152">
        <f>IF(AH432&lt;=0.005,0,AH432*(1+AE$6))</f>
        <v/>
      </c>
      <c r="AF433" s="152">
        <f>MIN(AE433,AE$7)</f>
        <v/>
      </c>
      <c r="AG433" s="152">
        <f>MAX(0,MIN(AE433-AF433,AQ433-(E433+I433+M433+Q433+U433+Y433+AC433)))</f>
        <v/>
      </c>
      <c r="AH433" s="152">
        <f>AE433-AF433-AG433</f>
        <v/>
      </c>
      <c r="AI433" s="152">
        <f>IF(AL432&lt;=0.005,0,AL432*(1+AI$6))</f>
        <v/>
      </c>
      <c r="AJ433" s="152">
        <f>MIN(AI433,AI$7)</f>
        <v/>
      </c>
      <c r="AK433" s="152">
        <f>MAX(0,MIN(AI433-AJ433,AQ433-(E433+I433+M433+Q433+U433+Y433+AC433+AG433)))</f>
        <v/>
      </c>
      <c r="AL433" s="152">
        <f>AI433-AJ433-AK433</f>
        <v/>
      </c>
      <c r="AM433" s="152">
        <f>IF(AP432&lt;=0.005,0,AP432*(1+AM$6))</f>
        <v/>
      </c>
      <c r="AN433" s="152">
        <f>MIN(AM433,AM$7)</f>
        <v/>
      </c>
      <c r="AO433" s="152">
        <f>MAX(0,MIN(AM433-AN433,AQ433-(E433+I433+M433+Q433+U433+Y433+AC433+AG433+AK433)))</f>
        <v/>
      </c>
      <c r="AP433" s="152">
        <f>AM433-AN433-AO433</f>
        <v/>
      </c>
      <c r="AQ433" s="152">
        <f>'Debt Payoff'!$C$8-SUM(D433,H433,L433,P433,T433,X433,AB433,AF433,AJ433,AN433)</f>
        <v/>
      </c>
      <c r="AR433" s="152">
        <f>SUM(D433,H433,L433,P433,T433,X433,AB433,AF433,AJ433,AN433)+SUM(E433,I433,M433,Q433,U433,Y433,AC433,AG433,AK433,AO433)</f>
        <v/>
      </c>
      <c r="AS433" s="152">
        <f>SUM(F433,J433,N433,R433,V433,Z433,AD433,AH433,AL433,AP433)</f>
        <v/>
      </c>
      <c r="AT433" s="152">
        <f>IF(B433&gt;AS$6,NA(),B433)</f>
        <v/>
      </c>
      <c r="AU433" s="152">
        <f>IF(B433&gt;AS$6,NA(),AS433)</f>
        <v/>
      </c>
      <c r="AV433" s="152" t="n"/>
      <c r="AW433" s="152" t="n">
        <v>422</v>
      </c>
      <c r="AX433" s="152">
        <f>IF(BA432&lt;=0.005,0,BA432*(1+AX$6))</f>
        <v/>
      </c>
      <c r="AY433" s="152">
        <f>MIN(AX433,AX$7)</f>
        <v/>
      </c>
      <c r="AZ433" s="152">
        <f>MAX(0,MIN(AX433-AY433,CL433))</f>
        <v/>
      </c>
      <c r="BA433" s="152">
        <f>AX433-AY433-AZ433</f>
        <v/>
      </c>
      <c r="BB433" s="152">
        <f>IF(BE432&lt;=0.005,0,BE432*(1+BB$6))</f>
        <v/>
      </c>
      <c r="BC433" s="152">
        <f>MIN(BB433,BB$7)</f>
        <v/>
      </c>
      <c r="BD433" s="152">
        <f>MAX(0,MIN(BB433-BC433,CL433-(AZ433)))</f>
        <v/>
      </c>
      <c r="BE433" s="152">
        <f>BB433-BC433-BD433</f>
        <v/>
      </c>
      <c r="BF433" s="152">
        <f>IF(BI432&lt;=0.005,0,BI432*(1+BF$6))</f>
        <v/>
      </c>
      <c r="BG433" s="152">
        <f>MIN(BF433,BF$7)</f>
        <v/>
      </c>
      <c r="BH433" s="152">
        <f>MAX(0,MIN(BF433-BG433,CL433-(AZ433+BD433)))</f>
        <v/>
      </c>
      <c r="BI433" s="152">
        <f>BF433-BG433-BH433</f>
        <v/>
      </c>
      <c r="BJ433" s="152">
        <f>IF(BM432&lt;=0.005,0,BM432*(1+BJ$6))</f>
        <v/>
      </c>
      <c r="BK433" s="152">
        <f>MIN(BJ433,BJ$7)</f>
        <v/>
      </c>
      <c r="BL433" s="152">
        <f>MAX(0,MIN(BJ433-BK433,CL433-(AZ433+BD433+BH433)))</f>
        <v/>
      </c>
      <c r="BM433" s="152">
        <f>BJ433-BK433-BL433</f>
        <v/>
      </c>
      <c r="BN433" s="152">
        <f>IF(BQ432&lt;=0.005,0,BQ432*(1+BN$6))</f>
        <v/>
      </c>
      <c r="BO433" s="152">
        <f>MIN(BN433,BN$7)</f>
        <v/>
      </c>
      <c r="BP433" s="152">
        <f>MAX(0,MIN(BN433-BO433,CL433-(AZ433+BD433+BH433+BL433)))</f>
        <v/>
      </c>
      <c r="BQ433" s="152">
        <f>BN433-BO433-BP433</f>
        <v/>
      </c>
      <c r="BR433" s="152">
        <f>IF(BU432&lt;=0.005,0,BU432*(1+BR$6))</f>
        <v/>
      </c>
      <c r="BS433" s="152">
        <f>MIN(BR433,BR$7)</f>
        <v/>
      </c>
      <c r="BT433" s="152">
        <f>MAX(0,MIN(BR433-BS433,CL433-(AZ433+BD433+BH433+BL433+BP433)))</f>
        <v/>
      </c>
      <c r="BU433" s="152">
        <f>BR433-BS433-BT433</f>
        <v/>
      </c>
      <c r="BV433" s="152">
        <f>IF(BY432&lt;=0.005,0,BY432*(1+BV$6))</f>
        <v/>
      </c>
      <c r="BW433" s="152">
        <f>MIN(BV433,BV$7)</f>
        <v/>
      </c>
      <c r="BX433" s="152">
        <f>MAX(0,MIN(BV433-BW433,CL433-(AZ433+BD433+BH433+BL433+BP433+BT433)))</f>
        <v/>
      </c>
      <c r="BY433" s="152">
        <f>BV433-BW433-BX433</f>
        <v/>
      </c>
      <c r="BZ433" s="152">
        <f>IF(CC432&lt;=0.005,0,CC432*(1+BZ$6))</f>
        <v/>
      </c>
      <c r="CA433" s="152">
        <f>MIN(BZ433,BZ$7)</f>
        <v/>
      </c>
      <c r="CB433" s="152">
        <f>MAX(0,MIN(BZ433-CA433,CL433-(AZ433+BD433+BH433+BL433+BP433+BT433+BX433)))</f>
        <v/>
      </c>
      <c r="CC433" s="152">
        <f>BZ433-CA433-CB433</f>
        <v/>
      </c>
      <c r="CD433" s="152">
        <f>IF(CG432&lt;=0.005,0,CG432*(1+CD$6))</f>
        <v/>
      </c>
      <c r="CE433" s="152">
        <f>MIN(CD433,CD$7)</f>
        <v/>
      </c>
      <c r="CF433" s="152">
        <f>MAX(0,MIN(CD433-CE433,CL433-(AZ433+BD433+BH433+BL433+BP433+BT433+BX433+CB433)))</f>
        <v/>
      </c>
      <c r="CG433" s="152">
        <f>CD433-CE433-CF433</f>
        <v/>
      </c>
      <c r="CH433" s="152">
        <f>IF(CK432&lt;=0.005,0,CK432*(1+CH$6))</f>
        <v/>
      </c>
      <c r="CI433" s="152">
        <f>MIN(CH433,CH$7)</f>
        <v/>
      </c>
      <c r="CJ433" s="152">
        <f>MAX(0,MIN(CH433-CI433,CL433-(AZ433+BD433+BH433+BL433+BP433+BT433+BX433+CB433+CF433)))</f>
        <v/>
      </c>
      <c r="CK433" s="152">
        <f>CH433-CI433-CJ433</f>
        <v/>
      </c>
      <c r="CL433" s="152">
        <f>'Debt Payoff'!$C$8-SUM(AY433,BC433,BG433,BK433,BO433,BS433,BW433,CA433,CE433,CI433)</f>
        <v/>
      </c>
      <c r="CM433" s="152">
        <f>SUM(AY433,BC433,BG433,BK433,BO433,BS433,BW433,CA433,CE433,CI433)+SUM(AZ433,BD433,BH433,BL433,BP433,BT433,BX433,CB433,CF433,CJ433)</f>
        <v/>
      </c>
      <c r="CN433" s="152">
        <f>SUM(BA433,BE433,BI433,BM433,BQ433,BU433,BY433,CC433,CG433,CK433)</f>
        <v/>
      </c>
      <c r="CO433" s="152">
        <f>IF(AW433&gt;CN$6,NA(),AW433)</f>
        <v/>
      </c>
      <c r="CP433" s="152">
        <f>IF(AW433&gt;CN$6,NA(),CN433)</f>
        <v/>
      </c>
    </row>
    <row r="434">
      <c r="B434" s="152" t="n">
        <v>423</v>
      </c>
      <c r="C434" s="152">
        <f>IF(F433&lt;=0.005,0,F433*(1+C$6))</f>
        <v/>
      </c>
      <c r="D434" s="152">
        <f>MIN(C434,C$7)</f>
        <v/>
      </c>
      <c r="E434" s="152">
        <f>MAX(0,MIN(C434-D434,AQ434))</f>
        <v/>
      </c>
      <c r="F434" s="152">
        <f>C434-D434-E434</f>
        <v/>
      </c>
      <c r="G434" s="152">
        <f>IF(J433&lt;=0.005,0,J433*(1+G$6))</f>
        <v/>
      </c>
      <c r="H434" s="152">
        <f>MIN(G434,G$7)</f>
        <v/>
      </c>
      <c r="I434" s="152">
        <f>MAX(0,MIN(G434-H434,AQ434-(E434)))</f>
        <v/>
      </c>
      <c r="J434" s="152">
        <f>G434-H434-I434</f>
        <v/>
      </c>
      <c r="K434" s="152">
        <f>IF(N433&lt;=0.005,0,N433*(1+K$6))</f>
        <v/>
      </c>
      <c r="L434" s="152">
        <f>MIN(K434,K$7)</f>
        <v/>
      </c>
      <c r="M434" s="152">
        <f>MAX(0,MIN(K434-L434,AQ434-(E434+I434)))</f>
        <v/>
      </c>
      <c r="N434" s="152">
        <f>K434-L434-M434</f>
        <v/>
      </c>
      <c r="O434" s="152">
        <f>IF(R433&lt;=0.005,0,R433*(1+O$6))</f>
        <v/>
      </c>
      <c r="P434" s="152">
        <f>MIN(O434,O$7)</f>
        <v/>
      </c>
      <c r="Q434" s="152">
        <f>MAX(0,MIN(O434-P434,AQ434-(E434+I434+M434)))</f>
        <v/>
      </c>
      <c r="R434" s="152">
        <f>O434-P434-Q434</f>
        <v/>
      </c>
      <c r="S434" s="152">
        <f>IF(V433&lt;=0.005,0,V433*(1+S$6))</f>
        <v/>
      </c>
      <c r="T434" s="152">
        <f>MIN(S434,S$7)</f>
        <v/>
      </c>
      <c r="U434" s="152">
        <f>MAX(0,MIN(S434-T434,AQ434-(E434+I434+M434+Q434)))</f>
        <v/>
      </c>
      <c r="V434" s="152">
        <f>S434-T434-U434</f>
        <v/>
      </c>
      <c r="W434" s="152">
        <f>IF(Z433&lt;=0.005,0,Z433*(1+W$6))</f>
        <v/>
      </c>
      <c r="X434" s="152">
        <f>MIN(W434,W$7)</f>
        <v/>
      </c>
      <c r="Y434" s="152">
        <f>MAX(0,MIN(W434-X434,AQ434-(E434+I434+M434+Q434+U434)))</f>
        <v/>
      </c>
      <c r="Z434" s="152">
        <f>W434-X434-Y434</f>
        <v/>
      </c>
      <c r="AA434" s="152">
        <f>IF(AD433&lt;=0.005,0,AD433*(1+AA$6))</f>
        <v/>
      </c>
      <c r="AB434" s="152">
        <f>MIN(AA434,AA$7)</f>
        <v/>
      </c>
      <c r="AC434" s="152">
        <f>MAX(0,MIN(AA434-AB434,AQ434-(E434+I434+M434+Q434+U434+Y434)))</f>
        <v/>
      </c>
      <c r="AD434" s="152">
        <f>AA434-AB434-AC434</f>
        <v/>
      </c>
      <c r="AE434" s="152">
        <f>IF(AH433&lt;=0.005,0,AH433*(1+AE$6))</f>
        <v/>
      </c>
      <c r="AF434" s="152">
        <f>MIN(AE434,AE$7)</f>
        <v/>
      </c>
      <c r="AG434" s="152">
        <f>MAX(0,MIN(AE434-AF434,AQ434-(E434+I434+M434+Q434+U434+Y434+AC434)))</f>
        <v/>
      </c>
      <c r="AH434" s="152">
        <f>AE434-AF434-AG434</f>
        <v/>
      </c>
      <c r="AI434" s="152">
        <f>IF(AL433&lt;=0.005,0,AL433*(1+AI$6))</f>
        <v/>
      </c>
      <c r="AJ434" s="152">
        <f>MIN(AI434,AI$7)</f>
        <v/>
      </c>
      <c r="AK434" s="152">
        <f>MAX(0,MIN(AI434-AJ434,AQ434-(E434+I434+M434+Q434+U434+Y434+AC434+AG434)))</f>
        <v/>
      </c>
      <c r="AL434" s="152">
        <f>AI434-AJ434-AK434</f>
        <v/>
      </c>
      <c r="AM434" s="152">
        <f>IF(AP433&lt;=0.005,0,AP433*(1+AM$6))</f>
        <v/>
      </c>
      <c r="AN434" s="152">
        <f>MIN(AM434,AM$7)</f>
        <v/>
      </c>
      <c r="AO434" s="152">
        <f>MAX(0,MIN(AM434-AN434,AQ434-(E434+I434+M434+Q434+U434+Y434+AC434+AG434+AK434)))</f>
        <v/>
      </c>
      <c r="AP434" s="152">
        <f>AM434-AN434-AO434</f>
        <v/>
      </c>
      <c r="AQ434" s="152">
        <f>'Debt Payoff'!$C$8-SUM(D434,H434,L434,P434,T434,X434,AB434,AF434,AJ434,AN434)</f>
        <v/>
      </c>
      <c r="AR434" s="152">
        <f>SUM(D434,H434,L434,P434,T434,X434,AB434,AF434,AJ434,AN434)+SUM(E434,I434,M434,Q434,U434,Y434,AC434,AG434,AK434,AO434)</f>
        <v/>
      </c>
      <c r="AS434" s="152">
        <f>SUM(F434,J434,N434,R434,V434,Z434,AD434,AH434,AL434,AP434)</f>
        <v/>
      </c>
      <c r="AT434" s="152">
        <f>IF(B434&gt;AS$6,NA(),B434)</f>
        <v/>
      </c>
      <c r="AU434" s="152">
        <f>IF(B434&gt;AS$6,NA(),AS434)</f>
        <v/>
      </c>
      <c r="AV434" s="152" t="n"/>
      <c r="AW434" s="152" t="n">
        <v>423</v>
      </c>
      <c r="AX434" s="152">
        <f>IF(BA433&lt;=0.005,0,BA433*(1+AX$6))</f>
        <v/>
      </c>
      <c r="AY434" s="152">
        <f>MIN(AX434,AX$7)</f>
        <v/>
      </c>
      <c r="AZ434" s="152">
        <f>MAX(0,MIN(AX434-AY434,CL434))</f>
        <v/>
      </c>
      <c r="BA434" s="152">
        <f>AX434-AY434-AZ434</f>
        <v/>
      </c>
      <c r="BB434" s="152">
        <f>IF(BE433&lt;=0.005,0,BE433*(1+BB$6))</f>
        <v/>
      </c>
      <c r="BC434" s="152">
        <f>MIN(BB434,BB$7)</f>
        <v/>
      </c>
      <c r="BD434" s="152">
        <f>MAX(0,MIN(BB434-BC434,CL434-(AZ434)))</f>
        <v/>
      </c>
      <c r="BE434" s="152">
        <f>BB434-BC434-BD434</f>
        <v/>
      </c>
      <c r="BF434" s="152">
        <f>IF(BI433&lt;=0.005,0,BI433*(1+BF$6))</f>
        <v/>
      </c>
      <c r="BG434" s="152">
        <f>MIN(BF434,BF$7)</f>
        <v/>
      </c>
      <c r="BH434" s="152">
        <f>MAX(0,MIN(BF434-BG434,CL434-(AZ434+BD434)))</f>
        <v/>
      </c>
      <c r="BI434" s="152">
        <f>BF434-BG434-BH434</f>
        <v/>
      </c>
      <c r="BJ434" s="152">
        <f>IF(BM433&lt;=0.005,0,BM433*(1+BJ$6))</f>
        <v/>
      </c>
      <c r="BK434" s="152">
        <f>MIN(BJ434,BJ$7)</f>
        <v/>
      </c>
      <c r="BL434" s="152">
        <f>MAX(0,MIN(BJ434-BK434,CL434-(AZ434+BD434+BH434)))</f>
        <v/>
      </c>
      <c r="BM434" s="152">
        <f>BJ434-BK434-BL434</f>
        <v/>
      </c>
      <c r="BN434" s="152">
        <f>IF(BQ433&lt;=0.005,0,BQ433*(1+BN$6))</f>
        <v/>
      </c>
      <c r="BO434" s="152">
        <f>MIN(BN434,BN$7)</f>
        <v/>
      </c>
      <c r="BP434" s="152">
        <f>MAX(0,MIN(BN434-BO434,CL434-(AZ434+BD434+BH434+BL434)))</f>
        <v/>
      </c>
      <c r="BQ434" s="152">
        <f>BN434-BO434-BP434</f>
        <v/>
      </c>
      <c r="BR434" s="152">
        <f>IF(BU433&lt;=0.005,0,BU433*(1+BR$6))</f>
        <v/>
      </c>
      <c r="BS434" s="152">
        <f>MIN(BR434,BR$7)</f>
        <v/>
      </c>
      <c r="BT434" s="152">
        <f>MAX(0,MIN(BR434-BS434,CL434-(AZ434+BD434+BH434+BL434+BP434)))</f>
        <v/>
      </c>
      <c r="BU434" s="152">
        <f>BR434-BS434-BT434</f>
        <v/>
      </c>
      <c r="BV434" s="152">
        <f>IF(BY433&lt;=0.005,0,BY433*(1+BV$6))</f>
        <v/>
      </c>
      <c r="BW434" s="152">
        <f>MIN(BV434,BV$7)</f>
        <v/>
      </c>
      <c r="BX434" s="152">
        <f>MAX(0,MIN(BV434-BW434,CL434-(AZ434+BD434+BH434+BL434+BP434+BT434)))</f>
        <v/>
      </c>
      <c r="BY434" s="152">
        <f>BV434-BW434-BX434</f>
        <v/>
      </c>
      <c r="BZ434" s="152">
        <f>IF(CC433&lt;=0.005,0,CC433*(1+BZ$6))</f>
        <v/>
      </c>
      <c r="CA434" s="152">
        <f>MIN(BZ434,BZ$7)</f>
        <v/>
      </c>
      <c r="CB434" s="152">
        <f>MAX(0,MIN(BZ434-CA434,CL434-(AZ434+BD434+BH434+BL434+BP434+BT434+BX434)))</f>
        <v/>
      </c>
      <c r="CC434" s="152">
        <f>BZ434-CA434-CB434</f>
        <v/>
      </c>
      <c r="CD434" s="152">
        <f>IF(CG433&lt;=0.005,0,CG433*(1+CD$6))</f>
        <v/>
      </c>
      <c r="CE434" s="152">
        <f>MIN(CD434,CD$7)</f>
        <v/>
      </c>
      <c r="CF434" s="152">
        <f>MAX(0,MIN(CD434-CE434,CL434-(AZ434+BD434+BH434+BL434+BP434+BT434+BX434+CB434)))</f>
        <v/>
      </c>
      <c r="CG434" s="152">
        <f>CD434-CE434-CF434</f>
        <v/>
      </c>
      <c r="CH434" s="152">
        <f>IF(CK433&lt;=0.005,0,CK433*(1+CH$6))</f>
        <v/>
      </c>
      <c r="CI434" s="152">
        <f>MIN(CH434,CH$7)</f>
        <v/>
      </c>
      <c r="CJ434" s="152">
        <f>MAX(0,MIN(CH434-CI434,CL434-(AZ434+BD434+BH434+BL434+BP434+BT434+BX434+CB434+CF434)))</f>
        <v/>
      </c>
      <c r="CK434" s="152">
        <f>CH434-CI434-CJ434</f>
        <v/>
      </c>
      <c r="CL434" s="152">
        <f>'Debt Payoff'!$C$8-SUM(AY434,BC434,BG434,BK434,BO434,BS434,BW434,CA434,CE434,CI434)</f>
        <v/>
      </c>
      <c r="CM434" s="152">
        <f>SUM(AY434,BC434,BG434,BK434,BO434,BS434,BW434,CA434,CE434,CI434)+SUM(AZ434,BD434,BH434,BL434,BP434,BT434,BX434,CB434,CF434,CJ434)</f>
        <v/>
      </c>
      <c r="CN434" s="152">
        <f>SUM(BA434,BE434,BI434,BM434,BQ434,BU434,BY434,CC434,CG434,CK434)</f>
        <v/>
      </c>
      <c r="CO434" s="152">
        <f>IF(AW434&gt;CN$6,NA(),AW434)</f>
        <v/>
      </c>
      <c r="CP434" s="152">
        <f>IF(AW434&gt;CN$6,NA(),CN434)</f>
        <v/>
      </c>
    </row>
    <row r="435">
      <c r="B435" s="152" t="n">
        <v>424</v>
      </c>
      <c r="C435" s="152">
        <f>IF(F434&lt;=0.005,0,F434*(1+C$6))</f>
        <v/>
      </c>
      <c r="D435" s="152">
        <f>MIN(C435,C$7)</f>
        <v/>
      </c>
      <c r="E435" s="152">
        <f>MAX(0,MIN(C435-D435,AQ435))</f>
        <v/>
      </c>
      <c r="F435" s="152">
        <f>C435-D435-E435</f>
        <v/>
      </c>
      <c r="G435" s="152">
        <f>IF(J434&lt;=0.005,0,J434*(1+G$6))</f>
        <v/>
      </c>
      <c r="H435" s="152">
        <f>MIN(G435,G$7)</f>
        <v/>
      </c>
      <c r="I435" s="152">
        <f>MAX(0,MIN(G435-H435,AQ435-(E435)))</f>
        <v/>
      </c>
      <c r="J435" s="152">
        <f>G435-H435-I435</f>
        <v/>
      </c>
      <c r="K435" s="152">
        <f>IF(N434&lt;=0.005,0,N434*(1+K$6))</f>
        <v/>
      </c>
      <c r="L435" s="152">
        <f>MIN(K435,K$7)</f>
        <v/>
      </c>
      <c r="M435" s="152">
        <f>MAX(0,MIN(K435-L435,AQ435-(E435+I435)))</f>
        <v/>
      </c>
      <c r="N435" s="152">
        <f>K435-L435-M435</f>
        <v/>
      </c>
      <c r="O435" s="152">
        <f>IF(R434&lt;=0.005,0,R434*(1+O$6))</f>
        <v/>
      </c>
      <c r="P435" s="152">
        <f>MIN(O435,O$7)</f>
        <v/>
      </c>
      <c r="Q435" s="152">
        <f>MAX(0,MIN(O435-P435,AQ435-(E435+I435+M435)))</f>
        <v/>
      </c>
      <c r="R435" s="152">
        <f>O435-P435-Q435</f>
        <v/>
      </c>
      <c r="S435" s="152">
        <f>IF(V434&lt;=0.005,0,V434*(1+S$6))</f>
        <v/>
      </c>
      <c r="T435" s="152">
        <f>MIN(S435,S$7)</f>
        <v/>
      </c>
      <c r="U435" s="152">
        <f>MAX(0,MIN(S435-T435,AQ435-(E435+I435+M435+Q435)))</f>
        <v/>
      </c>
      <c r="V435" s="152">
        <f>S435-T435-U435</f>
        <v/>
      </c>
      <c r="W435" s="152">
        <f>IF(Z434&lt;=0.005,0,Z434*(1+W$6))</f>
        <v/>
      </c>
      <c r="X435" s="152">
        <f>MIN(W435,W$7)</f>
        <v/>
      </c>
      <c r="Y435" s="152">
        <f>MAX(0,MIN(W435-X435,AQ435-(E435+I435+M435+Q435+U435)))</f>
        <v/>
      </c>
      <c r="Z435" s="152">
        <f>W435-X435-Y435</f>
        <v/>
      </c>
      <c r="AA435" s="152">
        <f>IF(AD434&lt;=0.005,0,AD434*(1+AA$6))</f>
        <v/>
      </c>
      <c r="AB435" s="152">
        <f>MIN(AA435,AA$7)</f>
        <v/>
      </c>
      <c r="AC435" s="152">
        <f>MAX(0,MIN(AA435-AB435,AQ435-(E435+I435+M435+Q435+U435+Y435)))</f>
        <v/>
      </c>
      <c r="AD435" s="152">
        <f>AA435-AB435-AC435</f>
        <v/>
      </c>
      <c r="AE435" s="152">
        <f>IF(AH434&lt;=0.005,0,AH434*(1+AE$6))</f>
        <v/>
      </c>
      <c r="AF435" s="152">
        <f>MIN(AE435,AE$7)</f>
        <v/>
      </c>
      <c r="AG435" s="152">
        <f>MAX(0,MIN(AE435-AF435,AQ435-(E435+I435+M435+Q435+U435+Y435+AC435)))</f>
        <v/>
      </c>
      <c r="AH435" s="152">
        <f>AE435-AF435-AG435</f>
        <v/>
      </c>
      <c r="AI435" s="152">
        <f>IF(AL434&lt;=0.005,0,AL434*(1+AI$6))</f>
        <v/>
      </c>
      <c r="AJ435" s="152">
        <f>MIN(AI435,AI$7)</f>
        <v/>
      </c>
      <c r="AK435" s="152">
        <f>MAX(0,MIN(AI435-AJ435,AQ435-(E435+I435+M435+Q435+U435+Y435+AC435+AG435)))</f>
        <v/>
      </c>
      <c r="AL435" s="152">
        <f>AI435-AJ435-AK435</f>
        <v/>
      </c>
      <c r="AM435" s="152">
        <f>IF(AP434&lt;=0.005,0,AP434*(1+AM$6))</f>
        <v/>
      </c>
      <c r="AN435" s="152">
        <f>MIN(AM435,AM$7)</f>
        <v/>
      </c>
      <c r="AO435" s="152">
        <f>MAX(0,MIN(AM435-AN435,AQ435-(E435+I435+M435+Q435+U435+Y435+AC435+AG435+AK435)))</f>
        <v/>
      </c>
      <c r="AP435" s="152">
        <f>AM435-AN435-AO435</f>
        <v/>
      </c>
      <c r="AQ435" s="152">
        <f>'Debt Payoff'!$C$8-SUM(D435,H435,L435,P435,T435,X435,AB435,AF435,AJ435,AN435)</f>
        <v/>
      </c>
      <c r="AR435" s="152">
        <f>SUM(D435,H435,L435,P435,T435,X435,AB435,AF435,AJ435,AN435)+SUM(E435,I435,M435,Q435,U435,Y435,AC435,AG435,AK435,AO435)</f>
        <v/>
      </c>
      <c r="AS435" s="152">
        <f>SUM(F435,J435,N435,R435,V435,Z435,AD435,AH435,AL435,AP435)</f>
        <v/>
      </c>
      <c r="AT435" s="152">
        <f>IF(B435&gt;AS$6,NA(),B435)</f>
        <v/>
      </c>
      <c r="AU435" s="152">
        <f>IF(B435&gt;AS$6,NA(),AS435)</f>
        <v/>
      </c>
      <c r="AV435" s="152" t="n"/>
      <c r="AW435" s="152" t="n">
        <v>424</v>
      </c>
      <c r="AX435" s="152">
        <f>IF(BA434&lt;=0.005,0,BA434*(1+AX$6))</f>
        <v/>
      </c>
      <c r="AY435" s="152">
        <f>MIN(AX435,AX$7)</f>
        <v/>
      </c>
      <c r="AZ435" s="152">
        <f>MAX(0,MIN(AX435-AY435,CL435))</f>
        <v/>
      </c>
      <c r="BA435" s="152">
        <f>AX435-AY435-AZ435</f>
        <v/>
      </c>
      <c r="BB435" s="152">
        <f>IF(BE434&lt;=0.005,0,BE434*(1+BB$6))</f>
        <v/>
      </c>
      <c r="BC435" s="152">
        <f>MIN(BB435,BB$7)</f>
        <v/>
      </c>
      <c r="BD435" s="152">
        <f>MAX(0,MIN(BB435-BC435,CL435-(AZ435)))</f>
        <v/>
      </c>
      <c r="BE435" s="152">
        <f>BB435-BC435-BD435</f>
        <v/>
      </c>
      <c r="BF435" s="152">
        <f>IF(BI434&lt;=0.005,0,BI434*(1+BF$6))</f>
        <v/>
      </c>
      <c r="BG435" s="152">
        <f>MIN(BF435,BF$7)</f>
        <v/>
      </c>
      <c r="BH435" s="152">
        <f>MAX(0,MIN(BF435-BG435,CL435-(AZ435+BD435)))</f>
        <v/>
      </c>
      <c r="BI435" s="152">
        <f>BF435-BG435-BH435</f>
        <v/>
      </c>
      <c r="BJ435" s="152">
        <f>IF(BM434&lt;=0.005,0,BM434*(1+BJ$6))</f>
        <v/>
      </c>
      <c r="BK435" s="152">
        <f>MIN(BJ435,BJ$7)</f>
        <v/>
      </c>
      <c r="BL435" s="152">
        <f>MAX(0,MIN(BJ435-BK435,CL435-(AZ435+BD435+BH435)))</f>
        <v/>
      </c>
      <c r="BM435" s="152">
        <f>BJ435-BK435-BL435</f>
        <v/>
      </c>
      <c r="BN435" s="152">
        <f>IF(BQ434&lt;=0.005,0,BQ434*(1+BN$6))</f>
        <v/>
      </c>
      <c r="BO435" s="152">
        <f>MIN(BN435,BN$7)</f>
        <v/>
      </c>
      <c r="BP435" s="152">
        <f>MAX(0,MIN(BN435-BO435,CL435-(AZ435+BD435+BH435+BL435)))</f>
        <v/>
      </c>
      <c r="BQ435" s="152">
        <f>BN435-BO435-BP435</f>
        <v/>
      </c>
      <c r="BR435" s="152">
        <f>IF(BU434&lt;=0.005,0,BU434*(1+BR$6))</f>
        <v/>
      </c>
      <c r="BS435" s="152">
        <f>MIN(BR435,BR$7)</f>
        <v/>
      </c>
      <c r="BT435" s="152">
        <f>MAX(0,MIN(BR435-BS435,CL435-(AZ435+BD435+BH435+BL435+BP435)))</f>
        <v/>
      </c>
      <c r="BU435" s="152">
        <f>BR435-BS435-BT435</f>
        <v/>
      </c>
      <c r="BV435" s="152">
        <f>IF(BY434&lt;=0.005,0,BY434*(1+BV$6))</f>
        <v/>
      </c>
      <c r="BW435" s="152">
        <f>MIN(BV435,BV$7)</f>
        <v/>
      </c>
      <c r="BX435" s="152">
        <f>MAX(0,MIN(BV435-BW435,CL435-(AZ435+BD435+BH435+BL435+BP435+BT435)))</f>
        <v/>
      </c>
      <c r="BY435" s="152">
        <f>BV435-BW435-BX435</f>
        <v/>
      </c>
      <c r="BZ435" s="152">
        <f>IF(CC434&lt;=0.005,0,CC434*(1+BZ$6))</f>
        <v/>
      </c>
      <c r="CA435" s="152">
        <f>MIN(BZ435,BZ$7)</f>
        <v/>
      </c>
      <c r="CB435" s="152">
        <f>MAX(0,MIN(BZ435-CA435,CL435-(AZ435+BD435+BH435+BL435+BP435+BT435+BX435)))</f>
        <v/>
      </c>
      <c r="CC435" s="152">
        <f>BZ435-CA435-CB435</f>
        <v/>
      </c>
      <c r="CD435" s="152">
        <f>IF(CG434&lt;=0.005,0,CG434*(1+CD$6))</f>
        <v/>
      </c>
      <c r="CE435" s="152">
        <f>MIN(CD435,CD$7)</f>
        <v/>
      </c>
      <c r="CF435" s="152">
        <f>MAX(0,MIN(CD435-CE435,CL435-(AZ435+BD435+BH435+BL435+BP435+BT435+BX435+CB435)))</f>
        <v/>
      </c>
      <c r="CG435" s="152">
        <f>CD435-CE435-CF435</f>
        <v/>
      </c>
      <c r="CH435" s="152">
        <f>IF(CK434&lt;=0.005,0,CK434*(1+CH$6))</f>
        <v/>
      </c>
      <c r="CI435" s="152">
        <f>MIN(CH435,CH$7)</f>
        <v/>
      </c>
      <c r="CJ435" s="152">
        <f>MAX(0,MIN(CH435-CI435,CL435-(AZ435+BD435+BH435+BL435+BP435+BT435+BX435+CB435+CF435)))</f>
        <v/>
      </c>
      <c r="CK435" s="152">
        <f>CH435-CI435-CJ435</f>
        <v/>
      </c>
      <c r="CL435" s="152">
        <f>'Debt Payoff'!$C$8-SUM(AY435,BC435,BG435,BK435,BO435,BS435,BW435,CA435,CE435,CI435)</f>
        <v/>
      </c>
      <c r="CM435" s="152">
        <f>SUM(AY435,BC435,BG435,BK435,BO435,BS435,BW435,CA435,CE435,CI435)+SUM(AZ435,BD435,BH435,BL435,BP435,BT435,BX435,CB435,CF435,CJ435)</f>
        <v/>
      </c>
      <c r="CN435" s="152">
        <f>SUM(BA435,BE435,BI435,BM435,BQ435,BU435,BY435,CC435,CG435,CK435)</f>
        <v/>
      </c>
      <c r="CO435" s="152">
        <f>IF(AW435&gt;CN$6,NA(),AW435)</f>
        <v/>
      </c>
      <c r="CP435" s="152">
        <f>IF(AW435&gt;CN$6,NA(),CN435)</f>
        <v/>
      </c>
    </row>
    <row r="436">
      <c r="B436" s="152" t="n">
        <v>425</v>
      </c>
      <c r="C436" s="152">
        <f>IF(F435&lt;=0.005,0,F435*(1+C$6))</f>
        <v/>
      </c>
      <c r="D436" s="152">
        <f>MIN(C436,C$7)</f>
        <v/>
      </c>
      <c r="E436" s="152">
        <f>MAX(0,MIN(C436-D436,AQ436))</f>
        <v/>
      </c>
      <c r="F436" s="152">
        <f>C436-D436-E436</f>
        <v/>
      </c>
      <c r="G436" s="152">
        <f>IF(J435&lt;=0.005,0,J435*(1+G$6))</f>
        <v/>
      </c>
      <c r="H436" s="152">
        <f>MIN(G436,G$7)</f>
        <v/>
      </c>
      <c r="I436" s="152">
        <f>MAX(0,MIN(G436-H436,AQ436-(E436)))</f>
        <v/>
      </c>
      <c r="J436" s="152">
        <f>G436-H436-I436</f>
        <v/>
      </c>
      <c r="K436" s="152">
        <f>IF(N435&lt;=0.005,0,N435*(1+K$6))</f>
        <v/>
      </c>
      <c r="L436" s="152">
        <f>MIN(K436,K$7)</f>
        <v/>
      </c>
      <c r="M436" s="152">
        <f>MAX(0,MIN(K436-L436,AQ436-(E436+I436)))</f>
        <v/>
      </c>
      <c r="N436" s="152">
        <f>K436-L436-M436</f>
        <v/>
      </c>
      <c r="O436" s="152">
        <f>IF(R435&lt;=0.005,0,R435*(1+O$6))</f>
        <v/>
      </c>
      <c r="P436" s="152">
        <f>MIN(O436,O$7)</f>
        <v/>
      </c>
      <c r="Q436" s="152">
        <f>MAX(0,MIN(O436-P436,AQ436-(E436+I436+M436)))</f>
        <v/>
      </c>
      <c r="R436" s="152">
        <f>O436-P436-Q436</f>
        <v/>
      </c>
      <c r="S436" s="152">
        <f>IF(V435&lt;=0.005,0,V435*(1+S$6))</f>
        <v/>
      </c>
      <c r="T436" s="152">
        <f>MIN(S436,S$7)</f>
        <v/>
      </c>
      <c r="U436" s="152">
        <f>MAX(0,MIN(S436-T436,AQ436-(E436+I436+M436+Q436)))</f>
        <v/>
      </c>
      <c r="V436" s="152">
        <f>S436-T436-U436</f>
        <v/>
      </c>
      <c r="W436" s="152">
        <f>IF(Z435&lt;=0.005,0,Z435*(1+W$6))</f>
        <v/>
      </c>
      <c r="X436" s="152">
        <f>MIN(W436,W$7)</f>
        <v/>
      </c>
      <c r="Y436" s="152">
        <f>MAX(0,MIN(W436-X436,AQ436-(E436+I436+M436+Q436+U436)))</f>
        <v/>
      </c>
      <c r="Z436" s="152">
        <f>W436-X436-Y436</f>
        <v/>
      </c>
      <c r="AA436" s="152">
        <f>IF(AD435&lt;=0.005,0,AD435*(1+AA$6))</f>
        <v/>
      </c>
      <c r="AB436" s="152">
        <f>MIN(AA436,AA$7)</f>
        <v/>
      </c>
      <c r="AC436" s="152">
        <f>MAX(0,MIN(AA436-AB436,AQ436-(E436+I436+M436+Q436+U436+Y436)))</f>
        <v/>
      </c>
      <c r="AD436" s="152">
        <f>AA436-AB436-AC436</f>
        <v/>
      </c>
      <c r="AE436" s="152">
        <f>IF(AH435&lt;=0.005,0,AH435*(1+AE$6))</f>
        <v/>
      </c>
      <c r="AF436" s="152">
        <f>MIN(AE436,AE$7)</f>
        <v/>
      </c>
      <c r="AG436" s="152">
        <f>MAX(0,MIN(AE436-AF436,AQ436-(E436+I436+M436+Q436+U436+Y436+AC436)))</f>
        <v/>
      </c>
      <c r="AH436" s="152">
        <f>AE436-AF436-AG436</f>
        <v/>
      </c>
      <c r="AI436" s="152">
        <f>IF(AL435&lt;=0.005,0,AL435*(1+AI$6))</f>
        <v/>
      </c>
      <c r="AJ436" s="152">
        <f>MIN(AI436,AI$7)</f>
        <v/>
      </c>
      <c r="AK436" s="152">
        <f>MAX(0,MIN(AI436-AJ436,AQ436-(E436+I436+M436+Q436+U436+Y436+AC436+AG436)))</f>
        <v/>
      </c>
      <c r="AL436" s="152">
        <f>AI436-AJ436-AK436</f>
        <v/>
      </c>
      <c r="AM436" s="152">
        <f>IF(AP435&lt;=0.005,0,AP435*(1+AM$6))</f>
        <v/>
      </c>
      <c r="AN436" s="152">
        <f>MIN(AM436,AM$7)</f>
        <v/>
      </c>
      <c r="AO436" s="152">
        <f>MAX(0,MIN(AM436-AN436,AQ436-(E436+I436+M436+Q436+U436+Y436+AC436+AG436+AK436)))</f>
        <v/>
      </c>
      <c r="AP436" s="152">
        <f>AM436-AN436-AO436</f>
        <v/>
      </c>
      <c r="AQ436" s="152">
        <f>'Debt Payoff'!$C$8-SUM(D436,H436,L436,P436,T436,X436,AB436,AF436,AJ436,AN436)</f>
        <v/>
      </c>
      <c r="AR436" s="152">
        <f>SUM(D436,H436,L436,P436,T436,X436,AB436,AF436,AJ436,AN436)+SUM(E436,I436,M436,Q436,U436,Y436,AC436,AG436,AK436,AO436)</f>
        <v/>
      </c>
      <c r="AS436" s="152">
        <f>SUM(F436,J436,N436,R436,V436,Z436,AD436,AH436,AL436,AP436)</f>
        <v/>
      </c>
      <c r="AT436" s="152">
        <f>IF(B436&gt;AS$6,NA(),B436)</f>
        <v/>
      </c>
      <c r="AU436" s="152">
        <f>IF(B436&gt;AS$6,NA(),AS436)</f>
        <v/>
      </c>
      <c r="AV436" s="152" t="n"/>
      <c r="AW436" s="152" t="n">
        <v>425</v>
      </c>
      <c r="AX436" s="152">
        <f>IF(BA435&lt;=0.005,0,BA435*(1+AX$6))</f>
        <v/>
      </c>
      <c r="AY436" s="152">
        <f>MIN(AX436,AX$7)</f>
        <v/>
      </c>
      <c r="AZ436" s="152">
        <f>MAX(0,MIN(AX436-AY436,CL436))</f>
        <v/>
      </c>
      <c r="BA436" s="152">
        <f>AX436-AY436-AZ436</f>
        <v/>
      </c>
      <c r="BB436" s="152">
        <f>IF(BE435&lt;=0.005,0,BE435*(1+BB$6))</f>
        <v/>
      </c>
      <c r="BC436" s="152">
        <f>MIN(BB436,BB$7)</f>
        <v/>
      </c>
      <c r="BD436" s="152">
        <f>MAX(0,MIN(BB436-BC436,CL436-(AZ436)))</f>
        <v/>
      </c>
      <c r="BE436" s="152">
        <f>BB436-BC436-BD436</f>
        <v/>
      </c>
      <c r="BF436" s="152">
        <f>IF(BI435&lt;=0.005,0,BI435*(1+BF$6))</f>
        <v/>
      </c>
      <c r="BG436" s="152">
        <f>MIN(BF436,BF$7)</f>
        <v/>
      </c>
      <c r="BH436" s="152">
        <f>MAX(0,MIN(BF436-BG436,CL436-(AZ436+BD436)))</f>
        <v/>
      </c>
      <c r="BI436" s="152">
        <f>BF436-BG436-BH436</f>
        <v/>
      </c>
      <c r="BJ436" s="152">
        <f>IF(BM435&lt;=0.005,0,BM435*(1+BJ$6))</f>
        <v/>
      </c>
      <c r="BK436" s="152">
        <f>MIN(BJ436,BJ$7)</f>
        <v/>
      </c>
      <c r="BL436" s="152">
        <f>MAX(0,MIN(BJ436-BK436,CL436-(AZ436+BD436+BH436)))</f>
        <v/>
      </c>
      <c r="BM436" s="152">
        <f>BJ436-BK436-BL436</f>
        <v/>
      </c>
      <c r="BN436" s="152">
        <f>IF(BQ435&lt;=0.005,0,BQ435*(1+BN$6))</f>
        <v/>
      </c>
      <c r="BO436" s="152">
        <f>MIN(BN436,BN$7)</f>
        <v/>
      </c>
      <c r="BP436" s="152">
        <f>MAX(0,MIN(BN436-BO436,CL436-(AZ436+BD436+BH436+BL436)))</f>
        <v/>
      </c>
      <c r="BQ436" s="152">
        <f>BN436-BO436-BP436</f>
        <v/>
      </c>
      <c r="BR436" s="152">
        <f>IF(BU435&lt;=0.005,0,BU435*(1+BR$6))</f>
        <v/>
      </c>
      <c r="BS436" s="152">
        <f>MIN(BR436,BR$7)</f>
        <v/>
      </c>
      <c r="BT436" s="152">
        <f>MAX(0,MIN(BR436-BS436,CL436-(AZ436+BD436+BH436+BL436+BP436)))</f>
        <v/>
      </c>
      <c r="BU436" s="152">
        <f>BR436-BS436-BT436</f>
        <v/>
      </c>
      <c r="BV436" s="152">
        <f>IF(BY435&lt;=0.005,0,BY435*(1+BV$6))</f>
        <v/>
      </c>
      <c r="BW436" s="152">
        <f>MIN(BV436,BV$7)</f>
        <v/>
      </c>
      <c r="BX436" s="152">
        <f>MAX(0,MIN(BV436-BW436,CL436-(AZ436+BD436+BH436+BL436+BP436+BT436)))</f>
        <v/>
      </c>
      <c r="BY436" s="152">
        <f>BV436-BW436-BX436</f>
        <v/>
      </c>
      <c r="BZ436" s="152">
        <f>IF(CC435&lt;=0.005,0,CC435*(1+BZ$6))</f>
        <v/>
      </c>
      <c r="CA436" s="152">
        <f>MIN(BZ436,BZ$7)</f>
        <v/>
      </c>
      <c r="CB436" s="152">
        <f>MAX(0,MIN(BZ436-CA436,CL436-(AZ436+BD436+BH436+BL436+BP436+BT436+BX436)))</f>
        <v/>
      </c>
      <c r="CC436" s="152">
        <f>BZ436-CA436-CB436</f>
        <v/>
      </c>
      <c r="CD436" s="152">
        <f>IF(CG435&lt;=0.005,0,CG435*(1+CD$6))</f>
        <v/>
      </c>
      <c r="CE436" s="152">
        <f>MIN(CD436,CD$7)</f>
        <v/>
      </c>
      <c r="CF436" s="152">
        <f>MAX(0,MIN(CD436-CE436,CL436-(AZ436+BD436+BH436+BL436+BP436+BT436+BX436+CB436)))</f>
        <v/>
      </c>
      <c r="CG436" s="152">
        <f>CD436-CE436-CF436</f>
        <v/>
      </c>
      <c r="CH436" s="152">
        <f>IF(CK435&lt;=0.005,0,CK435*(1+CH$6))</f>
        <v/>
      </c>
      <c r="CI436" s="152">
        <f>MIN(CH436,CH$7)</f>
        <v/>
      </c>
      <c r="CJ436" s="152">
        <f>MAX(0,MIN(CH436-CI436,CL436-(AZ436+BD436+BH436+BL436+BP436+BT436+BX436+CB436+CF436)))</f>
        <v/>
      </c>
      <c r="CK436" s="152">
        <f>CH436-CI436-CJ436</f>
        <v/>
      </c>
      <c r="CL436" s="152">
        <f>'Debt Payoff'!$C$8-SUM(AY436,BC436,BG436,BK436,BO436,BS436,BW436,CA436,CE436,CI436)</f>
        <v/>
      </c>
      <c r="CM436" s="152">
        <f>SUM(AY436,BC436,BG436,BK436,BO436,BS436,BW436,CA436,CE436,CI436)+SUM(AZ436,BD436,BH436,BL436,BP436,BT436,BX436,CB436,CF436,CJ436)</f>
        <v/>
      </c>
      <c r="CN436" s="152">
        <f>SUM(BA436,BE436,BI436,BM436,BQ436,BU436,BY436,CC436,CG436,CK436)</f>
        <v/>
      </c>
      <c r="CO436" s="152">
        <f>IF(AW436&gt;CN$6,NA(),AW436)</f>
        <v/>
      </c>
      <c r="CP436" s="152">
        <f>IF(AW436&gt;CN$6,NA(),CN436)</f>
        <v/>
      </c>
    </row>
    <row r="437">
      <c r="B437" s="152" t="n">
        <v>426</v>
      </c>
      <c r="C437" s="152">
        <f>IF(F436&lt;=0.005,0,F436*(1+C$6))</f>
        <v/>
      </c>
      <c r="D437" s="152">
        <f>MIN(C437,C$7)</f>
        <v/>
      </c>
      <c r="E437" s="152">
        <f>MAX(0,MIN(C437-D437,AQ437))</f>
        <v/>
      </c>
      <c r="F437" s="152">
        <f>C437-D437-E437</f>
        <v/>
      </c>
      <c r="G437" s="152">
        <f>IF(J436&lt;=0.005,0,J436*(1+G$6))</f>
        <v/>
      </c>
      <c r="H437" s="152">
        <f>MIN(G437,G$7)</f>
        <v/>
      </c>
      <c r="I437" s="152">
        <f>MAX(0,MIN(G437-H437,AQ437-(E437)))</f>
        <v/>
      </c>
      <c r="J437" s="152">
        <f>G437-H437-I437</f>
        <v/>
      </c>
      <c r="K437" s="152">
        <f>IF(N436&lt;=0.005,0,N436*(1+K$6))</f>
        <v/>
      </c>
      <c r="L437" s="152">
        <f>MIN(K437,K$7)</f>
        <v/>
      </c>
      <c r="M437" s="152">
        <f>MAX(0,MIN(K437-L437,AQ437-(E437+I437)))</f>
        <v/>
      </c>
      <c r="N437" s="152">
        <f>K437-L437-M437</f>
        <v/>
      </c>
      <c r="O437" s="152">
        <f>IF(R436&lt;=0.005,0,R436*(1+O$6))</f>
        <v/>
      </c>
      <c r="P437" s="152">
        <f>MIN(O437,O$7)</f>
        <v/>
      </c>
      <c r="Q437" s="152">
        <f>MAX(0,MIN(O437-P437,AQ437-(E437+I437+M437)))</f>
        <v/>
      </c>
      <c r="R437" s="152">
        <f>O437-P437-Q437</f>
        <v/>
      </c>
      <c r="S437" s="152">
        <f>IF(V436&lt;=0.005,0,V436*(1+S$6))</f>
        <v/>
      </c>
      <c r="T437" s="152">
        <f>MIN(S437,S$7)</f>
        <v/>
      </c>
      <c r="U437" s="152">
        <f>MAX(0,MIN(S437-T437,AQ437-(E437+I437+M437+Q437)))</f>
        <v/>
      </c>
      <c r="V437" s="152">
        <f>S437-T437-U437</f>
        <v/>
      </c>
      <c r="W437" s="152">
        <f>IF(Z436&lt;=0.005,0,Z436*(1+W$6))</f>
        <v/>
      </c>
      <c r="X437" s="152">
        <f>MIN(W437,W$7)</f>
        <v/>
      </c>
      <c r="Y437" s="152">
        <f>MAX(0,MIN(W437-X437,AQ437-(E437+I437+M437+Q437+U437)))</f>
        <v/>
      </c>
      <c r="Z437" s="152">
        <f>W437-X437-Y437</f>
        <v/>
      </c>
      <c r="AA437" s="152">
        <f>IF(AD436&lt;=0.005,0,AD436*(1+AA$6))</f>
        <v/>
      </c>
      <c r="AB437" s="152">
        <f>MIN(AA437,AA$7)</f>
        <v/>
      </c>
      <c r="AC437" s="152">
        <f>MAX(0,MIN(AA437-AB437,AQ437-(E437+I437+M437+Q437+U437+Y437)))</f>
        <v/>
      </c>
      <c r="AD437" s="152">
        <f>AA437-AB437-AC437</f>
        <v/>
      </c>
      <c r="AE437" s="152">
        <f>IF(AH436&lt;=0.005,0,AH436*(1+AE$6))</f>
        <v/>
      </c>
      <c r="AF437" s="152">
        <f>MIN(AE437,AE$7)</f>
        <v/>
      </c>
      <c r="AG437" s="152">
        <f>MAX(0,MIN(AE437-AF437,AQ437-(E437+I437+M437+Q437+U437+Y437+AC437)))</f>
        <v/>
      </c>
      <c r="AH437" s="152">
        <f>AE437-AF437-AG437</f>
        <v/>
      </c>
      <c r="AI437" s="152">
        <f>IF(AL436&lt;=0.005,0,AL436*(1+AI$6))</f>
        <v/>
      </c>
      <c r="AJ437" s="152">
        <f>MIN(AI437,AI$7)</f>
        <v/>
      </c>
      <c r="AK437" s="152">
        <f>MAX(0,MIN(AI437-AJ437,AQ437-(E437+I437+M437+Q437+U437+Y437+AC437+AG437)))</f>
        <v/>
      </c>
      <c r="AL437" s="152">
        <f>AI437-AJ437-AK437</f>
        <v/>
      </c>
      <c r="AM437" s="152">
        <f>IF(AP436&lt;=0.005,0,AP436*(1+AM$6))</f>
        <v/>
      </c>
      <c r="AN437" s="152">
        <f>MIN(AM437,AM$7)</f>
        <v/>
      </c>
      <c r="AO437" s="152">
        <f>MAX(0,MIN(AM437-AN437,AQ437-(E437+I437+M437+Q437+U437+Y437+AC437+AG437+AK437)))</f>
        <v/>
      </c>
      <c r="AP437" s="152">
        <f>AM437-AN437-AO437</f>
        <v/>
      </c>
      <c r="AQ437" s="152">
        <f>'Debt Payoff'!$C$8-SUM(D437,H437,L437,P437,T437,X437,AB437,AF437,AJ437,AN437)</f>
        <v/>
      </c>
      <c r="AR437" s="152">
        <f>SUM(D437,H437,L437,P437,T437,X437,AB437,AF437,AJ437,AN437)+SUM(E437,I437,M437,Q437,U437,Y437,AC437,AG437,AK437,AO437)</f>
        <v/>
      </c>
      <c r="AS437" s="152">
        <f>SUM(F437,J437,N437,R437,V437,Z437,AD437,AH437,AL437,AP437)</f>
        <v/>
      </c>
      <c r="AT437" s="152">
        <f>IF(B437&gt;AS$6,NA(),B437)</f>
        <v/>
      </c>
      <c r="AU437" s="152">
        <f>IF(B437&gt;AS$6,NA(),AS437)</f>
        <v/>
      </c>
      <c r="AV437" s="152" t="n"/>
      <c r="AW437" s="152" t="n">
        <v>426</v>
      </c>
      <c r="AX437" s="152">
        <f>IF(BA436&lt;=0.005,0,BA436*(1+AX$6))</f>
        <v/>
      </c>
      <c r="AY437" s="152">
        <f>MIN(AX437,AX$7)</f>
        <v/>
      </c>
      <c r="AZ437" s="152">
        <f>MAX(0,MIN(AX437-AY437,CL437))</f>
        <v/>
      </c>
      <c r="BA437" s="152">
        <f>AX437-AY437-AZ437</f>
        <v/>
      </c>
      <c r="BB437" s="152">
        <f>IF(BE436&lt;=0.005,0,BE436*(1+BB$6))</f>
        <v/>
      </c>
      <c r="BC437" s="152">
        <f>MIN(BB437,BB$7)</f>
        <v/>
      </c>
      <c r="BD437" s="152">
        <f>MAX(0,MIN(BB437-BC437,CL437-(AZ437)))</f>
        <v/>
      </c>
      <c r="BE437" s="152">
        <f>BB437-BC437-BD437</f>
        <v/>
      </c>
      <c r="BF437" s="152">
        <f>IF(BI436&lt;=0.005,0,BI436*(1+BF$6))</f>
        <v/>
      </c>
      <c r="BG437" s="152">
        <f>MIN(BF437,BF$7)</f>
        <v/>
      </c>
      <c r="BH437" s="152">
        <f>MAX(0,MIN(BF437-BG437,CL437-(AZ437+BD437)))</f>
        <v/>
      </c>
      <c r="BI437" s="152">
        <f>BF437-BG437-BH437</f>
        <v/>
      </c>
      <c r="BJ437" s="152">
        <f>IF(BM436&lt;=0.005,0,BM436*(1+BJ$6))</f>
        <v/>
      </c>
      <c r="BK437" s="152">
        <f>MIN(BJ437,BJ$7)</f>
        <v/>
      </c>
      <c r="BL437" s="152">
        <f>MAX(0,MIN(BJ437-BK437,CL437-(AZ437+BD437+BH437)))</f>
        <v/>
      </c>
      <c r="BM437" s="152">
        <f>BJ437-BK437-BL437</f>
        <v/>
      </c>
      <c r="BN437" s="152">
        <f>IF(BQ436&lt;=0.005,0,BQ436*(1+BN$6))</f>
        <v/>
      </c>
      <c r="BO437" s="152">
        <f>MIN(BN437,BN$7)</f>
        <v/>
      </c>
      <c r="BP437" s="152">
        <f>MAX(0,MIN(BN437-BO437,CL437-(AZ437+BD437+BH437+BL437)))</f>
        <v/>
      </c>
      <c r="BQ437" s="152">
        <f>BN437-BO437-BP437</f>
        <v/>
      </c>
      <c r="BR437" s="152">
        <f>IF(BU436&lt;=0.005,0,BU436*(1+BR$6))</f>
        <v/>
      </c>
      <c r="BS437" s="152">
        <f>MIN(BR437,BR$7)</f>
        <v/>
      </c>
      <c r="BT437" s="152">
        <f>MAX(0,MIN(BR437-BS437,CL437-(AZ437+BD437+BH437+BL437+BP437)))</f>
        <v/>
      </c>
      <c r="BU437" s="152">
        <f>BR437-BS437-BT437</f>
        <v/>
      </c>
      <c r="BV437" s="152">
        <f>IF(BY436&lt;=0.005,0,BY436*(1+BV$6))</f>
        <v/>
      </c>
      <c r="BW437" s="152">
        <f>MIN(BV437,BV$7)</f>
        <v/>
      </c>
      <c r="BX437" s="152">
        <f>MAX(0,MIN(BV437-BW437,CL437-(AZ437+BD437+BH437+BL437+BP437+BT437)))</f>
        <v/>
      </c>
      <c r="BY437" s="152">
        <f>BV437-BW437-BX437</f>
        <v/>
      </c>
      <c r="BZ437" s="152">
        <f>IF(CC436&lt;=0.005,0,CC436*(1+BZ$6))</f>
        <v/>
      </c>
      <c r="CA437" s="152">
        <f>MIN(BZ437,BZ$7)</f>
        <v/>
      </c>
      <c r="CB437" s="152">
        <f>MAX(0,MIN(BZ437-CA437,CL437-(AZ437+BD437+BH437+BL437+BP437+BT437+BX437)))</f>
        <v/>
      </c>
      <c r="CC437" s="152">
        <f>BZ437-CA437-CB437</f>
        <v/>
      </c>
      <c r="CD437" s="152">
        <f>IF(CG436&lt;=0.005,0,CG436*(1+CD$6))</f>
        <v/>
      </c>
      <c r="CE437" s="152">
        <f>MIN(CD437,CD$7)</f>
        <v/>
      </c>
      <c r="CF437" s="152">
        <f>MAX(0,MIN(CD437-CE437,CL437-(AZ437+BD437+BH437+BL437+BP437+BT437+BX437+CB437)))</f>
        <v/>
      </c>
      <c r="CG437" s="152">
        <f>CD437-CE437-CF437</f>
        <v/>
      </c>
      <c r="CH437" s="152">
        <f>IF(CK436&lt;=0.005,0,CK436*(1+CH$6))</f>
        <v/>
      </c>
      <c r="CI437" s="152">
        <f>MIN(CH437,CH$7)</f>
        <v/>
      </c>
      <c r="CJ437" s="152">
        <f>MAX(0,MIN(CH437-CI437,CL437-(AZ437+BD437+BH437+BL437+BP437+BT437+BX437+CB437+CF437)))</f>
        <v/>
      </c>
      <c r="CK437" s="152">
        <f>CH437-CI437-CJ437</f>
        <v/>
      </c>
      <c r="CL437" s="152">
        <f>'Debt Payoff'!$C$8-SUM(AY437,BC437,BG437,BK437,BO437,BS437,BW437,CA437,CE437,CI437)</f>
        <v/>
      </c>
      <c r="CM437" s="152">
        <f>SUM(AY437,BC437,BG437,BK437,BO437,BS437,BW437,CA437,CE437,CI437)+SUM(AZ437,BD437,BH437,BL437,BP437,BT437,BX437,CB437,CF437,CJ437)</f>
        <v/>
      </c>
      <c r="CN437" s="152">
        <f>SUM(BA437,BE437,BI437,BM437,BQ437,BU437,BY437,CC437,CG437,CK437)</f>
        <v/>
      </c>
      <c r="CO437" s="152">
        <f>IF(AW437&gt;CN$6,NA(),AW437)</f>
        <v/>
      </c>
      <c r="CP437" s="152">
        <f>IF(AW437&gt;CN$6,NA(),CN437)</f>
        <v/>
      </c>
    </row>
    <row r="438">
      <c r="B438" s="152" t="n">
        <v>427</v>
      </c>
      <c r="C438" s="152">
        <f>IF(F437&lt;=0.005,0,F437*(1+C$6))</f>
        <v/>
      </c>
      <c r="D438" s="152">
        <f>MIN(C438,C$7)</f>
        <v/>
      </c>
      <c r="E438" s="152">
        <f>MAX(0,MIN(C438-D438,AQ438))</f>
        <v/>
      </c>
      <c r="F438" s="152">
        <f>C438-D438-E438</f>
        <v/>
      </c>
      <c r="G438" s="152">
        <f>IF(J437&lt;=0.005,0,J437*(1+G$6))</f>
        <v/>
      </c>
      <c r="H438" s="152">
        <f>MIN(G438,G$7)</f>
        <v/>
      </c>
      <c r="I438" s="152">
        <f>MAX(0,MIN(G438-H438,AQ438-(E438)))</f>
        <v/>
      </c>
      <c r="J438" s="152">
        <f>G438-H438-I438</f>
        <v/>
      </c>
      <c r="K438" s="152">
        <f>IF(N437&lt;=0.005,0,N437*(1+K$6))</f>
        <v/>
      </c>
      <c r="L438" s="152">
        <f>MIN(K438,K$7)</f>
        <v/>
      </c>
      <c r="M438" s="152">
        <f>MAX(0,MIN(K438-L438,AQ438-(E438+I438)))</f>
        <v/>
      </c>
      <c r="N438" s="152">
        <f>K438-L438-M438</f>
        <v/>
      </c>
      <c r="O438" s="152">
        <f>IF(R437&lt;=0.005,0,R437*(1+O$6))</f>
        <v/>
      </c>
      <c r="P438" s="152">
        <f>MIN(O438,O$7)</f>
        <v/>
      </c>
      <c r="Q438" s="152">
        <f>MAX(0,MIN(O438-P438,AQ438-(E438+I438+M438)))</f>
        <v/>
      </c>
      <c r="R438" s="152">
        <f>O438-P438-Q438</f>
        <v/>
      </c>
      <c r="S438" s="152">
        <f>IF(V437&lt;=0.005,0,V437*(1+S$6))</f>
        <v/>
      </c>
      <c r="T438" s="152">
        <f>MIN(S438,S$7)</f>
        <v/>
      </c>
      <c r="U438" s="152">
        <f>MAX(0,MIN(S438-T438,AQ438-(E438+I438+M438+Q438)))</f>
        <v/>
      </c>
      <c r="V438" s="152">
        <f>S438-T438-U438</f>
        <v/>
      </c>
      <c r="W438" s="152">
        <f>IF(Z437&lt;=0.005,0,Z437*(1+W$6))</f>
        <v/>
      </c>
      <c r="X438" s="152">
        <f>MIN(W438,W$7)</f>
        <v/>
      </c>
      <c r="Y438" s="152">
        <f>MAX(0,MIN(W438-X438,AQ438-(E438+I438+M438+Q438+U438)))</f>
        <v/>
      </c>
      <c r="Z438" s="152">
        <f>W438-X438-Y438</f>
        <v/>
      </c>
      <c r="AA438" s="152">
        <f>IF(AD437&lt;=0.005,0,AD437*(1+AA$6))</f>
        <v/>
      </c>
      <c r="AB438" s="152">
        <f>MIN(AA438,AA$7)</f>
        <v/>
      </c>
      <c r="AC438" s="152">
        <f>MAX(0,MIN(AA438-AB438,AQ438-(E438+I438+M438+Q438+U438+Y438)))</f>
        <v/>
      </c>
      <c r="AD438" s="152">
        <f>AA438-AB438-AC438</f>
        <v/>
      </c>
      <c r="AE438" s="152">
        <f>IF(AH437&lt;=0.005,0,AH437*(1+AE$6))</f>
        <v/>
      </c>
      <c r="AF438" s="152">
        <f>MIN(AE438,AE$7)</f>
        <v/>
      </c>
      <c r="AG438" s="152">
        <f>MAX(0,MIN(AE438-AF438,AQ438-(E438+I438+M438+Q438+U438+Y438+AC438)))</f>
        <v/>
      </c>
      <c r="AH438" s="152">
        <f>AE438-AF438-AG438</f>
        <v/>
      </c>
      <c r="AI438" s="152">
        <f>IF(AL437&lt;=0.005,0,AL437*(1+AI$6))</f>
        <v/>
      </c>
      <c r="AJ438" s="152">
        <f>MIN(AI438,AI$7)</f>
        <v/>
      </c>
      <c r="AK438" s="152">
        <f>MAX(0,MIN(AI438-AJ438,AQ438-(E438+I438+M438+Q438+U438+Y438+AC438+AG438)))</f>
        <v/>
      </c>
      <c r="AL438" s="152">
        <f>AI438-AJ438-AK438</f>
        <v/>
      </c>
      <c r="AM438" s="152">
        <f>IF(AP437&lt;=0.005,0,AP437*(1+AM$6))</f>
        <v/>
      </c>
      <c r="AN438" s="152">
        <f>MIN(AM438,AM$7)</f>
        <v/>
      </c>
      <c r="AO438" s="152">
        <f>MAX(0,MIN(AM438-AN438,AQ438-(E438+I438+M438+Q438+U438+Y438+AC438+AG438+AK438)))</f>
        <v/>
      </c>
      <c r="AP438" s="152">
        <f>AM438-AN438-AO438</f>
        <v/>
      </c>
      <c r="AQ438" s="152">
        <f>'Debt Payoff'!$C$8-SUM(D438,H438,L438,P438,T438,X438,AB438,AF438,AJ438,AN438)</f>
        <v/>
      </c>
      <c r="AR438" s="152">
        <f>SUM(D438,H438,L438,P438,T438,X438,AB438,AF438,AJ438,AN438)+SUM(E438,I438,M438,Q438,U438,Y438,AC438,AG438,AK438,AO438)</f>
        <v/>
      </c>
      <c r="AS438" s="152">
        <f>SUM(F438,J438,N438,R438,V438,Z438,AD438,AH438,AL438,AP438)</f>
        <v/>
      </c>
      <c r="AT438" s="152">
        <f>IF(B438&gt;AS$6,NA(),B438)</f>
        <v/>
      </c>
      <c r="AU438" s="152">
        <f>IF(B438&gt;AS$6,NA(),AS438)</f>
        <v/>
      </c>
      <c r="AV438" s="152" t="n"/>
      <c r="AW438" s="152" t="n">
        <v>427</v>
      </c>
      <c r="AX438" s="152">
        <f>IF(BA437&lt;=0.005,0,BA437*(1+AX$6))</f>
        <v/>
      </c>
      <c r="AY438" s="152">
        <f>MIN(AX438,AX$7)</f>
        <v/>
      </c>
      <c r="AZ438" s="152">
        <f>MAX(0,MIN(AX438-AY438,CL438))</f>
        <v/>
      </c>
      <c r="BA438" s="152">
        <f>AX438-AY438-AZ438</f>
        <v/>
      </c>
      <c r="BB438" s="152">
        <f>IF(BE437&lt;=0.005,0,BE437*(1+BB$6))</f>
        <v/>
      </c>
      <c r="BC438" s="152">
        <f>MIN(BB438,BB$7)</f>
        <v/>
      </c>
      <c r="BD438" s="152">
        <f>MAX(0,MIN(BB438-BC438,CL438-(AZ438)))</f>
        <v/>
      </c>
      <c r="BE438" s="152">
        <f>BB438-BC438-BD438</f>
        <v/>
      </c>
      <c r="BF438" s="152">
        <f>IF(BI437&lt;=0.005,0,BI437*(1+BF$6))</f>
        <v/>
      </c>
      <c r="BG438" s="152">
        <f>MIN(BF438,BF$7)</f>
        <v/>
      </c>
      <c r="BH438" s="152">
        <f>MAX(0,MIN(BF438-BG438,CL438-(AZ438+BD438)))</f>
        <v/>
      </c>
      <c r="BI438" s="152">
        <f>BF438-BG438-BH438</f>
        <v/>
      </c>
      <c r="BJ438" s="152">
        <f>IF(BM437&lt;=0.005,0,BM437*(1+BJ$6))</f>
        <v/>
      </c>
      <c r="BK438" s="152">
        <f>MIN(BJ438,BJ$7)</f>
        <v/>
      </c>
      <c r="BL438" s="152">
        <f>MAX(0,MIN(BJ438-BK438,CL438-(AZ438+BD438+BH438)))</f>
        <v/>
      </c>
      <c r="BM438" s="152">
        <f>BJ438-BK438-BL438</f>
        <v/>
      </c>
      <c r="BN438" s="152">
        <f>IF(BQ437&lt;=0.005,0,BQ437*(1+BN$6))</f>
        <v/>
      </c>
      <c r="BO438" s="152">
        <f>MIN(BN438,BN$7)</f>
        <v/>
      </c>
      <c r="BP438" s="152">
        <f>MAX(0,MIN(BN438-BO438,CL438-(AZ438+BD438+BH438+BL438)))</f>
        <v/>
      </c>
      <c r="BQ438" s="152">
        <f>BN438-BO438-BP438</f>
        <v/>
      </c>
      <c r="BR438" s="152">
        <f>IF(BU437&lt;=0.005,0,BU437*(1+BR$6))</f>
        <v/>
      </c>
      <c r="BS438" s="152">
        <f>MIN(BR438,BR$7)</f>
        <v/>
      </c>
      <c r="BT438" s="152">
        <f>MAX(0,MIN(BR438-BS438,CL438-(AZ438+BD438+BH438+BL438+BP438)))</f>
        <v/>
      </c>
      <c r="BU438" s="152">
        <f>BR438-BS438-BT438</f>
        <v/>
      </c>
      <c r="BV438" s="152">
        <f>IF(BY437&lt;=0.005,0,BY437*(1+BV$6))</f>
        <v/>
      </c>
      <c r="BW438" s="152">
        <f>MIN(BV438,BV$7)</f>
        <v/>
      </c>
      <c r="BX438" s="152">
        <f>MAX(0,MIN(BV438-BW438,CL438-(AZ438+BD438+BH438+BL438+BP438+BT438)))</f>
        <v/>
      </c>
      <c r="BY438" s="152">
        <f>BV438-BW438-BX438</f>
        <v/>
      </c>
      <c r="BZ438" s="152">
        <f>IF(CC437&lt;=0.005,0,CC437*(1+BZ$6))</f>
        <v/>
      </c>
      <c r="CA438" s="152">
        <f>MIN(BZ438,BZ$7)</f>
        <v/>
      </c>
      <c r="CB438" s="152">
        <f>MAX(0,MIN(BZ438-CA438,CL438-(AZ438+BD438+BH438+BL438+BP438+BT438+BX438)))</f>
        <v/>
      </c>
      <c r="CC438" s="152">
        <f>BZ438-CA438-CB438</f>
        <v/>
      </c>
      <c r="CD438" s="152">
        <f>IF(CG437&lt;=0.005,0,CG437*(1+CD$6))</f>
        <v/>
      </c>
      <c r="CE438" s="152">
        <f>MIN(CD438,CD$7)</f>
        <v/>
      </c>
      <c r="CF438" s="152">
        <f>MAX(0,MIN(CD438-CE438,CL438-(AZ438+BD438+BH438+BL438+BP438+BT438+BX438+CB438)))</f>
        <v/>
      </c>
      <c r="CG438" s="152">
        <f>CD438-CE438-CF438</f>
        <v/>
      </c>
      <c r="CH438" s="152">
        <f>IF(CK437&lt;=0.005,0,CK437*(1+CH$6))</f>
        <v/>
      </c>
      <c r="CI438" s="152">
        <f>MIN(CH438,CH$7)</f>
        <v/>
      </c>
      <c r="CJ438" s="152">
        <f>MAX(0,MIN(CH438-CI438,CL438-(AZ438+BD438+BH438+BL438+BP438+BT438+BX438+CB438+CF438)))</f>
        <v/>
      </c>
      <c r="CK438" s="152">
        <f>CH438-CI438-CJ438</f>
        <v/>
      </c>
      <c r="CL438" s="152">
        <f>'Debt Payoff'!$C$8-SUM(AY438,BC438,BG438,BK438,BO438,BS438,BW438,CA438,CE438,CI438)</f>
        <v/>
      </c>
      <c r="CM438" s="152">
        <f>SUM(AY438,BC438,BG438,BK438,BO438,BS438,BW438,CA438,CE438,CI438)+SUM(AZ438,BD438,BH438,BL438,BP438,BT438,BX438,CB438,CF438,CJ438)</f>
        <v/>
      </c>
      <c r="CN438" s="152">
        <f>SUM(BA438,BE438,BI438,BM438,BQ438,BU438,BY438,CC438,CG438,CK438)</f>
        <v/>
      </c>
      <c r="CO438" s="152">
        <f>IF(AW438&gt;CN$6,NA(),AW438)</f>
        <v/>
      </c>
      <c r="CP438" s="152">
        <f>IF(AW438&gt;CN$6,NA(),CN438)</f>
        <v/>
      </c>
    </row>
    <row r="439">
      <c r="B439" s="152" t="n">
        <v>428</v>
      </c>
      <c r="C439" s="152">
        <f>IF(F438&lt;=0.005,0,F438*(1+C$6))</f>
        <v/>
      </c>
      <c r="D439" s="152">
        <f>MIN(C439,C$7)</f>
        <v/>
      </c>
      <c r="E439" s="152">
        <f>MAX(0,MIN(C439-D439,AQ439))</f>
        <v/>
      </c>
      <c r="F439" s="152">
        <f>C439-D439-E439</f>
        <v/>
      </c>
      <c r="G439" s="152">
        <f>IF(J438&lt;=0.005,0,J438*(1+G$6))</f>
        <v/>
      </c>
      <c r="H439" s="152">
        <f>MIN(G439,G$7)</f>
        <v/>
      </c>
      <c r="I439" s="152">
        <f>MAX(0,MIN(G439-H439,AQ439-(E439)))</f>
        <v/>
      </c>
      <c r="J439" s="152">
        <f>G439-H439-I439</f>
        <v/>
      </c>
      <c r="K439" s="152">
        <f>IF(N438&lt;=0.005,0,N438*(1+K$6))</f>
        <v/>
      </c>
      <c r="L439" s="152">
        <f>MIN(K439,K$7)</f>
        <v/>
      </c>
      <c r="M439" s="152">
        <f>MAX(0,MIN(K439-L439,AQ439-(E439+I439)))</f>
        <v/>
      </c>
      <c r="N439" s="152">
        <f>K439-L439-M439</f>
        <v/>
      </c>
      <c r="O439" s="152">
        <f>IF(R438&lt;=0.005,0,R438*(1+O$6))</f>
        <v/>
      </c>
      <c r="P439" s="152">
        <f>MIN(O439,O$7)</f>
        <v/>
      </c>
      <c r="Q439" s="152">
        <f>MAX(0,MIN(O439-P439,AQ439-(E439+I439+M439)))</f>
        <v/>
      </c>
      <c r="R439" s="152">
        <f>O439-P439-Q439</f>
        <v/>
      </c>
      <c r="S439" s="152">
        <f>IF(V438&lt;=0.005,0,V438*(1+S$6))</f>
        <v/>
      </c>
      <c r="T439" s="152">
        <f>MIN(S439,S$7)</f>
        <v/>
      </c>
      <c r="U439" s="152">
        <f>MAX(0,MIN(S439-T439,AQ439-(E439+I439+M439+Q439)))</f>
        <v/>
      </c>
      <c r="V439" s="152">
        <f>S439-T439-U439</f>
        <v/>
      </c>
      <c r="W439" s="152">
        <f>IF(Z438&lt;=0.005,0,Z438*(1+W$6))</f>
        <v/>
      </c>
      <c r="X439" s="152">
        <f>MIN(W439,W$7)</f>
        <v/>
      </c>
      <c r="Y439" s="152">
        <f>MAX(0,MIN(W439-X439,AQ439-(E439+I439+M439+Q439+U439)))</f>
        <v/>
      </c>
      <c r="Z439" s="152">
        <f>W439-X439-Y439</f>
        <v/>
      </c>
      <c r="AA439" s="152">
        <f>IF(AD438&lt;=0.005,0,AD438*(1+AA$6))</f>
        <v/>
      </c>
      <c r="AB439" s="152">
        <f>MIN(AA439,AA$7)</f>
        <v/>
      </c>
      <c r="AC439" s="152">
        <f>MAX(0,MIN(AA439-AB439,AQ439-(E439+I439+M439+Q439+U439+Y439)))</f>
        <v/>
      </c>
      <c r="AD439" s="152">
        <f>AA439-AB439-AC439</f>
        <v/>
      </c>
      <c r="AE439" s="152">
        <f>IF(AH438&lt;=0.005,0,AH438*(1+AE$6))</f>
        <v/>
      </c>
      <c r="AF439" s="152">
        <f>MIN(AE439,AE$7)</f>
        <v/>
      </c>
      <c r="AG439" s="152">
        <f>MAX(0,MIN(AE439-AF439,AQ439-(E439+I439+M439+Q439+U439+Y439+AC439)))</f>
        <v/>
      </c>
      <c r="AH439" s="152">
        <f>AE439-AF439-AG439</f>
        <v/>
      </c>
      <c r="AI439" s="152">
        <f>IF(AL438&lt;=0.005,0,AL438*(1+AI$6))</f>
        <v/>
      </c>
      <c r="AJ439" s="152">
        <f>MIN(AI439,AI$7)</f>
        <v/>
      </c>
      <c r="AK439" s="152">
        <f>MAX(0,MIN(AI439-AJ439,AQ439-(E439+I439+M439+Q439+U439+Y439+AC439+AG439)))</f>
        <v/>
      </c>
      <c r="AL439" s="152">
        <f>AI439-AJ439-AK439</f>
        <v/>
      </c>
      <c r="AM439" s="152">
        <f>IF(AP438&lt;=0.005,0,AP438*(1+AM$6))</f>
        <v/>
      </c>
      <c r="AN439" s="152">
        <f>MIN(AM439,AM$7)</f>
        <v/>
      </c>
      <c r="AO439" s="152">
        <f>MAX(0,MIN(AM439-AN439,AQ439-(E439+I439+M439+Q439+U439+Y439+AC439+AG439+AK439)))</f>
        <v/>
      </c>
      <c r="AP439" s="152">
        <f>AM439-AN439-AO439</f>
        <v/>
      </c>
      <c r="AQ439" s="152">
        <f>'Debt Payoff'!$C$8-SUM(D439,H439,L439,P439,T439,X439,AB439,AF439,AJ439,AN439)</f>
        <v/>
      </c>
      <c r="AR439" s="152">
        <f>SUM(D439,H439,L439,P439,T439,X439,AB439,AF439,AJ439,AN439)+SUM(E439,I439,M439,Q439,U439,Y439,AC439,AG439,AK439,AO439)</f>
        <v/>
      </c>
      <c r="AS439" s="152">
        <f>SUM(F439,J439,N439,R439,V439,Z439,AD439,AH439,AL439,AP439)</f>
        <v/>
      </c>
      <c r="AT439" s="152">
        <f>IF(B439&gt;AS$6,NA(),B439)</f>
        <v/>
      </c>
      <c r="AU439" s="152">
        <f>IF(B439&gt;AS$6,NA(),AS439)</f>
        <v/>
      </c>
      <c r="AV439" s="152" t="n"/>
      <c r="AW439" s="152" t="n">
        <v>428</v>
      </c>
      <c r="AX439" s="152">
        <f>IF(BA438&lt;=0.005,0,BA438*(1+AX$6))</f>
        <v/>
      </c>
      <c r="AY439" s="152">
        <f>MIN(AX439,AX$7)</f>
        <v/>
      </c>
      <c r="AZ439" s="152">
        <f>MAX(0,MIN(AX439-AY439,CL439))</f>
        <v/>
      </c>
      <c r="BA439" s="152">
        <f>AX439-AY439-AZ439</f>
        <v/>
      </c>
      <c r="BB439" s="152">
        <f>IF(BE438&lt;=0.005,0,BE438*(1+BB$6))</f>
        <v/>
      </c>
      <c r="BC439" s="152">
        <f>MIN(BB439,BB$7)</f>
        <v/>
      </c>
      <c r="BD439" s="152">
        <f>MAX(0,MIN(BB439-BC439,CL439-(AZ439)))</f>
        <v/>
      </c>
      <c r="BE439" s="152">
        <f>BB439-BC439-BD439</f>
        <v/>
      </c>
      <c r="BF439" s="152">
        <f>IF(BI438&lt;=0.005,0,BI438*(1+BF$6))</f>
        <v/>
      </c>
      <c r="BG439" s="152">
        <f>MIN(BF439,BF$7)</f>
        <v/>
      </c>
      <c r="BH439" s="152">
        <f>MAX(0,MIN(BF439-BG439,CL439-(AZ439+BD439)))</f>
        <v/>
      </c>
      <c r="BI439" s="152">
        <f>BF439-BG439-BH439</f>
        <v/>
      </c>
      <c r="BJ439" s="152">
        <f>IF(BM438&lt;=0.005,0,BM438*(1+BJ$6))</f>
        <v/>
      </c>
      <c r="BK439" s="152">
        <f>MIN(BJ439,BJ$7)</f>
        <v/>
      </c>
      <c r="BL439" s="152">
        <f>MAX(0,MIN(BJ439-BK439,CL439-(AZ439+BD439+BH439)))</f>
        <v/>
      </c>
      <c r="BM439" s="152">
        <f>BJ439-BK439-BL439</f>
        <v/>
      </c>
      <c r="BN439" s="152">
        <f>IF(BQ438&lt;=0.005,0,BQ438*(1+BN$6))</f>
        <v/>
      </c>
      <c r="BO439" s="152">
        <f>MIN(BN439,BN$7)</f>
        <v/>
      </c>
      <c r="BP439" s="152">
        <f>MAX(0,MIN(BN439-BO439,CL439-(AZ439+BD439+BH439+BL439)))</f>
        <v/>
      </c>
      <c r="BQ439" s="152">
        <f>BN439-BO439-BP439</f>
        <v/>
      </c>
      <c r="BR439" s="152">
        <f>IF(BU438&lt;=0.005,0,BU438*(1+BR$6))</f>
        <v/>
      </c>
      <c r="BS439" s="152">
        <f>MIN(BR439,BR$7)</f>
        <v/>
      </c>
      <c r="BT439" s="152">
        <f>MAX(0,MIN(BR439-BS439,CL439-(AZ439+BD439+BH439+BL439+BP439)))</f>
        <v/>
      </c>
      <c r="BU439" s="152">
        <f>BR439-BS439-BT439</f>
        <v/>
      </c>
      <c r="BV439" s="152">
        <f>IF(BY438&lt;=0.005,0,BY438*(1+BV$6))</f>
        <v/>
      </c>
      <c r="BW439" s="152">
        <f>MIN(BV439,BV$7)</f>
        <v/>
      </c>
      <c r="BX439" s="152">
        <f>MAX(0,MIN(BV439-BW439,CL439-(AZ439+BD439+BH439+BL439+BP439+BT439)))</f>
        <v/>
      </c>
      <c r="BY439" s="152">
        <f>BV439-BW439-BX439</f>
        <v/>
      </c>
      <c r="BZ439" s="152">
        <f>IF(CC438&lt;=0.005,0,CC438*(1+BZ$6))</f>
        <v/>
      </c>
      <c r="CA439" s="152">
        <f>MIN(BZ439,BZ$7)</f>
        <v/>
      </c>
      <c r="CB439" s="152">
        <f>MAX(0,MIN(BZ439-CA439,CL439-(AZ439+BD439+BH439+BL439+BP439+BT439+BX439)))</f>
        <v/>
      </c>
      <c r="CC439" s="152">
        <f>BZ439-CA439-CB439</f>
        <v/>
      </c>
      <c r="CD439" s="152">
        <f>IF(CG438&lt;=0.005,0,CG438*(1+CD$6))</f>
        <v/>
      </c>
      <c r="CE439" s="152">
        <f>MIN(CD439,CD$7)</f>
        <v/>
      </c>
      <c r="CF439" s="152">
        <f>MAX(0,MIN(CD439-CE439,CL439-(AZ439+BD439+BH439+BL439+BP439+BT439+BX439+CB439)))</f>
        <v/>
      </c>
      <c r="CG439" s="152">
        <f>CD439-CE439-CF439</f>
        <v/>
      </c>
      <c r="CH439" s="152">
        <f>IF(CK438&lt;=0.005,0,CK438*(1+CH$6))</f>
        <v/>
      </c>
      <c r="CI439" s="152">
        <f>MIN(CH439,CH$7)</f>
        <v/>
      </c>
      <c r="CJ439" s="152">
        <f>MAX(0,MIN(CH439-CI439,CL439-(AZ439+BD439+BH439+BL439+BP439+BT439+BX439+CB439+CF439)))</f>
        <v/>
      </c>
      <c r="CK439" s="152">
        <f>CH439-CI439-CJ439</f>
        <v/>
      </c>
      <c r="CL439" s="152">
        <f>'Debt Payoff'!$C$8-SUM(AY439,BC439,BG439,BK439,BO439,BS439,BW439,CA439,CE439,CI439)</f>
        <v/>
      </c>
      <c r="CM439" s="152">
        <f>SUM(AY439,BC439,BG439,BK439,BO439,BS439,BW439,CA439,CE439,CI439)+SUM(AZ439,BD439,BH439,BL439,BP439,BT439,BX439,CB439,CF439,CJ439)</f>
        <v/>
      </c>
      <c r="CN439" s="152">
        <f>SUM(BA439,BE439,BI439,BM439,BQ439,BU439,BY439,CC439,CG439,CK439)</f>
        <v/>
      </c>
      <c r="CO439" s="152">
        <f>IF(AW439&gt;CN$6,NA(),AW439)</f>
        <v/>
      </c>
      <c r="CP439" s="152">
        <f>IF(AW439&gt;CN$6,NA(),CN439)</f>
        <v/>
      </c>
    </row>
    <row r="440">
      <c r="B440" s="152" t="n">
        <v>429</v>
      </c>
      <c r="C440" s="152">
        <f>IF(F439&lt;=0.005,0,F439*(1+C$6))</f>
        <v/>
      </c>
      <c r="D440" s="152">
        <f>MIN(C440,C$7)</f>
        <v/>
      </c>
      <c r="E440" s="152">
        <f>MAX(0,MIN(C440-D440,AQ440))</f>
        <v/>
      </c>
      <c r="F440" s="152">
        <f>C440-D440-E440</f>
        <v/>
      </c>
      <c r="G440" s="152">
        <f>IF(J439&lt;=0.005,0,J439*(1+G$6))</f>
        <v/>
      </c>
      <c r="H440" s="152">
        <f>MIN(G440,G$7)</f>
        <v/>
      </c>
      <c r="I440" s="152">
        <f>MAX(0,MIN(G440-H440,AQ440-(E440)))</f>
        <v/>
      </c>
      <c r="J440" s="152">
        <f>G440-H440-I440</f>
        <v/>
      </c>
      <c r="K440" s="152">
        <f>IF(N439&lt;=0.005,0,N439*(1+K$6))</f>
        <v/>
      </c>
      <c r="L440" s="152">
        <f>MIN(K440,K$7)</f>
        <v/>
      </c>
      <c r="M440" s="152">
        <f>MAX(0,MIN(K440-L440,AQ440-(E440+I440)))</f>
        <v/>
      </c>
      <c r="N440" s="152">
        <f>K440-L440-M440</f>
        <v/>
      </c>
      <c r="O440" s="152">
        <f>IF(R439&lt;=0.005,0,R439*(1+O$6))</f>
        <v/>
      </c>
      <c r="P440" s="152">
        <f>MIN(O440,O$7)</f>
        <v/>
      </c>
      <c r="Q440" s="152">
        <f>MAX(0,MIN(O440-P440,AQ440-(E440+I440+M440)))</f>
        <v/>
      </c>
      <c r="R440" s="152">
        <f>O440-P440-Q440</f>
        <v/>
      </c>
      <c r="S440" s="152">
        <f>IF(V439&lt;=0.005,0,V439*(1+S$6))</f>
        <v/>
      </c>
      <c r="T440" s="152">
        <f>MIN(S440,S$7)</f>
        <v/>
      </c>
      <c r="U440" s="152">
        <f>MAX(0,MIN(S440-T440,AQ440-(E440+I440+M440+Q440)))</f>
        <v/>
      </c>
      <c r="V440" s="152">
        <f>S440-T440-U440</f>
        <v/>
      </c>
      <c r="W440" s="152">
        <f>IF(Z439&lt;=0.005,0,Z439*(1+W$6))</f>
        <v/>
      </c>
      <c r="X440" s="152">
        <f>MIN(W440,W$7)</f>
        <v/>
      </c>
      <c r="Y440" s="152">
        <f>MAX(0,MIN(W440-X440,AQ440-(E440+I440+M440+Q440+U440)))</f>
        <v/>
      </c>
      <c r="Z440" s="152">
        <f>W440-X440-Y440</f>
        <v/>
      </c>
      <c r="AA440" s="152">
        <f>IF(AD439&lt;=0.005,0,AD439*(1+AA$6))</f>
        <v/>
      </c>
      <c r="AB440" s="152">
        <f>MIN(AA440,AA$7)</f>
        <v/>
      </c>
      <c r="AC440" s="152">
        <f>MAX(0,MIN(AA440-AB440,AQ440-(E440+I440+M440+Q440+U440+Y440)))</f>
        <v/>
      </c>
      <c r="AD440" s="152">
        <f>AA440-AB440-AC440</f>
        <v/>
      </c>
      <c r="AE440" s="152">
        <f>IF(AH439&lt;=0.005,0,AH439*(1+AE$6))</f>
        <v/>
      </c>
      <c r="AF440" s="152">
        <f>MIN(AE440,AE$7)</f>
        <v/>
      </c>
      <c r="AG440" s="152">
        <f>MAX(0,MIN(AE440-AF440,AQ440-(E440+I440+M440+Q440+U440+Y440+AC440)))</f>
        <v/>
      </c>
      <c r="AH440" s="152">
        <f>AE440-AF440-AG440</f>
        <v/>
      </c>
      <c r="AI440" s="152">
        <f>IF(AL439&lt;=0.005,0,AL439*(1+AI$6))</f>
        <v/>
      </c>
      <c r="AJ440" s="152">
        <f>MIN(AI440,AI$7)</f>
        <v/>
      </c>
      <c r="AK440" s="152">
        <f>MAX(0,MIN(AI440-AJ440,AQ440-(E440+I440+M440+Q440+U440+Y440+AC440+AG440)))</f>
        <v/>
      </c>
      <c r="AL440" s="152">
        <f>AI440-AJ440-AK440</f>
        <v/>
      </c>
      <c r="AM440" s="152">
        <f>IF(AP439&lt;=0.005,0,AP439*(1+AM$6))</f>
        <v/>
      </c>
      <c r="AN440" s="152">
        <f>MIN(AM440,AM$7)</f>
        <v/>
      </c>
      <c r="AO440" s="152">
        <f>MAX(0,MIN(AM440-AN440,AQ440-(E440+I440+M440+Q440+U440+Y440+AC440+AG440+AK440)))</f>
        <v/>
      </c>
      <c r="AP440" s="152">
        <f>AM440-AN440-AO440</f>
        <v/>
      </c>
      <c r="AQ440" s="152">
        <f>'Debt Payoff'!$C$8-SUM(D440,H440,L440,P440,T440,X440,AB440,AF440,AJ440,AN440)</f>
        <v/>
      </c>
      <c r="AR440" s="152">
        <f>SUM(D440,H440,L440,P440,T440,X440,AB440,AF440,AJ440,AN440)+SUM(E440,I440,M440,Q440,U440,Y440,AC440,AG440,AK440,AO440)</f>
        <v/>
      </c>
      <c r="AS440" s="152">
        <f>SUM(F440,J440,N440,R440,V440,Z440,AD440,AH440,AL440,AP440)</f>
        <v/>
      </c>
      <c r="AT440" s="152">
        <f>IF(B440&gt;AS$6,NA(),B440)</f>
        <v/>
      </c>
      <c r="AU440" s="152">
        <f>IF(B440&gt;AS$6,NA(),AS440)</f>
        <v/>
      </c>
      <c r="AV440" s="152" t="n"/>
      <c r="AW440" s="152" t="n">
        <v>429</v>
      </c>
      <c r="AX440" s="152">
        <f>IF(BA439&lt;=0.005,0,BA439*(1+AX$6))</f>
        <v/>
      </c>
      <c r="AY440" s="152">
        <f>MIN(AX440,AX$7)</f>
        <v/>
      </c>
      <c r="AZ440" s="152">
        <f>MAX(0,MIN(AX440-AY440,CL440))</f>
        <v/>
      </c>
      <c r="BA440" s="152">
        <f>AX440-AY440-AZ440</f>
        <v/>
      </c>
      <c r="BB440" s="152">
        <f>IF(BE439&lt;=0.005,0,BE439*(1+BB$6))</f>
        <v/>
      </c>
      <c r="BC440" s="152">
        <f>MIN(BB440,BB$7)</f>
        <v/>
      </c>
      <c r="BD440" s="152">
        <f>MAX(0,MIN(BB440-BC440,CL440-(AZ440)))</f>
        <v/>
      </c>
      <c r="BE440" s="152">
        <f>BB440-BC440-BD440</f>
        <v/>
      </c>
      <c r="BF440" s="152">
        <f>IF(BI439&lt;=0.005,0,BI439*(1+BF$6))</f>
        <v/>
      </c>
      <c r="BG440" s="152">
        <f>MIN(BF440,BF$7)</f>
        <v/>
      </c>
      <c r="BH440" s="152">
        <f>MAX(0,MIN(BF440-BG440,CL440-(AZ440+BD440)))</f>
        <v/>
      </c>
      <c r="BI440" s="152">
        <f>BF440-BG440-BH440</f>
        <v/>
      </c>
      <c r="BJ440" s="152">
        <f>IF(BM439&lt;=0.005,0,BM439*(1+BJ$6))</f>
        <v/>
      </c>
      <c r="BK440" s="152">
        <f>MIN(BJ440,BJ$7)</f>
        <v/>
      </c>
      <c r="BL440" s="152">
        <f>MAX(0,MIN(BJ440-BK440,CL440-(AZ440+BD440+BH440)))</f>
        <v/>
      </c>
      <c r="BM440" s="152">
        <f>BJ440-BK440-BL440</f>
        <v/>
      </c>
      <c r="BN440" s="152">
        <f>IF(BQ439&lt;=0.005,0,BQ439*(1+BN$6))</f>
        <v/>
      </c>
      <c r="BO440" s="152">
        <f>MIN(BN440,BN$7)</f>
        <v/>
      </c>
      <c r="BP440" s="152">
        <f>MAX(0,MIN(BN440-BO440,CL440-(AZ440+BD440+BH440+BL440)))</f>
        <v/>
      </c>
      <c r="BQ440" s="152">
        <f>BN440-BO440-BP440</f>
        <v/>
      </c>
      <c r="BR440" s="152">
        <f>IF(BU439&lt;=0.005,0,BU439*(1+BR$6))</f>
        <v/>
      </c>
      <c r="BS440" s="152">
        <f>MIN(BR440,BR$7)</f>
        <v/>
      </c>
      <c r="BT440" s="152">
        <f>MAX(0,MIN(BR440-BS440,CL440-(AZ440+BD440+BH440+BL440+BP440)))</f>
        <v/>
      </c>
      <c r="BU440" s="152">
        <f>BR440-BS440-BT440</f>
        <v/>
      </c>
      <c r="BV440" s="152">
        <f>IF(BY439&lt;=0.005,0,BY439*(1+BV$6))</f>
        <v/>
      </c>
      <c r="BW440" s="152">
        <f>MIN(BV440,BV$7)</f>
        <v/>
      </c>
      <c r="BX440" s="152">
        <f>MAX(0,MIN(BV440-BW440,CL440-(AZ440+BD440+BH440+BL440+BP440+BT440)))</f>
        <v/>
      </c>
      <c r="BY440" s="152">
        <f>BV440-BW440-BX440</f>
        <v/>
      </c>
      <c r="BZ440" s="152">
        <f>IF(CC439&lt;=0.005,0,CC439*(1+BZ$6))</f>
        <v/>
      </c>
      <c r="CA440" s="152">
        <f>MIN(BZ440,BZ$7)</f>
        <v/>
      </c>
      <c r="CB440" s="152">
        <f>MAX(0,MIN(BZ440-CA440,CL440-(AZ440+BD440+BH440+BL440+BP440+BT440+BX440)))</f>
        <v/>
      </c>
      <c r="CC440" s="152">
        <f>BZ440-CA440-CB440</f>
        <v/>
      </c>
      <c r="CD440" s="152">
        <f>IF(CG439&lt;=0.005,0,CG439*(1+CD$6))</f>
        <v/>
      </c>
      <c r="CE440" s="152">
        <f>MIN(CD440,CD$7)</f>
        <v/>
      </c>
      <c r="CF440" s="152">
        <f>MAX(0,MIN(CD440-CE440,CL440-(AZ440+BD440+BH440+BL440+BP440+BT440+BX440+CB440)))</f>
        <v/>
      </c>
      <c r="CG440" s="152">
        <f>CD440-CE440-CF440</f>
        <v/>
      </c>
      <c r="CH440" s="152">
        <f>IF(CK439&lt;=0.005,0,CK439*(1+CH$6))</f>
        <v/>
      </c>
      <c r="CI440" s="152">
        <f>MIN(CH440,CH$7)</f>
        <v/>
      </c>
      <c r="CJ440" s="152">
        <f>MAX(0,MIN(CH440-CI440,CL440-(AZ440+BD440+BH440+BL440+BP440+BT440+BX440+CB440+CF440)))</f>
        <v/>
      </c>
      <c r="CK440" s="152">
        <f>CH440-CI440-CJ440</f>
        <v/>
      </c>
      <c r="CL440" s="152">
        <f>'Debt Payoff'!$C$8-SUM(AY440,BC440,BG440,BK440,BO440,BS440,BW440,CA440,CE440,CI440)</f>
        <v/>
      </c>
      <c r="CM440" s="152">
        <f>SUM(AY440,BC440,BG440,BK440,BO440,BS440,BW440,CA440,CE440,CI440)+SUM(AZ440,BD440,BH440,BL440,BP440,BT440,BX440,CB440,CF440,CJ440)</f>
        <v/>
      </c>
      <c r="CN440" s="152">
        <f>SUM(BA440,BE440,BI440,BM440,BQ440,BU440,BY440,CC440,CG440,CK440)</f>
        <v/>
      </c>
      <c r="CO440" s="152">
        <f>IF(AW440&gt;CN$6,NA(),AW440)</f>
        <v/>
      </c>
      <c r="CP440" s="152">
        <f>IF(AW440&gt;CN$6,NA(),CN440)</f>
        <v/>
      </c>
    </row>
    <row r="441">
      <c r="B441" s="152" t="n">
        <v>430</v>
      </c>
      <c r="C441" s="152">
        <f>IF(F440&lt;=0.005,0,F440*(1+C$6))</f>
        <v/>
      </c>
      <c r="D441" s="152">
        <f>MIN(C441,C$7)</f>
        <v/>
      </c>
      <c r="E441" s="152">
        <f>MAX(0,MIN(C441-D441,AQ441))</f>
        <v/>
      </c>
      <c r="F441" s="152">
        <f>C441-D441-E441</f>
        <v/>
      </c>
      <c r="G441" s="152">
        <f>IF(J440&lt;=0.005,0,J440*(1+G$6))</f>
        <v/>
      </c>
      <c r="H441" s="152">
        <f>MIN(G441,G$7)</f>
        <v/>
      </c>
      <c r="I441" s="152">
        <f>MAX(0,MIN(G441-H441,AQ441-(E441)))</f>
        <v/>
      </c>
      <c r="J441" s="152">
        <f>G441-H441-I441</f>
        <v/>
      </c>
      <c r="K441" s="152">
        <f>IF(N440&lt;=0.005,0,N440*(1+K$6))</f>
        <v/>
      </c>
      <c r="L441" s="152">
        <f>MIN(K441,K$7)</f>
        <v/>
      </c>
      <c r="M441" s="152">
        <f>MAX(0,MIN(K441-L441,AQ441-(E441+I441)))</f>
        <v/>
      </c>
      <c r="N441" s="152">
        <f>K441-L441-M441</f>
        <v/>
      </c>
      <c r="O441" s="152">
        <f>IF(R440&lt;=0.005,0,R440*(1+O$6))</f>
        <v/>
      </c>
      <c r="P441" s="152">
        <f>MIN(O441,O$7)</f>
        <v/>
      </c>
      <c r="Q441" s="152">
        <f>MAX(0,MIN(O441-P441,AQ441-(E441+I441+M441)))</f>
        <v/>
      </c>
      <c r="R441" s="152">
        <f>O441-P441-Q441</f>
        <v/>
      </c>
      <c r="S441" s="152">
        <f>IF(V440&lt;=0.005,0,V440*(1+S$6))</f>
        <v/>
      </c>
      <c r="T441" s="152">
        <f>MIN(S441,S$7)</f>
        <v/>
      </c>
      <c r="U441" s="152">
        <f>MAX(0,MIN(S441-T441,AQ441-(E441+I441+M441+Q441)))</f>
        <v/>
      </c>
      <c r="V441" s="152">
        <f>S441-T441-U441</f>
        <v/>
      </c>
      <c r="W441" s="152">
        <f>IF(Z440&lt;=0.005,0,Z440*(1+W$6))</f>
        <v/>
      </c>
      <c r="X441" s="152">
        <f>MIN(W441,W$7)</f>
        <v/>
      </c>
      <c r="Y441" s="152">
        <f>MAX(0,MIN(W441-X441,AQ441-(E441+I441+M441+Q441+U441)))</f>
        <v/>
      </c>
      <c r="Z441" s="152">
        <f>W441-X441-Y441</f>
        <v/>
      </c>
      <c r="AA441" s="152">
        <f>IF(AD440&lt;=0.005,0,AD440*(1+AA$6))</f>
        <v/>
      </c>
      <c r="AB441" s="152">
        <f>MIN(AA441,AA$7)</f>
        <v/>
      </c>
      <c r="AC441" s="152">
        <f>MAX(0,MIN(AA441-AB441,AQ441-(E441+I441+M441+Q441+U441+Y441)))</f>
        <v/>
      </c>
      <c r="AD441" s="152">
        <f>AA441-AB441-AC441</f>
        <v/>
      </c>
      <c r="AE441" s="152">
        <f>IF(AH440&lt;=0.005,0,AH440*(1+AE$6))</f>
        <v/>
      </c>
      <c r="AF441" s="152">
        <f>MIN(AE441,AE$7)</f>
        <v/>
      </c>
      <c r="AG441" s="152">
        <f>MAX(0,MIN(AE441-AF441,AQ441-(E441+I441+M441+Q441+U441+Y441+AC441)))</f>
        <v/>
      </c>
      <c r="AH441" s="152">
        <f>AE441-AF441-AG441</f>
        <v/>
      </c>
      <c r="AI441" s="152">
        <f>IF(AL440&lt;=0.005,0,AL440*(1+AI$6))</f>
        <v/>
      </c>
      <c r="AJ441" s="152">
        <f>MIN(AI441,AI$7)</f>
        <v/>
      </c>
      <c r="AK441" s="152">
        <f>MAX(0,MIN(AI441-AJ441,AQ441-(E441+I441+M441+Q441+U441+Y441+AC441+AG441)))</f>
        <v/>
      </c>
      <c r="AL441" s="152">
        <f>AI441-AJ441-AK441</f>
        <v/>
      </c>
      <c r="AM441" s="152">
        <f>IF(AP440&lt;=0.005,0,AP440*(1+AM$6))</f>
        <v/>
      </c>
      <c r="AN441" s="152">
        <f>MIN(AM441,AM$7)</f>
        <v/>
      </c>
      <c r="AO441" s="152">
        <f>MAX(0,MIN(AM441-AN441,AQ441-(E441+I441+M441+Q441+U441+Y441+AC441+AG441+AK441)))</f>
        <v/>
      </c>
      <c r="AP441" s="152">
        <f>AM441-AN441-AO441</f>
        <v/>
      </c>
      <c r="AQ441" s="152">
        <f>'Debt Payoff'!$C$8-SUM(D441,H441,L441,P441,T441,X441,AB441,AF441,AJ441,AN441)</f>
        <v/>
      </c>
      <c r="AR441" s="152">
        <f>SUM(D441,H441,L441,P441,T441,X441,AB441,AF441,AJ441,AN441)+SUM(E441,I441,M441,Q441,U441,Y441,AC441,AG441,AK441,AO441)</f>
        <v/>
      </c>
      <c r="AS441" s="152">
        <f>SUM(F441,J441,N441,R441,V441,Z441,AD441,AH441,AL441,AP441)</f>
        <v/>
      </c>
      <c r="AT441" s="152">
        <f>IF(B441&gt;AS$6,NA(),B441)</f>
        <v/>
      </c>
      <c r="AU441" s="152">
        <f>IF(B441&gt;AS$6,NA(),AS441)</f>
        <v/>
      </c>
      <c r="AV441" s="152" t="n"/>
      <c r="AW441" s="152" t="n">
        <v>430</v>
      </c>
      <c r="AX441" s="152">
        <f>IF(BA440&lt;=0.005,0,BA440*(1+AX$6))</f>
        <v/>
      </c>
      <c r="AY441" s="152">
        <f>MIN(AX441,AX$7)</f>
        <v/>
      </c>
      <c r="AZ441" s="152">
        <f>MAX(0,MIN(AX441-AY441,CL441))</f>
        <v/>
      </c>
      <c r="BA441" s="152">
        <f>AX441-AY441-AZ441</f>
        <v/>
      </c>
      <c r="BB441" s="152">
        <f>IF(BE440&lt;=0.005,0,BE440*(1+BB$6))</f>
        <v/>
      </c>
      <c r="BC441" s="152">
        <f>MIN(BB441,BB$7)</f>
        <v/>
      </c>
      <c r="BD441" s="152">
        <f>MAX(0,MIN(BB441-BC441,CL441-(AZ441)))</f>
        <v/>
      </c>
      <c r="BE441" s="152">
        <f>BB441-BC441-BD441</f>
        <v/>
      </c>
      <c r="BF441" s="152">
        <f>IF(BI440&lt;=0.005,0,BI440*(1+BF$6))</f>
        <v/>
      </c>
      <c r="BG441" s="152">
        <f>MIN(BF441,BF$7)</f>
        <v/>
      </c>
      <c r="BH441" s="152">
        <f>MAX(0,MIN(BF441-BG441,CL441-(AZ441+BD441)))</f>
        <v/>
      </c>
      <c r="BI441" s="152">
        <f>BF441-BG441-BH441</f>
        <v/>
      </c>
      <c r="BJ441" s="152">
        <f>IF(BM440&lt;=0.005,0,BM440*(1+BJ$6))</f>
        <v/>
      </c>
      <c r="BK441" s="152">
        <f>MIN(BJ441,BJ$7)</f>
        <v/>
      </c>
      <c r="BL441" s="152">
        <f>MAX(0,MIN(BJ441-BK441,CL441-(AZ441+BD441+BH441)))</f>
        <v/>
      </c>
      <c r="BM441" s="152">
        <f>BJ441-BK441-BL441</f>
        <v/>
      </c>
      <c r="BN441" s="152">
        <f>IF(BQ440&lt;=0.005,0,BQ440*(1+BN$6))</f>
        <v/>
      </c>
      <c r="BO441" s="152">
        <f>MIN(BN441,BN$7)</f>
        <v/>
      </c>
      <c r="BP441" s="152">
        <f>MAX(0,MIN(BN441-BO441,CL441-(AZ441+BD441+BH441+BL441)))</f>
        <v/>
      </c>
      <c r="BQ441" s="152">
        <f>BN441-BO441-BP441</f>
        <v/>
      </c>
      <c r="BR441" s="152">
        <f>IF(BU440&lt;=0.005,0,BU440*(1+BR$6))</f>
        <v/>
      </c>
      <c r="BS441" s="152">
        <f>MIN(BR441,BR$7)</f>
        <v/>
      </c>
      <c r="BT441" s="152">
        <f>MAX(0,MIN(BR441-BS441,CL441-(AZ441+BD441+BH441+BL441+BP441)))</f>
        <v/>
      </c>
      <c r="BU441" s="152">
        <f>BR441-BS441-BT441</f>
        <v/>
      </c>
      <c r="BV441" s="152">
        <f>IF(BY440&lt;=0.005,0,BY440*(1+BV$6))</f>
        <v/>
      </c>
      <c r="BW441" s="152">
        <f>MIN(BV441,BV$7)</f>
        <v/>
      </c>
      <c r="BX441" s="152">
        <f>MAX(0,MIN(BV441-BW441,CL441-(AZ441+BD441+BH441+BL441+BP441+BT441)))</f>
        <v/>
      </c>
      <c r="BY441" s="152">
        <f>BV441-BW441-BX441</f>
        <v/>
      </c>
      <c r="BZ441" s="152">
        <f>IF(CC440&lt;=0.005,0,CC440*(1+BZ$6))</f>
        <v/>
      </c>
      <c r="CA441" s="152">
        <f>MIN(BZ441,BZ$7)</f>
        <v/>
      </c>
      <c r="CB441" s="152">
        <f>MAX(0,MIN(BZ441-CA441,CL441-(AZ441+BD441+BH441+BL441+BP441+BT441+BX441)))</f>
        <v/>
      </c>
      <c r="CC441" s="152">
        <f>BZ441-CA441-CB441</f>
        <v/>
      </c>
      <c r="CD441" s="152">
        <f>IF(CG440&lt;=0.005,0,CG440*(1+CD$6))</f>
        <v/>
      </c>
      <c r="CE441" s="152">
        <f>MIN(CD441,CD$7)</f>
        <v/>
      </c>
      <c r="CF441" s="152">
        <f>MAX(0,MIN(CD441-CE441,CL441-(AZ441+BD441+BH441+BL441+BP441+BT441+BX441+CB441)))</f>
        <v/>
      </c>
      <c r="CG441" s="152">
        <f>CD441-CE441-CF441</f>
        <v/>
      </c>
      <c r="CH441" s="152">
        <f>IF(CK440&lt;=0.005,0,CK440*(1+CH$6))</f>
        <v/>
      </c>
      <c r="CI441" s="152">
        <f>MIN(CH441,CH$7)</f>
        <v/>
      </c>
      <c r="CJ441" s="152">
        <f>MAX(0,MIN(CH441-CI441,CL441-(AZ441+BD441+BH441+BL441+BP441+BT441+BX441+CB441+CF441)))</f>
        <v/>
      </c>
      <c r="CK441" s="152">
        <f>CH441-CI441-CJ441</f>
        <v/>
      </c>
      <c r="CL441" s="152">
        <f>'Debt Payoff'!$C$8-SUM(AY441,BC441,BG441,BK441,BO441,BS441,BW441,CA441,CE441,CI441)</f>
        <v/>
      </c>
      <c r="CM441" s="152">
        <f>SUM(AY441,BC441,BG441,BK441,BO441,BS441,BW441,CA441,CE441,CI441)+SUM(AZ441,BD441,BH441,BL441,BP441,BT441,BX441,CB441,CF441,CJ441)</f>
        <v/>
      </c>
      <c r="CN441" s="152">
        <f>SUM(BA441,BE441,BI441,BM441,BQ441,BU441,BY441,CC441,CG441,CK441)</f>
        <v/>
      </c>
      <c r="CO441" s="152">
        <f>IF(AW441&gt;CN$6,NA(),AW441)</f>
        <v/>
      </c>
      <c r="CP441" s="152">
        <f>IF(AW441&gt;CN$6,NA(),CN441)</f>
        <v/>
      </c>
    </row>
    <row r="442">
      <c r="B442" s="152" t="n">
        <v>431</v>
      </c>
      <c r="C442" s="152">
        <f>IF(F441&lt;=0.005,0,F441*(1+C$6))</f>
        <v/>
      </c>
      <c r="D442" s="152">
        <f>MIN(C442,C$7)</f>
        <v/>
      </c>
      <c r="E442" s="152">
        <f>MAX(0,MIN(C442-D442,AQ442))</f>
        <v/>
      </c>
      <c r="F442" s="152">
        <f>C442-D442-E442</f>
        <v/>
      </c>
      <c r="G442" s="152">
        <f>IF(J441&lt;=0.005,0,J441*(1+G$6))</f>
        <v/>
      </c>
      <c r="H442" s="152">
        <f>MIN(G442,G$7)</f>
        <v/>
      </c>
      <c r="I442" s="152">
        <f>MAX(0,MIN(G442-H442,AQ442-(E442)))</f>
        <v/>
      </c>
      <c r="J442" s="152">
        <f>G442-H442-I442</f>
        <v/>
      </c>
      <c r="K442" s="152">
        <f>IF(N441&lt;=0.005,0,N441*(1+K$6))</f>
        <v/>
      </c>
      <c r="L442" s="152">
        <f>MIN(K442,K$7)</f>
        <v/>
      </c>
      <c r="M442" s="152">
        <f>MAX(0,MIN(K442-L442,AQ442-(E442+I442)))</f>
        <v/>
      </c>
      <c r="N442" s="152">
        <f>K442-L442-M442</f>
        <v/>
      </c>
      <c r="O442" s="152">
        <f>IF(R441&lt;=0.005,0,R441*(1+O$6))</f>
        <v/>
      </c>
      <c r="P442" s="152">
        <f>MIN(O442,O$7)</f>
        <v/>
      </c>
      <c r="Q442" s="152">
        <f>MAX(0,MIN(O442-P442,AQ442-(E442+I442+M442)))</f>
        <v/>
      </c>
      <c r="R442" s="152">
        <f>O442-P442-Q442</f>
        <v/>
      </c>
      <c r="S442" s="152">
        <f>IF(V441&lt;=0.005,0,V441*(1+S$6))</f>
        <v/>
      </c>
      <c r="T442" s="152">
        <f>MIN(S442,S$7)</f>
        <v/>
      </c>
      <c r="U442" s="152">
        <f>MAX(0,MIN(S442-T442,AQ442-(E442+I442+M442+Q442)))</f>
        <v/>
      </c>
      <c r="V442" s="152">
        <f>S442-T442-U442</f>
        <v/>
      </c>
      <c r="W442" s="152">
        <f>IF(Z441&lt;=0.005,0,Z441*(1+W$6))</f>
        <v/>
      </c>
      <c r="X442" s="152">
        <f>MIN(W442,W$7)</f>
        <v/>
      </c>
      <c r="Y442" s="152">
        <f>MAX(0,MIN(W442-X442,AQ442-(E442+I442+M442+Q442+U442)))</f>
        <v/>
      </c>
      <c r="Z442" s="152">
        <f>W442-X442-Y442</f>
        <v/>
      </c>
      <c r="AA442" s="152">
        <f>IF(AD441&lt;=0.005,0,AD441*(1+AA$6))</f>
        <v/>
      </c>
      <c r="AB442" s="152">
        <f>MIN(AA442,AA$7)</f>
        <v/>
      </c>
      <c r="AC442" s="152">
        <f>MAX(0,MIN(AA442-AB442,AQ442-(E442+I442+M442+Q442+U442+Y442)))</f>
        <v/>
      </c>
      <c r="AD442" s="152">
        <f>AA442-AB442-AC442</f>
        <v/>
      </c>
      <c r="AE442" s="152">
        <f>IF(AH441&lt;=0.005,0,AH441*(1+AE$6))</f>
        <v/>
      </c>
      <c r="AF442" s="152">
        <f>MIN(AE442,AE$7)</f>
        <v/>
      </c>
      <c r="AG442" s="152">
        <f>MAX(0,MIN(AE442-AF442,AQ442-(E442+I442+M442+Q442+U442+Y442+AC442)))</f>
        <v/>
      </c>
      <c r="AH442" s="152">
        <f>AE442-AF442-AG442</f>
        <v/>
      </c>
      <c r="AI442" s="152">
        <f>IF(AL441&lt;=0.005,0,AL441*(1+AI$6))</f>
        <v/>
      </c>
      <c r="AJ442" s="152">
        <f>MIN(AI442,AI$7)</f>
        <v/>
      </c>
      <c r="AK442" s="152">
        <f>MAX(0,MIN(AI442-AJ442,AQ442-(E442+I442+M442+Q442+U442+Y442+AC442+AG442)))</f>
        <v/>
      </c>
      <c r="AL442" s="152">
        <f>AI442-AJ442-AK442</f>
        <v/>
      </c>
      <c r="AM442" s="152">
        <f>IF(AP441&lt;=0.005,0,AP441*(1+AM$6))</f>
        <v/>
      </c>
      <c r="AN442" s="152">
        <f>MIN(AM442,AM$7)</f>
        <v/>
      </c>
      <c r="AO442" s="152">
        <f>MAX(0,MIN(AM442-AN442,AQ442-(E442+I442+M442+Q442+U442+Y442+AC442+AG442+AK442)))</f>
        <v/>
      </c>
      <c r="AP442" s="152">
        <f>AM442-AN442-AO442</f>
        <v/>
      </c>
      <c r="AQ442" s="152">
        <f>'Debt Payoff'!$C$8-SUM(D442,H442,L442,P442,T442,X442,AB442,AF442,AJ442,AN442)</f>
        <v/>
      </c>
      <c r="AR442" s="152">
        <f>SUM(D442,H442,L442,P442,T442,X442,AB442,AF442,AJ442,AN442)+SUM(E442,I442,M442,Q442,U442,Y442,AC442,AG442,AK442,AO442)</f>
        <v/>
      </c>
      <c r="AS442" s="152">
        <f>SUM(F442,J442,N442,R442,V442,Z442,AD442,AH442,AL442,AP442)</f>
        <v/>
      </c>
      <c r="AT442" s="152">
        <f>IF(B442&gt;AS$6,NA(),B442)</f>
        <v/>
      </c>
      <c r="AU442" s="152">
        <f>IF(B442&gt;AS$6,NA(),AS442)</f>
        <v/>
      </c>
      <c r="AV442" s="152" t="n"/>
      <c r="AW442" s="152" t="n">
        <v>431</v>
      </c>
      <c r="AX442" s="152">
        <f>IF(BA441&lt;=0.005,0,BA441*(1+AX$6))</f>
        <v/>
      </c>
      <c r="AY442" s="152">
        <f>MIN(AX442,AX$7)</f>
        <v/>
      </c>
      <c r="AZ442" s="152">
        <f>MAX(0,MIN(AX442-AY442,CL442))</f>
        <v/>
      </c>
      <c r="BA442" s="152">
        <f>AX442-AY442-AZ442</f>
        <v/>
      </c>
      <c r="BB442" s="152">
        <f>IF(BE441&lt;=0.005,0,BE441*(1+BB$6))</f>
        <v/>
      </c>
      <c r="BC442" s="152">
        <f>MIN(BB442,BB$7)</f>
        <v/>
      </c>
      <c r="BD442" s="152">
        <f>MAX(0,MIN(BB442-BC442,CL442-(AZ442)))</f>
        <v/>
      </c>
      <c r="BE442" s="152">
        <f>BB442-BC442-BD442</f>
        <v/>
      </c>
      <c r="BF442" s="152">
        <f>IF(BI441&lt;=0.005,0,BI441*(1+BF$6))</f>
        <v/>
      </c>
      <c r="BG442" s="152">
        <f>MIN(BF442,BF$7)</f>
        <v/>
      </c>
      <c r="BH442" s="152">
        <f>MAX(0,MIN(BF442-BG442,CL442-(AZ442+BD442)))</f>
        <v/>
      </c>
      <c r="BI442" s="152">
        <f>BF442-BG442-BH442</f>
        <v/>
      </c>
      <c r="BJ442" s="152">
        <f>IF(BM441&lt;=0.005,0,BM441*(1+BJ$6))</f>
        <v/>
      </c>
      <c r="BK442" s="152">
        <f>MIN(BJ442,BJ$7)</f>
        <v/>
      </c>
      <c r="BL442" s="152">
        <f>MAX(0,MIN(BJ442-BK442,CL442-(AZ442+BD442+BH442)))</f>
        <v/>
      </c>
      <c r="BM442" s="152">
        <f>BJ442-BK442-BL442</f>
        <v/>
      </c>
      <c r="BN442" s="152">
        <f>IF(BQ441&lt;=0.005,0,BQ441*(1+BN$6))</f>
        <v/>
      </c>
      <c r="BO442" s="152">
        <f>MIN(BN442,BN$7)</f>
        <v/>
      </c>
      <c r="BP442" s="152">
        <f>MAX(0,MIN(BN442-BO442,CL442-(AZ442+BD442+BH442+BL442)))</f>
        <v/>
      </c>
      <c r="BQ442" s="152">
        <f>BN442-BO442-BP442</f>
        <v/>
      </c>
      <c r="BR442" s="152">
        <f>IF(BU441&lt;=0.005,0,BU441*(1+BR$6))</f>
        <v/>
      </c>
      <c r="BS442" s="152">
        <f>MIN(BR442,BR$7)</f>
        <v/>
      </c>
      <c r="BT442" s="152">
        <f>MAX(0,MIN(BR442-BS442,CL442-(AZ442+BD442+BH442+BL442+BP442)))</f>
        <v/>
      </c>
      <c r="BU442" s="152">
        <f>BR442-BS442-BT442</f>
        <v/>
      </c>
      <c r="BV442" s="152">
        <f>IF(BY441&lt;=0.005,0,BY441*(1+BV$6))</f>
        <v/>
      </c>
      <c r="BW442" s="152">
        <f>MIN(BV442,BV$7)</f>
        <v/>
      </c>
      <c r="BX442" s="152">
        <f>MAX(0,MIN(BV442-BW442,CL442-(AZ442+BD442+BH442+BL442+BP442+BT442)))</f>
        <v/>
      </c>
      <c r="BY442" s="152">
        <f>BV442-BW442-BX442</f>
        <v/>
      </c>
      <c r="BZ442" s="152">
        <f>IF(CC441&lt;=0.005,0,CC441*(1+BZ$6))</f>
        <v/>
      </c>
      <c r="CA442" s="152">
        <f>MIN(BZ442,BZ$7)</f>
        <v/>
      </c>
      <c r="CB442" s="152">
        <f>MAX(0,MIN(BZ442-CA442,CL442-(AZ442+BD442+BH442+BL442+BP442+BT442+BX442)))</f>
        <v/>
      </c>
      <c r="CC442" s="152">
        <f>BZ442-CA442-CB442</f>
        <v/>
      </c>
      <c r="CD442" s="152">
        <f>IF(CG441&lt;=0.005,0,CG441*(1+CD$6))</f>
        <v/>
      </c>
      <c r="CE442" s="152">
        <f>MIN(CD442,CD$7)</f>
        <v/>
      </c>
      <c r="CF442" s="152">
        <f>MAX(0,MIN(CD442-CE442,CL442-(AZ442+BD442+BH442+BL442+BP442+BT442+BX442+CB442)))</f>
        <v/>
      </c>
      <c r="CG442" s="152">
        <f>CD442-CE442-CF442</f>
        <v/>
      </c>
      <c r="CH442" s="152">
        <f>IF(CK441&lt;=0.005,0,CK441*(1+CH$6))</f>
        <v/>
      </c>
      <c r="CI442" s="152">
        <f>MIN(CH442,CH$7)</f>
        <v/>
      </c>
      <c r="CJ442" s="152">
        <f>MAX(0,MIN(CH442-CI442,CL442-(AZ442+BD442+BH442+BL442+BP442+BT442+BX442+CB442+CF442)))</f>
        <v/>
      </c>
      <c r="CK442" s="152">
        <f>CH442-CI442-CJ442</f>
        <v/>
      </c>
      <c r="CL442" s="152">
        <f>'Debt Payoff'!$C$8-SUM(AY442,BC442,BG442,BK442,BO442,BS442,BW442,CA442,CE442,CI442)</f>
        <v/>
      </c>
      <c r="CM442" s="152">
        <f>SUM(AY442,BC442,BG442,BK442,BO442,BS442,BW442,CA442,CE442,CI442)+SUM(AZ442,BD442,BH442,BL442,BP442,BT442,BX442,CB442,CF442,CJ442)</f>
        <v/>
      </c>
      <c r="CN442" s="152">
        <f>SUM(BA442,BE442,BI442,BM442,BQ442,BU442,BY442,CC442,CG442,CK442)</f>
        <v/>
      </c>
      <c r="CO442" s="152">
        <f>IF(AW442&gt;CN$6,NA(),AW442)</f>
        <v/>
      </c>
      <c r="CP442" s="152">
        <f>IF(AW442&gt;CN$6,NA(),CN442)</f>
        <v/>
      </c>
    </row>
    <row r="443">
      <c r="B443" s="152" t="n">
        <v>432</v>
      </c>
      <c r="C443" s="152">
        <f>IF(F442&lt;=0.005,0,F442*(1+C$6))</f>
        <v/>
      </c>
      <c r="D443" s="152">
        <f>MIN(C443,C$7)</f>
        <v/>
      </c>
      <c r="E443" s="152">
        <f>MAX(0,MIN(C443-D443,AQ443))</f>
        <v/>
      </c>
      <c r="F443" s="152">
        <f>C443-D443-E443</f>
        <v/>
      </c>
      <c r="G443" s="152">
        <f>IF(J442&lt;=0.005,0,J442*(1+G$6))</f>
        <v/>
      </c>
      <c r="H443" s="152">
        <f>MIN(G443,G$7)</f>
        <v/>
      </c>
      <c r="I443" s="152">
        <f>MAX(0,MIN(G443-H443,AQ443-(E443)))</f>
        <v/>
      </c>
      <c r="J443" s="152">
        <f>G443-H443-I443</f>
        <v/>
      </c>
      <c r="K443" s="152">
        <f>IF(N442&lt;=0.005,0,N442*(1+K$6))</f>
        <v/>
      </c>
      <c r="L443" s="152">
        <f>MIN(K443,K$7)</f>
        <v/>
      </c>
      <c r="M443" s="152">
        <f>MAX(0,MIN(K443-L443,AQ443-(E443+I443)))</f>
        <v/>
      </c>
      <c r="N443" s="152">
        <f>K443-L443-M443</f>
        <v/>
      </c>
      <c r="O443" s="152">
        <f>IF(R442&lt;=0.005,0,R442*(1+O$6))</f>
        <v/>
      </c>
      <c r="P443" s="152">
        <f>MIN(O443,O$7)</f>
        <v/>
      </c>
      <c r="Q443" s="152">
        <f>MAX(0,MIN(O443-P443,AQ443-(E443+I443+M443)))</f>
        <v/>
      </c>
      <c r="R443" s="152">
        <f>O443-P443-Q443</f>
        <v/>
      </c>
      <c r="S443" s="152">
        <f>IF(V442&lt;=0.005,0,V442*(1+S$6))</f>
        <v/>
      </c>
      <c r="T443" s="152">
        <f>MIN(S443,S$7)</f>
        <v/>
      </c>
      <c r="U443" s="152">
        <f>MAX(0,MIN(S443-T443,AQ443-(E443+I443+M443+Q443)))</f>
        <v/>
      </c>
      <c r="V443" s="152">
        <f>S443-T443-U443</f>
        <v/>
      </c>
      <c r="W443" s="152">
        <f>IF(Z442&lt;=0.005,0,Z442*(1+W$6))</f>
        <v/>
      </c>
      <c r="X443" s="152">
        <f>MIN(W443,W$7)</f>
        <v/>
      </c>
      <c r="Y443" s="152">
        <f>MAX(0,MIN(W443-X443,AQ443-(E443+I443+M443+Q443+U443)))</f>
        <v/>
      </c>
      <c r="Z443" s="152">
        <f>W443-X443-Y443</f>
        <v/>
      </c>
      <c r="AA443" s="152">
        <f>IF(AD442&lt;=0.005,0,AD442*(1+AA$6))</f>
        <v/>
      </c>
      <c r="AB443" s="152">
        <f>MIN(AA443,AA$7)</f>
        <v/>
      </c>
      <c r="AC443" s="152">
        <f>MAX(0,MIN(AA443-AB443,AQ443-(E443+I443+M443+Q443+U443+Y443)))</f>
        <v/>
      </c>
      <c r="AD443" s="152">
        <f>AA443-AB443-AC443</f>
        <v/>
      </c>
      <c r="AE443" s="152">
        <f>IF(AH442&lt;=0.005,0,AH442*(1+AE$6))</f>
        <v/>
      </c>
      <c r="AF443" s="152">
        <f>MIN(AE443,AE$7)</f>
        <v/>
      </c>
      <c r="AG443" s="152">
        <f>MAX(0,MIN(AE443-AF443,AQ443-(E443+I443+M443+Q443+U443+Y443+AC443)))</f>
        <v/>
      </c>
      <c r="AH443" s="152">
        <f>AE443-AF443-AG443</f>
        <v/>
      </c>
      <c r="AI443" s="152">
        <f>IF(AL442&lt;=0.005,0,AL442*(1+AI$6))</f>
        <v/>
      </c>
      <c r="AJ443" s="152">
        <f>MIN(AI443,AI$7)</f>
        <v/>
      </c>
      <c r="AK443" s="152">
        <f>MAX(0,MIN(AI443-AJ443,AQ443-(E443+I443+M443+Q443+U443+Y443+AC443+AG443)))</f>
        <v/>
      </c>
      <c r="AL443" s="152">
        <f>AI443-AJ443-AK443</f>
        <v/>
      </c>
      <c r="AM443" s="152">
        <f>IF(AP442&lt;=0.005,0,AP442*(1+AM$6))</f>
        <v/>
      </c>
      <c r="AN443" s="152">
        <f>MIN(AM443,AM$7)</f>
        <v/>
      </c>
      <c r="AO443" s="152">
        <f>MAX(0,MIN(AM443-AN443,AQ443-(E443+I443+M443+Q443+U443+Y443+AC443+AG443+AK443)))</f>
        <v/>
      </c>
      <c r="AP443" s="152">
        <f>AM443-AN443-AO443</f>
        <v/>
      </c>
      <c r="AQ443" s="152">
        <f>'Debt Payoff'!$C$8-SUM(D443,H443,L443,P443,T443,X443,AB443,AF443,AJ443,AN443)</f>
        <v/>
      </c>
      <c r="AR443" s="152">
        <f>SUM(D443,H443,L443,P443,T443,X443,AB443,AF443,AJ443,AN443)+SUM(E443,I443,M443,Q443,U443,Y443,AC443,AG443,AK443,AO443)</f>
        <v/>
      </c>
      <c r="AS443" s="152">
        <f>SUM(F443,J443,N443,R443,V443,Z443,AD443,AH443,AL443,AP443)</f>
        <v/>
      </c>
      <c r="AT443" s="152">
        <f>IF(B443&gt;AS$6,NA(),B443)</f>
        <v/>
      </c>
      <c r="AU443" s="152">
        <f>IF(B443&gt;AS$6,NA(),AS443)</f>
        <v/>
      </c>
      <c r="AV443" s="152" t="n"/>
      <c r="AW443" s="152" t="n">
        <v>432</v>
      </c>
      <c r="AX443" s="152">
        <f>IF(BA442&lt;=0.005,0,BA442*(1+AX$6))</f>
        <v/>
      </c>
      <c r="AY443" s="152">
        <f>MIN(AX443,AX$7)</f>
        <v/>
      </c>
      <c r="AZ443" s="152">
        <f>MAX(0,MIN(AX443-AY443,CL443))</f>
        <v/>
      </c>
      <c r="BA443" s="152">
        <f>AX443-AY443-AZ443</f>
        <v/>
      </c>
      <c r="BB443" s="152">
        <f>IF(BE442&lt;=0.005,0,BE442*(1+BB$6))</f>
        <v/>
      </c>
      <c r="BC443" s="152">
        <f>MIN(BB443,BB$7)</f>
        <v/>
      </c>
      <c r="BD443" s="152">
        <f>MAX(0,MIN(BB443-BC443,CL443-(AZ443)))</f>
        <v/>
      </c>
      <c r="BE443" s="152">
        <f>BB443-BC443-BD443</f>
        <v/>
      </c>
      <c r="BF443" s="152">
        <f>IF(BI442&lt;=0.005,0,BI442*(1+BF$6))</f>
        <v/>
      </c>
      <c r="BG443" s="152">
        <f>MIN(BF443,BF$7)</f>
        <v/>
      </c>
      <c r="BH443" s="152">
        <f>MAX(0,MIN(BF443-BG443,CL443-(AZ443+BD443)))</f>
        <v/>
      </c>
      <c r="BI443" s="152">
        <f>BF443-BG443-BH443</f>
        <v/>
      </c>
      <c r="BJ443" s="152">
        <f>IF(BM442&lt;=0.005,0,BM442*(1+BJ$6))</f>
        <v/>
      </c>
      <c r="BK443" s="152">
        <f>MIN(BJ443,BJ$7)</f>
        <v/>
      </c>
      <c r="BL443" s="152">
        <f>MAX(0,MIN(BJ443-BK443,CL443-(AZ443+BD443+BH443)))</f>
        <v/>
      </c>
      <c r="BM443" s="152">
        <f>BJ443-BK443-BL443</f>
        <v/>
      </c>
      <c r="BN443" s="152">
        <f>IF(BQ442&lt;=0.005,0,BQ442*(1+BN$6))</f>
        <v/>
      </c>
      <c r="BO443" s="152">
        <f>MIN(BN443,BN$7)</f>
        <v/>
      </c>
      <c r="BP443" s="152">
        <f>MAX(0,MIN(BN443-BO443,CL443-(AZ443+BD443+BH443+BL443)))</f>
        <v/>
      </c>
      <c r="BQ443" s="152">
        <f>BN443-BO443-BP443</f>
        <v/>
      </c>
      <c r="BR443" s="152">
        <f>IF(BU442&lt;=0.005,0,BU442*(1+BR$6))</f>
        <v/>
      </c>
      <c r="BS443" s="152">
        <f>MIN(BR443,BR$7)</f>
        <v/>
      </c>
      <c r="BT443" s="152">
        <f>MAX(0,MIN(BR443-BS443,CL443-(AZ443+BD443+BH443+BL443+BP443)))</f>
        <v/>
      </c>
      <c r="BU443" s="152">
        <f>BR443-BS443-BT443</f>
        <v/>
      </c>
      <c r="BV443" s="152">
        <f>IF(BY442&lt;=0.005,0,BY442*(1+BV$6))</f>
        <v/>
      </c>
      <c r="BW443" s="152">
        <f>MIN(BV443,BV$7)</f>
        <v/>
      </c>
      <c r="BX443" s="152">
        <f>MAX(0,MIN(BV443-BW443,CL443-(AZ443+BD443+BH443+BL443+BP443+BT443)))</f>
        <v/>
      </c>
      <c r="BY443" s="152">
        <f>BV443-BW443-BX443</f>
        <v/>
      </c>
      <c r="BZ443" s="152">
        <f>IF(CC442&lt;=0.005,0,CC442*(1+BZ$6))</f>
        <v/>
      </c>
      <c r="CA443" s="152">
        <f>MIN(BZ443,BZ$7)</f>
        <v/>
      </c>
      <c r="CB443" s="152">
        <f>MAX(0,MIN(BZ443-CA443,CL443-(AZ443+BD443+BH443+BL443+BP443+BT443+BX443)))</f>
        <v/>
      </c>
      <c r="CC443" s="152">
        <f>BZ443-CA443-CB443</f>
        <v/>
      </c>
      <c r="CD443" s="152">
        <f>IF(CG442&lt;=0.005,0,CG442*(1+CD$6))</f>
        <v/>
      </c>
      <c r="CE443" s="152">
        <f>MIN(CD443,CD$7)</f>
        <v/>
      </c>
      <c r="CF443" s="152">
        <f>MAX(0,MIN(CD443-CE443,CL443-(AZ443+BD443+BH443+BL443+BP443+BT443+BX443+CB443)))</f>
        <v/>
      </c>
      <c r="CG443" s="152">
        <f>CD443-CE443-CF443</f>
        <v/>
      </c>
      <c r="CH443" s="152">
        <f>IF(CK442&lt;=0.005,0,CK442*(1+CH$6))</f>
        <v/>
      </c>
      <c r="CI443" s="152">
        <f>MIN(CH443,CH$7)</f>
        <v/>
      </c>
      <c r="CJ443" s="152">
        <f>MAX(0,MIN(CH443-CI443,CL443-(AZ443+BD443+BH443+BL443+BP443+BT443+BX443+CB443+CF443)))</f>
        <v/>
      </c>
      <c r="CK443" s="152">
        <f>CH443-CI443-CJ443</f>
        <v/>
      </c>
      <c r="CL443" s="152">
        <f>'Debt Payoff'!$C$8-SUM(AY443,BC443,BG443,BK443,BO443,BS443,BW443,CA443,CE443,CI443)</f>
        <v/>
      </c>
      <c r="CM443" s="152">
        <f>SUM(AY443,BC443,BG443,BK443,BO443,BS443,BW443,CA443,CE443,CI443)+SUM(AZ443,BD443,BH443,BL443,BP443,BT443,BX443,CB443,CF443,CJ443)</f>
        <v/>
      </c>
      <c r="CN443" s="152">
        <f>SUM(BA443,BE443,BI443,BM443,BQ443,BU443,BY443,CC443,CG443,CK443)</f>
        <v/>
      </c>
      <c r="CO443" s="152">
        <f>IF(AW443&gt;CN$6,NA(),AW443)</f>
        <v/>
      </c>
      <c r="CP443" s="152">
        <f>IF(AW443&gt;CN$6,NA(),CN443)</f>
        <v/>
      </c>
    </row>
    <row r="444">
      <c r="B444" s="152" t="n">
        <v>433</v>
      </c>
      <c r="C444" s="152">
        <f>IF(F443&lt;=0.005,0,F443*(1+C$6))</f>
        <v/>
      </c>
      <c r="D444" s="152">
        <f>MIN(C444,C$7)</f>
        <v/>
      </c>
      <c r="E444" s="152">
        <f>MAX(0,MIN(C444-D444,AQ444))</f>
        <v/>
      </c>
      <c r="F444" s="152">
        <f>C444-D444-E444</f>
        <v/>
      </c>
      <c r="G444" s="152">
        <f>IF(J443&lt;=0.005,0,J443*(1+G$6))</f>
        <v/>
      </c>
      <c r="H444" s="152">
        <f>MIN(G444,G$7)</f>
        <v/>
      </c>
      <c r="I444" s="152">
        <f>MAX(0,MIN(G444-H444,AQ444-(E444)))</f>
        <v/>
      </c>
      <c r="J444" s="152">
        <f>G444-H444-I444</f>
        <v/>
      </c>
      <c r="K444" s="152">
        <f>IF(N443&lt;=0.005,0,N443*(1+K$6))</f>
        <v/>
      </c>
      <c r="L444" s="152">
        <f>MIN(K444,K$7)</f>
        <v/>
      </c>
      <c r="M444" s="152">
        <f>MAX(0,MIN(K444-L444,AQ444-(E444+I444)))</f>
        <v/>
      </c>
      <c r="N444" s="152">
        <f>K444-L444-M444</f>
        <v/>
      </c>
      <c r="O444" s="152">
        <f>IF(R443&lt;=0.005,0,R443*(1+O$6))</f>
        <v/>
      </c>
      <c r="P444" s="152">
        <f>MIN(O444,O$7)</f>
        <v/>
      </c>
      <c r="Q444" s="152">
        <f>MAX(0,MIN(O444-P444,AQ444-(E444+I444+M444)))</f>
        <v/>
      </c>
      <c r="R444" s="152">
        <f>O444-P444-Q444</f>
        <v/>
      </c>
      <c r="S444" s="152">
        <f>IF(V443&lt;=0.005,0,V443*(1+S$6))</f>
        <v/>
      </c>
      <c r="T444" s="152">
        <f>MIN(S444,S$7)</f>
        <v/>
      </c>
      <c r="U444" s="152">
        <f>MAX(0,MIN(S444-T444,AQ444-(E444+I444+M444+Q444)))</f>
        <v/>
      </c>
      <c r="V444" s="152">
        <f>S444-T444-U444</f>
        <v/>
      </c>
      <c r="W444" s="152">
        <f>IF(Z443&lt;=0.005,0,Z443*(1+W$6))</f>
        <v/>
      </c>
      <c r="X444" s="152">
        <f>MIN(W444,W$7)</f>
        <v/>
      </c>
      <c r="Y444" s="152">
        <f>MAX(0,MIN(W444-X444,AQ444-(E444+I444+M444+Q444+U444)))</f>
        <v/>
      </c>
      <c r="Z444" s="152">
        <f>W444-X444-Y444</f>
        <v/>
      </c>
      <c r="AA444" s="152">
        <f>IF(AD443&lt;=0.005,0,AD443*(1+AA$6))</f>
        <v/>
      </c>
      <c r="AB444" s="152">
        <f>MIN(AA444,AA$7)</f>
        <v/>
      </c>
      <c r="AC444" s="152">
        <f>MAX(0,MIN(AA444-AB444,AQ444-(E444+I444+M444+Q444+U444+Y444)))</f>
        <v/>
      </c>
      <c r="AD444" s="152">
        <f>AA444-AB444-AC444</f>
        <v/>
      </c>
      <c r="AE444" s="152">
        <f>IF(AH443&lt;=0.005,0,AH443*(1+AE$6))</f>
        <v/>
      </c>
      <c r="AF444" s="152">
        <f>MIN(AE444,AE$7)</f>
        <v/>
      </c>
      <c r="AG444" s="152">
        <f>MAX(0,MIN(AE444-AF444,AQ444-(E444+I444+M444+Q444+U444+Y444+AC444)))</f>
        <v/>
      </c>
      <c r="AH444" s="152">
        <f>AE444-AF444-AG444</f>
        <v/>
      </c>
      <c r="AI444" s="152">
        <f>IF(AL443&lt;=0.005,0,AL443*(1+AI$6))</f>
        <v/>
      </c>
      <c r="AJ444" s="152">
        <f>MIN(AI444,AI$7)</f>
        <v/>
      </c>
      <c r="AK444" s="152">
        <f>MAX(0,MIN(AI444-AJ444,AQ444-(E444+I444+M444+Q444+U444+Y444+AC444+AG444)))</f>
        <v/>
      </c>
      <c r="AL444" s="152">
        <f>AI444-AJ444-AK444</f>
        <v/>
      </c>
      <c r="AM444" s="152">
        <f>IF(AP443&lt;=0.005,0,AP443*(1+AM$6))</f>
        <v/>
      </c>
      <c r="AN444" s="152">
        <f>MIN(AM444,AM$7)</f>
        <v/>
      </c>
      <c r="AO444" s="152">
        <f>MAX(0,MIN(AM444-AN444,AQ444-(E444+I444+M444+Q444+U444+Y444+AC444+AG444+AK444)))</f>
        <v/>
      </c>
      <c r="AP444" s="152">
        <f>AM444-AN444-AO444</f>
        <v/>
      </c>
      <c r="AQ444" s="152">
        <f>'Debt Payoff'!$C$8-SUM(D444,H444,L444,P444,T444,X444,AB444,AF444,AJ444,AN444)</f>
        <v/>
      </c>
      <c r="AR444" s="152">
        <f>SUM(D444,H444,L444,P444,T444,X444,AB444,AF444,AJ444,AN444)+SUM(E444,I444,M444,Q444,U444,Y444,AC444,AG444,AK444,AO444)</f>
        <v/>
      </c>
      <c r="AS444" s="152">
        <f>SUM(F444,J444,N444,R444,V444,Z444,AD444,AH444,AL444,AP444)</f>
        <v/>
      </c>
      <c r="AT444" s="152">
        <f>IF(B444&gt;AS$6,NA(),B444)</f>
        <v/>
      </c>
      <c r="AU444" s="152">
        <f>IF(B444&gt;AS$6,NA(),AS444)</f>
        <v/>
      </c>
      <c r="AV444" s="152" t="n"/>
      <c r="AW444" s="152" t="n">
        <v>433</v>
      </c>
      <c r="AX444" s="152">
        <f>IF(BA443&lt;=0.005,0,BA443*(1+AX$6))</f>
        <v/>
      </c>
      <c r="AY444" s="152">
        <f>MIN(AX444,AX$7)</f>
        <v/>
      </c>
      <c r="AZ444" s="152">
        <f>MAX(0,MIN(AX444-AY444,CL444))</f>
        <v/>
      </c>
      <c r="BA444" s="152">
        <f>AX444-AY444-AZ444</f>
        <v/>
      </c>
      <c r="BB444" s="152">
        <f>IF(BE443&lt;=0.005,0,BE443*(1+BB$6))</f>
        <v/>
      </c>
      <c r="BC444" s="152">
        <f>MIN(BB444,BB$7)</f>
        <v/>
      </c>
      <c r="BD444" s="152">
        <f>MAX(0,MIN(BB444-BC444,CL444-(AZ444)))</f>
        <v/>
      </c>
      <c r="BE444" s="152">
        <f>BB444-BC444-BD444</f>
        <v/>
      </c>
      <c r="BF444" s="152">
        <f>IF(BI443&lt;=0.005,0,BI443*(1+BF$6))</f>
        <v/>
      </c>
      <c r="BG444" s="152">
        <f>MIN(BF444,BF$7)</f>
        <v/>
      </c>
      <c r="BH444" s="152">
        <f>MAX(0,MIN(BF444-BG444,CL444-(AZ444+BD444)))</f>
        <v/>
      </c>
      <c r="BI444" s="152">
        <f>BF444-BG444-BH444</f>
        <v/>
      </c>
      <c r="BJ444" s="152">
        <f>IF(BM443&lt;=0.005,0,BM443*(1+BJ$6))</f>
        <v/>
      </c>
      <c r="BK444" s="152">
        <f>MIN(BJ444,BJ$7)</f>
        <v/>
      </c>
      <c r="BL444" s="152">
        <f>MAX(0,MIN(BJ444-BK444,CL444-(AZ444+BD444+BH444)))</f>
        <v/>
      </c>
      <c r="BM444" s="152">
        <f>BJ444-BK444-BL444</f>
        <v/>
      </c>
      <c r="BN444" s="152">
        <f>IF(BQ443&lt;=0.005,0,BQ443*(1+BN$6))</f>
        <v/>
      </c>
      <c r="BO444" s="152">
        <f>MIN(BN444,BN$7)</f>
        <v/>
      </c>
      <c r="BP444" s="152">
        <f>MAX(0,MIN(BN444-BO444,CL444-(AZ444+BD444+BH444+BL444)))</f>
        <v/>
      </c>
      <c r="BQ444" s="152">
        <f>BN444-BO444-BP444</f>
        <v/>
      </c>
      <c r="BR444" s="152">
        <f>IF(BU443&lt;=0.005,0,BU443*(1+BR$6))</f>
        <v/>
      </c>
      <c r="BS444" s="152">
        <f>MIN(BR444,BR$7)</f>
        <v/>
      </c>
      <c r="BT444" s="152">
        <f>MAX(0,MIN(BR444-BS444,CL444-(AZ444+BD444+BH444+BL444+BP444)))</f>
        <v/>
      </c>
      <c r="BU444" s="152">
        <f>BR444-BS444-BT444</f>
        <v/>
      </c>
      <c r="BV444" s="152">
        <f>IF(BY443&lt;=0.005,0,BY443*(1+BV$6))</f>
        <v/>
      </c>
      <c r="BW444" s="152">
        <f>MIN(BV444,BV$7)</f>
        <v/>
      </c>
      <c r="BX444" s="152">
        <f>MAX(0,MIN(BV444-BW444,CL444-(AZ444+BD444+BH444+BL444+BP444+BT444)))</f>
        <v/>
      </c>
      <c r="BY444" s="152">
        <f>BV444-BW444-BX444</f>
        <v/>
      </c>
      <c r="BZ444" s="152">
        <f>IF(CC443&lt;=0.005,0,CC443*(1+BZ$6))</f>
        <v/>
      </c>
      <c r="CA444" s="152">
        <f>MIN(BZ444,BZ$7)</f>
        <v/>
      </c>
      <c r="CB444" s="152">
        <f>MAX(0,MIN(BZ444-CA444,CL444-(AZ444+BD444+BH444+BL444+BP444+BT444+BX444)))</f>
        <v/>
      </c>
      <c r="CC444" s="152">
        <f>BZ444-CA444-CB444</f>
        <v/>
      </c>
      <c r="CD444" s="152">
        <f>IF(CG443&lt;=0.005,0,CG443*(1+CD$6))</f>
        <v/>
      </c>
      <c r="CE444" s="152">
        <f>MIN(CD444,CD$7)</f>
        <v/>
      </c>
      <c r="CF444" s="152">
        <f>MAX(0,MIN(CD444-CE444,CL444-(AZ444+BD444+BH444+BL444+BP444+BT444+BX444+CB444)))</f>
        <v/>
      </c>
      <c r="CG444" s="152">
        <f>CD444-CE444-CF444</f>
        <v/>
      </c>
      <c r="CH444" s="152">
        <f>IF(CK443&lt;=0.005,0,CK443*(1+CH$6))</f>
        <v/>
      </c>
      <c r="CI444" s="152">
        <f>MIN(CH444,CH$7)</f>
        <v/>
      </c>
      <c r="CJ444" s="152">
        <f>MAX(0,MIN(CH444-CI444,CL444-(AZ444+BD444+BH444+BL444+BP444+BT444+BX444+CB444+CF444)))</f>
        <v/>
      </c>
      <c r="CK444" s="152">
        <f>CH444-CI444-CJ444</f>
        <v/>
      </c>
      <c r="CL444" s="152">
        <f>'Debt Payoff'!$C$8-SUM(AY444,BC444,BG444,BK444,BO444,BS444,BW444,CA444,CE444,CI444)</f>
        <v/>
      </c>
      <c r="CM444" s="152">
        <f>SUM(AY444,BC444,BG444,BK444,BO444,BS444,BW444,CA444,CE444,CI444)+SUM(AZ444,BD444,BH444,BL444,BP444,BT444,BX444,CB444,CF444,CJ444)</f>
        <v/>
      </c>
      <c r="CN444" s="152">
        <f>SUM(BA444,BE444,BI444,BM444,BQ444,BU444,BY444,CC444,CG444,CK444)</f>
        <v/>
      </c>
      <c r="CO444" s="152">
        <f>IF(AW444&gt;CN$6,NA(),AW444)</f>
        <v/>
      </c>
      <c r="CP444" s="152">
        <f>IF(AW444&gt;CN$6,NA(),CN444)</f>
        <v/>
      </c>
    </row>
    <row r="445">
      <c r="B445" s="152" t="n">
        <v>434</v>
      </c>
      <c r="C445" s="152">
        <f>IF(F444&lt;=0.005,0,F444*(1+C$6))</f>
        <v/>
      </c>
      <c r="D445" s="152">
        <f>MIN(C445,C$7)</f>
        <v/>
      </c>
      <c r="E445" s="152">
        <f>MAX(0,MIN(C445-D445,AQ445))</f>
        <v/>
      </c>
      <c r="F445" s="152">
        <f>C445-D445-E445</f>
        <v/>
      </c>
      <c r="G445" s="152">
        <f>IF(J444&lt;=0.005,0,J444*(1+G$6))</f>
        <v/>
      </c>
      <c r="H445" s="152">
        <f>MIN(G445,G$7)</f>
        <v/>
      </c>
      <c r="I445" s="152">
        <f>MAX(0,MIN(G445-H445,AQ445-(E445)))</f>
        <v/>
      </c>
      <c r="J445" s="152">
        <f>G445-H445-I445</f>
        <v/>
      </c>
      <c r="K445" s="152">
        <f>IF(N444&lt;=0.005,0,N444*(1+K$6))</f>
        <v/>
      </c>
      <c r="L445" s="152">
        <f>MIN(K445,K$7)</f>
        <v/>
      </c>
      <c r="M445" s="152">
        <f>MAX(0,MIN(K445-L445,AQ445-(E445+I445)))</f>
        <v/>
      </c>
      <c r="N445" s="152">
        <f>K445-L445-M445</f>
        <v/>
      </c>
      <c r="O445" s="152">
        <f>IF(R444&lt;=0.005,0,R444*(1+O$6))</f>
        <v/>
      </c>
      <c r="P445" s="152">
        <f>MIN(O445,O$7)</f>
        <v/>
      </c>
      <c r="Q445" s="152">
        <f>MAX(0,MIN(O445-P445,AQ445-(E445+I445+M445)))</f>
        <v/>
      </c>
      <c r="R445" s="152">
        <f>O445-P445-Q445</f>
        <v/>
      </c>
      <c r="S445" s="152">
        <f>IF(V444&lt;=0.005,0,V444*(1+S$6))</f>
        <v/>
      </c>
      <c r="T445" s="152">
        <f>MIN(S445,S$7)</f>
        <v/>
      </c>
      <c r="U445" s="152">
        <f>MAX(0,MIN(S445-T445,AQ445-(E445+I445+M445+Q445)))</f>
        <v/>
      </c>
      <c r="V445" s="152">
        <f>S445-T445-U445</f>
        <v/>
      </c>
      <c r="W445" s="152">
        <f>IF(Z444&lt;=0.005,0,Z444*(1+W$6))</f>
        <v/>
      </c>
      <c r="X445" s="152">
        <f>MIN(W445,W$7)</f>
        <v/>
      </c>
      <c r="Y445" s="152">
        <f>MAX(0,MIN(W445-X445,AQ445-(E445+I445+M445+Q445+U445)))</f>
        <v/>
      </c>
      <c r="Z445" s="152">
        <f>W445-X445-Y445</f>
        <v/>
      </c>
      <c r="AA445" s="152">
        <f>IF(AD444&lt;=0.005,0,AD444*(1+AA$6))</f>
        <v/>
      </c>
      <c r="AB445" s="152">
        <f>MIN(AA445,AA$7)</f>
        <v/>
      </c>
      <c r="AC445" s="152">
        <f>MAX(0,MIN(AA445-AB445,AQ445-(E445+I445+M445+Q445+U445+Y445)))</f>
        <v/>
      </c>
      <c r="AD445" s="152">
        <f>AA445-AB445-AC445</f>
        <v/>
      </c>
      <c r="AE445" s="152">
        <f>IF(AH444&lt;=0.005,0,AH444*(1+AE$6))</f>
        <v/>
      </c>
      <c r="AF445" s="152">
        <f>MIN(AE445,AE$7)</f>
        <v/>
      </c>
      <c r="AG445" s="152">
        <f>MAX(0,MIN(AE445-AF445,AQ445-(E445+I445+M445+Q445+U445+Y445+AC445)))</f>
        <v/>
      </c>
      <c r="AH445" s="152">
        <f>AE445-AF445-AG445</f>
        <v/>
      </c>
      <c r="AI445" s="152">
        <f>IF(AL444&lt;=0.005,0,AL444*(1+AI$6))</f>
        <v/>
      </c>
      <c r="AJ445" s="152">
        <f>MIN(AI445,AI$7)</f>
        <v/>
      </c>
      <c r="AK445" s="152">
        <f>MAX(0,MIN(AI445-AJ445,AQ445-(E445+I445+M445+Q445+U445+Y445+AC445+AG445)))</f>
        <v/>
      </c>
      <c r="AL445" s="152">
        <f>AI445-AJ445-AK445</f>
        <v/>
      </c>
      <c r="AM445" s="152">
        <f>IF(AP444&lt;=0.005,0,AP444*(1+AM$6))</f>
        <v/>
      </c>
      <c r="AN445" s="152">
        <f>MIN(AM445,AM$7)</f>
        <v/>
      </c>
      <c r="AO445" s="152">
        <f>MAX(0,MIN(AM445-AN445,AQ445-(E445+I445+M445+Q445+U445+Y445+AC445+AG445+AK445)))</f>
        <v/>
      </c>
      <c r="AP445" s="152">
        <f>AM445-AN445-AO445</f>
        <v/>
      </c>
      <c r="AQ445" s="152">
        <f>'Debt Payoff'!$C$8-SUM(D445,H445,L445,P445,T445,X445,AB445,AF445,AJ445,AN445)</f>
        <v/>
      </c>
      <c r="AR445" s="152">
        <f>SUM(D445,H445,L445,P445,T445,X445,AB445,AF445,AJ445,AN445)+SUM(E445,I445,M445,Q445,U445,Y445,AC445,AG445,AK445,AO445)</f>
        <v/>
      </c>
      <c r="AS445" s="152">
        <f>SUM(F445,J445,N445,R445,V445,Z445,AD445,AH445,AL445,AP445)</f>
        <v/>
      </c>
      <c r="AT445" s="152">
        <f>IF(B445&gt;AS$6,NA(),B445)</f>
        <v/>
      </c>
      <c r="AU445" s="152">
        <f>IF(B445&gt;AS$6,NA(),AS445)</f>
        <v/>
      </c>
      <c r="AV445" s="152" t="n"/>
      <c r="AW445" s="152" t="n">
        <v>434</v>
      </c>
      <c r="AX445" s="152">
        <f>IF(BA444&lt;=0.005,0,BA444*(1+AX$6))</f>
        <v/>
      </c>
      <c r="AY445" s="152">
        <f>MIN(AX445,AX$7)</f>
        <v/>
      </c>
      <c r="AZ445" s="152">
        <f>MAX(0,MIN(AX445-AY445,CL445))</f>
        <v/>
      </c>
      <c r="BA445" s="152">
        <f>AX445-AY445-AZ445</f>
        <v/>
      </c>
      <c r="BB445" s="152">
        <f>IF(BE444&lt;=0.005,0,BE444*(1+BB$6))</f>
        <v/>
      </c>
      <c r="BC445" s="152">
        <f>MIN(BB445,BB$7)</f>
        <v/>
      </c>
      <c r="BD445" s="152">
        <f>MAX(0,MIN(BB445-BC445,CL445-(AZ445)))</f>
        <v/>
      </c>
      <c r="BE445" s="152">
        <f>BB445-BC445-BD445</f>
        <v/>
      </c>
      <c r="BF445" s="152">
        <f>IF(BI444&lt;=0.005,0,BI444*(1+BF$6))</f>
        <v/>
      </c>
      <c r="BG445" s="152">
        <f>MIN(BF445,BF$7)</f>
        <v/>
      </c>
      <c r="BH445" s="152">
        <f>MAX(0,MIN(BF445-BG445,CL445-(AZ445+BD445)))</f>
        <v/>
      </c>
      <c r="BI445" s="152">
        <f>BF445-BG445-BH445</f>
        <v/>
      </c>
      <c r="BJ445" s="152">
        <f>IF(BM444&lt;=0.005,0,BM444*(1+BJ$6))</f>
        <v/>
      </c>
      <c r="BK445" s="152">
        <f>MIN(BJ445,BJ$7)</f>
        <v/>
      </c>
      <c r="BL445" s="152">
        <f>MAX(0,MIN(BJ445-BK445,CL445-(AZ445+BD445+BH445)))</f>
        <v/>
      </c>
      <c r="BM445" s="152">
        <f>BJ445-BK445-BL445</f>
        <v/>
      </c>
      <c r="BN445" s="152">
        <f>IF(BQ444&lt;=0.005,0,BQ444*(1+BN$6))</f>
        <v/>
      </c>
      <c r="BO445" s="152">
        <f>MIN(BN445,BN$7)</f>
        <v/>
      </c>
      <c r="BP445" s="152">
        <f>MAX(0,MIN(BN445-BO445,CL445-(AZ445+BD445+BH445+BL445)))</f>
        <v/>
      </c>
      <c r="BQ445" s="152">
        <f>BN445-BO445-BP445</f>
        <v/>
      </c>
      <c r="BR445" s="152">
        <f>IF(BU444&lt;=0.005,0,BU444*(1+BR$6))</f>
        <v/>
      </c>
      <c r="BS445" s="152">
        <f>MIN(BR445,BR$7)</f>
        <v/>
      </c>
      <c r="BT445" s="152">
        <f>MAX(0,MIN(BR445-BS445,CL445-(AZ445+BD445+BH445+BL445+BP445)))</f>
        <v/>
      </c>
      <c r="BU445" s="152">
        <f>BR445-BS445-BT445</f>
        <v/>
      </c>
      <c r="BV445" s="152">
        <f>IF(BY444&lt;=0.005,0,BY444*(1+BV$6))</f>
        <v/>
      </c>
      <c r="BW445" s="152">
        <f>MIN(BV445,BV$7)</f>
        <v/>
      </c>
      <c r="BX445" s="152">
        <f>MAX(0,MIN(BV445-BW445,CL445-(AZ445+BD445+BH445+BL445+BP445+BT445)))</f>
        <v/>
      </c>
      <c r="BY445" s="152">
        <f>BV445-BW445-BX445</f>
        <v/>
      </c>
      <c r="BZ445" s="152">
        <f>IF(CC444&lt;=0.005,0,CC444*(1+BZ$6))</f>
        <v/>
      </c>
      <c r="CA445" s="152">
        <f>MIN(BZ445,BZ$7)</f>
        <v/>
      </c>
      <c r="CB445" s="152">
        <f>MAX(0,MIN(BZ445-CA445,CL445-(AZ445+BD445+BH445+BL445+BP445+BT445+BX445)))</f>
        <v/>
      </c>
      <c r="CC445" s="152">
        <f>BZ445-CA445-CB445</f>
        <v/>
      </c>
      <c r="CD445" s="152">
        <f>IF(CG444&lt;=0.005,0,CG444*(1+CD$6))</f>
        <v/>
      </c>
      <c r="CE445" s="152">
        <f>MIN(CD445,CD$7)</f>
        <v/>
      </c>
      <c r="CF445" s="152">
        <f>MAX(0,MIN(CD445-CE445,CL445-(AZ445+BD445+BH445+BL445+BP445+BT445+BX445+CB445)))</f>
        <v/>
      </c>
      <c r="CG445" s="152">
        <f>CD445-CE445-CF445</f>
        <v/>
      </c>
      <c r="CH445" s="152">
        <f>IF(CK444&lt;=0.005,0,CK444*(1+CH$6))</f>
        <v/>
      </c>
      <c r="CI445" s="152">
        <f>MIN(CH445,CH$7)</f>
        <v/>
      </c>
      <c r="CJ445" s="152">
        <f>MAX(0,MIN(CH445-CI445,CL445-(AZ445+BD445+BH445+BL445+BP445+BT445+BX445+CB445+CF445)))</f>
        <v/>
      </c>
      <c r="CK445" s="152">
        <f>CH445-CI445-CJ445</f>
        <v/>
      </c>
      <c r="CL445" s="152">
        <f>'Debt Payoff'!$C$8-SUM(AY445,BC445,BG445,BK445,BO445,BS445,BW445,CA445,CE445,CI445)</f>
        <v/>
      </c>
      <c r="CM445" s="152">
        <f>SUM(AY445,BC445,BG445,BK445,BO445,BS445,BW445,CA445,CE445,CI445)+SUM(AZ445,BD445,BH445,BL445,BP445,BT445,BX445,CB445,CF445,CJ445)</f>
        <v/>
      </c>
      <c r="CN445" s="152">
        <f>SUM(BA445,BE445,BI445,BM445,BQ445,BU445,BY445,CC445,CG445,CK445)</f>
        <v/>
      </c>
      <c r="CO445" s="152">
        <f>IF(AW445&gt;CN$6,NA(),AW445)</f>
        <v/>
      </c>
      <c r="CP445" s="152">
        <f>IF(AW445&gt;CN$6,NA(),CN445)</f>
        <v/>
      </c>
    </row>
    <row r="446">
      <c r="B446" s="152" t="n">
        <v>435</v>
      </c>
      <c r="C446" s="152">
        <f>IF(F445&lt;=0.005,0,F445*(1+C$6))</f>
        <v/>
      </c>
      <c r="D446" s="152">
        <f>MIN(C446,C$7)</f>
        <v/>
      </c>
      <c r="E446" s="152">
        <f>MAX(0,MIN(C446-D446,AQ446))</f>
        <v/>
      </c>
      <c r="F446" s="152">
        <f>C446-D446-E446</f>
        <v/>
      </c>
      <c r="G446" s="152">
        <f>IF(J445&lt;=0.005,0,J445*(1+G$6))</f>
        <v/>
      </c>
      <c r="H446" s="152">
        <f>MIN(G446,G$7)</f>
        <v/>
      </c>
      <c r="I446" s="152">
        <f>MAX(0,MIN(G446-H446,AQ446-(E446)))</f>
        <v/>
      </c>
      <c r="J446" s="152">
        <f>G446-H446-I446</f>
        <v/>
      </c>
      <c r="K446" s="152">
        <f>IF(N445&lt;=0.005,0,N445*(1+K$6))</f>
        <v/>
      </c>
      <c r="L446" s="152">
        <f>MIN(K446,K$7)</f>
        <v/>
      </c>
      <c r="M446" s="152">
        <f>MAX(0,MIN(K446-L446,AQ446-(E446+I446)))</f>
        <v/>
      </c>
      <c r="N446" s="152">
        <f>K446-L446-M446</f>
        <v/>
      </c>
      <c r="O446" s="152">
        <f>IF(R445&lt;=0.005,0,R445*(1+O$6))</f>
        <v/>
      </c>
      <c r="P446" s="152">
        <f>MIN(O446,O$7)</f>
        <v/>
      </c>
      <c r="Q446" s="152">
        <f>MAX(0,MIN(O446-P446,AQ446-(E446+I446+M446)))</f>
        <v/>
      </c>
      <c r="R446" s="152">
        <f>O446-P446-Q446</f>
        <v/>
      </c>
      <c r="S446" s="152">
        <f>IF(V445&lt;=0.005,0,V445*(1+S$6))</f>
        <v/>
      </c>
      <c r="T446" s="152">
        <f>MIN(S446,S$7)</f>
        <v/>
      </c>
      <c r="U446" s="152">
        <f>MAX(0,MIN(S446-T446,AQ446-(E446+I446+M446+Q446)))</f>
        <v/>
      </c>
      <c r="V446" s="152">
        <f>S446-T446-U446</f>
        <v/>
      </c>
      <c r="W446" s="152">
        <f>IF(Z445&lt;=0.005,0,Z445*(1+W$6))</f>
        <v/>
      </c>
      <c r="X446" s="152">
        <f>MIN(W446,W$7)</f>
        <v/>
      </c>
      <c r="Y446" s="152">
        <f>MAX(0,MIN(W446-X446,AQ446-(E446+I446+M446+Q446+U446)))</f>
        <v/>
      </c>
      <c r="Z446" s="152">
        <f>W446-X446-Y446</f>
        <v/>
      </c>
      <c r="AA446" s="152">
        <f>IF(AD445&lt;=0.005,0,AD445*(1+AA$6))</f>
        <v/>
      </c>
      <c r="AB446" s="152">
        <f>MIN(AA446,AA$7)</f>
        <v/>
      </c>
      <c r="AC446" s="152">
        <f>MAX(0,MIN(AA446-AB446,AQ446-(E446+I446+M446+Q446+U446+Y446)))</f>
        <v/>
      </c>
      <c r="AD446" s="152">
        <f>AA446-AB446-AC446</f>
        <v/>
      </c>
      <c r="AE446" s="152">
        <f>IF(AH445&lt;=0.005,0,AH445*(1+AE$6))</f>
        <v/>
      </c>
      <c r="AF446" s="152">
        <f>MIN(AE446,AE$7)</f>
        <v/>
      </c>
      <c r="AG446" s="152">
        <f>MAX(0,MIN(AE446-AF446,AQ446-(E446+I446+M446+Q446+U446+Y446+AC446)))</f>
        <v/>
      </c>
      <c r="AH446" s="152">
        <f>AE446-AF446-AG446</f>
        <v/>
      </c>
      <c r="AI446" s="152">
        <f>IF(AL445&lt;=0.005,0,AL445*(1+AI$6))</f>
        <v/>
      </c>
      <c r="AJ446" s="152">
        <f>MIN(AI446,AI$7)</f>
        <v/>
      </c>
      <c r="AK446" s="152">
        <f>MAX(0,MIN(AI446-AJ446,AQ446-(E446+I446+M446+Q446+U446+Y446+AC446+AG446)))</f>
        <v/>
      </c>
      <c r="AL446" s="152">
        <f>AI446-AJ446-AK446</f>
        <v/>
      </c>
      <c r="AM446" s="152">
        <f>IF(AP445&lt;=0.005,0,AP445*(1+AM$6))</f>
        <v/>
      </c>
      <c r="AN446" s="152">
        <f>MIN(AM446,AM$7)</f>
        <v/>
      </c>
      <c r="AO446" s="152">
        <f>MAX(0,MIN(AM446-AN446,AQ446-(E446+I446+M446+Q446+U446+Y446+AC446+AG446+AK446)))</f>
        <v/>
      </c>
      <c r="AP446" s="152">
        <f>AM446-AN446-AO446</f>
        <v/>
      </c>
      <c r="AQ446" s="152">
        <f>'Debt Payoff'!$C$8-SUM(D446,H446,L446,P446,T446,X446,AB446,AF446,AJ446,AN446)</f>
        <v/>
      </c>
      <c r="AR446" s="152">
        <f>SUM(D446,H446,L446,P446,T446,X446,AB446,AF446,AJ446,AN446)+SUM(E446,I446,M446,Q446,U446,Y446,AC446,AG446,AK446,AO446)</f>
        <v/>
      </c>
      <c r="AS446" s="152">
        <f>SUM(F446,J446,N446,R446,V446,Z446,AD446,AH446,AL446,AP446)</f>
        <v/>
      </c>
      <c r="AT446" s="152">
        <f>IF(B446&gt;AS$6,NA(),B446)</f>
        <v/>
      </c>
      <c r="AU446" s="152">
        <f>IF(B446&gt;AS$6,NA(),AS446)</f>
        <v/>
      </c>
      <c r="AV446" s="152" t="n"/>
      <c r="AW446" s="152" t="n">
        <v>435</v>
      </c>
      <c r="AX446" s="152">
        <f>IF(BA445&lt;=0.005,0,BA445*(1+AX$6))</f>
        <v/>
      </c>
      <c r="AY446" s="152">
        <f>MIN(AX446,AX$7)</f>
        <v/>
      </c>
      <c r="AZ446" s="152">
        <f>MAX(0,MIN(AX446-AY446,CL446))</f>
        <v/>
      </c>
      <c r="BA446" s="152">
        <f>AX446-AY446-AZ446</f>
        <v/>
      </c>
      <c r="BB446" s="152">
        <f>IF(BE445&lt;=0.005,0,BE445*(1+BB$6))</f>
        <v/>
      </c>
      <c r="BC446" s="152">
        <f>MIN(BB446,BB$7)</f>
        <v/>
      </c>
      <c r="BD446" s="152">
        <f>MAX(0,MIN(BB446-BC446,CL446-(AZ446)))</f>
        <v/>
      </c>
      <c r="BE446" s="152">
        <f>BB446-BC446-BD446</f>
        <v/>
      </c>
      <c r="BF446" s="152">
        <f>IF(BI445&lt;=0.005,0,BI445*(1+BF$6))</f>
        <v/>
      </c>
      <c r="BG446" s="152">
        <f>MIN(BF446,BF$7)</f>
        <v/>
      </c>
      <c r="BH446" s="152">
        <f>MAX(0,MIN(BF446-BG446,CL446-(AZ446+BD446)))</f>
        <v/>
      </c>
      <c r="BI446" s="152">
        <f>BF446-BG446-BH446</f>
        <v/>
      </c>
      <c r="BJ446" s="152">
        <f>IF(BM445&lt;=0.005,0,BM445*(1+BJ$6))</f>
        <v/>
      </c>
      <c r="BK446" s="152">
        <f>MIN(BJ446,BJ$7)</f>
        <v/>
      </c>
      <c r="BL446" s="152">
        <f>MAX(0,MIN(BJ446-BK446,CL446-(AZ446+BD446+BH446)))</f>
        <v/>
      </c>
      <c r="BM446" s="152">
        <f>BJ446-BK446-BL446</f>
        <v/>
      </c>
      <c r="BN446" s="152">
        <f>IF(BQ445&lt;=0.005,0,BQ445*(1+BN$6))</f>
        <v/>
      </c>
      <c r="BO446" s="152">
        <f>MIN(BN446,BN$7)</f>
        <v/>
      </c>
      <c r="BP446" s="152">
        <f>MAX(0,MIN(BN446-BO446,CL446-(AZ446+BD446+BH446+BL446)))</f>
        <v/>
      </c>
      <c r="BQ446" s="152">
        <f>BN446-BO446-BP446</f>
        <v/>
      </c>
      <c r="BR446" s="152">
        <f>IF(BU445&lt;=0.005,0,BU445*(1+BR$6))</f>
        <v/>
      </c>
      <c r="BS446" s="152">
        <f>MIN(BR446,BR$7)</f>
        <v/>
      </c>
      <c r="BT446" s="152">
        <f>MAX(0,MIN(BR446-BS446,CL446-(AZ446+BD446+BH446+BL446+BP446)))</f>
        <v/>
      </c>
      <c r="BU446" s="152">
        <f>BR446-BS446-BT446</f>
        <v/>
      </c>
      <c r="BV446" s="152">
        <f>IF(BY445&lt;=0.005,0,BY445*(1+BV$6))</f>
        <v/>
      </c>
      <c r="BW446" s="152">
        <f>MIN(BV446,BV$7)</f>
        <v/>
      </c>
      <c r="BX446" s="152">
        <f>MAX(0,MIN(BV446-BW446,CL446-(AZ446+BD446+BH446+BL446+BP446+BT446)))</f>
        <v/>
      </c>
      <c r="BY446" s="152">
        <f>BV446-BW446-BX446</f>
        <v/>
      </c>
      <c r="BZ446" s="152">
        <f>IF(CC445&lt;=0.005,0,CC445*(1+BZ$6))</f>
        <v/>
      </c>
      <c r="CA446" s="152">
        <f>MIN(BZ446,BZ$7)</f>
        <v/>
      </c>
      <c r="CB446" s="152">
        <f>MAX(0,MIN(BZ446-CA446,CL446-(AZ446+BD446+BH446+BL446+BP446+BT446+BX446)))</f>
        <v/>
      </c>
      <c r="CC446" s="152">
        <f>BZ446-CA446-CB446</f>
        <v/>
      </c>
      <c r="CD446" s="152">
        <f>IF(CG445&lt;=0.005,0,CG445*(1+CD$6))</f>
        <v/>
      </c>
      <c r="CE446" s="152">
        <f>MIN(CD446,CD$7)</f>
        <v/>
      </c>
      <c r="CF446" s="152">
        <f>MAX(0,MIN(CD446-CE446,CL446-(AZ446+BD446+BH446+BL446+BP446+BT446+BX446+CB446)))</f>
        <v/>
      </c>
      <c r="CG446" s="152">
        <f>CD446-CE446-CF446</f>
        <v/>
      </c>
      <c r="CH446" s="152">
        <f>IF(CK445&lt;=0.005,0,CK445*(1+CH$6))</f>
        <v/>
      </c>
      <c r="CI446" s="152">
        <f>MIN(CH446,CH$7)</f>
        <v/>
      </c>
      <c r="CJ446" s="152">
        <f>MAX(0,MIN(CH446-CI446,CL446-(AZ446+BD446+BH446+BL446+BP446+BT446+BX446+CB446+CF446)))</f>
        <v/>
      </c>
      <c r="CK446" s="152">
        <f>CH446-CI446-CJ446</f>
        <v/>
      </c>
      <c r="CL446" s="152">
        <f>'Debt Payoff'!$C$8-SUM(AY446,BC446,BG446,BK446,BO446,BS446,BW446,CA446,CE446,CI446)</f>
        <v/>
      </c>
      <c r="CM446" s="152">
        <f>SUM(AY446,BC446,BG446,BK446,BO446,BS446,BW446,CA446,CE446,CI446)+SUM(AZ446,BD446,BH446,BL446,BP446,BT446,BX446,CB446,CF446,CJ446)</f>
        <v/>
      </c>
      <c r="CN446" s="152">
        <f>SUM(BA446,BE446,BI446,BM446,BQ446,BU446,BY446,CC446,CG446,CK446)</f>
        <v/>
      </c>
      <c r="CO446" s="152">
        <f>IF(AW446&gt;CN$6,NA(),AW446)</f>
        <v/>
      </c>
      <c r="CP446" s="152">
        <f>IF(AW446&gt;CN$6,NA(),CN446)</f>
        <v/>
      </c>
    </row>
    <row r="447">
      <c r="B447" s="152" t="n">
        <v>436</v>
      </c>
      <c r="C447" s="152">
        <f>IF(F446&lt;=0.005,0,F446*(1+C$6))</f>
        <v/>
      </c>
      <c r="D447" s="152">
        <f>MIN(C447,C$7)</f>
        <v/>
      </c>
      <c r="E447" s="152">
        <f>MAX(0,MIN(C447-D447,AQ447))</f>
        <v/>
      </c>
      <c r="F447" s="152">
        <f>C447-D447-E447</f>
        <v/>
      </c>
      <c r="G447" s="152">
        <f>IF(J446&lt;=0.005,0,J446*(1+G$6))</f>
        <v/>
      </c>
      <c r="H447" s="152">
        <f>MIN(G447,G$7)</f>
        <v/>
      </c>
      <c r="I447" s="152">
        <f>MAX(0,MIN(G447-H447,AQ447-(E447)))</f>
        <v/>
      </c>
      <c r="J447" s="152">
        <f>G447-H447-I447</f>
        <v/>
      </c>
      <c r="K447" s="152">
        <f>IF(N446&lt;=0.005,0,N446*(1+K$6))</f>
        <v/>
      </c>
      <c r="L447" s="152">
        <f>MIN(K447,K$7)</f>
        <v/>
      </c>
      <c r="M447" s="152">
        <f>MAX(0,MIN(K447-L447,AQ447-(E447+I447)))</f>
        <v/>
      </c>
      <c r="N447" s="152">
        <f>K447-L447-M447</f>
        <v/>
      </c>
      <c r="O447" s="152">
        <f>IF(R446&lt;=0.005,0,R446*(1+O$6))</f>
        <v/>
      </c>
      <c r="P447" s="152">
        <f>MIN(O447,O$7)</f>
        <v/>
      </c>
      <c r="Q447" s="152">
        <f>MAX(0,MIN(O447-P447,AQ447-(E447+I447+M447)))</f>
        <v/>
      </c>
      <c r="R447" s="152">
        <f>O447-P447-Q447</f>
        <v/>
      </c>
      <c r="S447" s="152">
        <f>IF(V446&lt;=0.005,0,V446*(1+S$6))</f>
        <v/>
      </c>
      <c r="T447" s="152">
        <f>MIN(S447,S$7)</f>
        <v/>
      </c>
      <c r="U447" s="152">
        <f>MAX(0,MIN(S447-T447,AQ447-(E447+I447+M447+Q447)))</f>
        <v/>
      </c>
      <c r="V447" s="152">
        <f>S447-T447-U447</f>
        <v/>
      </c>
      <c r="W447" s="152">
        <f>IF(Z446&lt;=0.005,0,Z446*(1+W$6))</f>
        <v/>
      </c>
      <c r="X447" s="152">
        <f>MIN(W447,W$7)</f>
        <v/>
      </c>
      <c r="Y447" s="152">
        <f>MAX(0,MIN(W447-X447,AQ447-(E447+I447+M447+Q447+U447)))</f>
        <v/>
      </c>
      <c r="Z447" s="152">
        <f>W447-X447-Y447</f>
        <v/>
      </c>
      <c r="AA447" s="152">
        <f>IF(AD446&lt;=0.005,0,AD446*(1+AA$6))</f>
        <v/>
      </c>
      <c r="AB447" s="152">
        <f>MIN(AA447,AA$7)</f>
        <v/>
      </c>
      <c r="AC447" s="152">
        <f>MAX(0,MIN(AA447-AB447,AQ447-(E447+I447+M447+Q447+U447+Y447)))</f>
        <v/>
      </c>
      <c r="AD447" s="152">
        <f>AA447-AB447-AC447</f>
        <v/>
      </c>
      <c r="AE447" s="152">
        <f>IF(AH446&lt;=0.005,0,AH446*(1+AE$6))</f>
        <v/>
      </c>
      <c r="AF447" s="152">
        <f>MIN(AE447,AE$7)</f>
        <v/>
      </c>
      <c r="AG447" s="152">
        <f>MAX(0,MIN(AE447-AF447,AQ447-(E447+I447+M447+Q447+U447+Y447+AC447)))</f>
        <v/>
      </c>
      <c r="AH447" s="152">
        <f>AE447-AF447-AG447</f>
        <v/>
      </c>
      <c r="AI447" s="152">
        <f>IF(AL446&lt;=0.005,0,AL446*(1+AI$6))</f>
        <v/>
      </c>
      <c r="AJ447" s="152">
        <f>MIN(AI447,AI$7)</f>
        <v/>
      </c>
      <c r="AK447" s="152">
        <f>MAX(0,MIN(AI447-AJ447,AQ447-(E447+I447+M447+Q447+U447+Y447+AC447+AG447)))</f>
        <v/>
      </c>
      <c r="AL447" s="152">
        <f>AI447-AJ447-AK447</f>
        <v/>
      </c>
      <c r="AM447" s="152">
        <f>IF(AP446&lt;=0.005,0,AP446*(1+AM$6))</f>
        <v/>
      </c>
      <c r="AN447" s="152">
        <f>MIN(AM447,AM$7)</f>
        <v/>
      </c>
      <c r="AO447" s="152">
        <f>MAX(0,MIN(AM447-AN447,AQ447-(E447+I447+M447+Q447+U447+Y447+AC447+AG447+AK447)))</f>
        <v/>
      </c>
      <c r="AP447" s="152">
        <f>AM447-AN447-AO447</f>
        <v/>
      </c>
      <c r="AQ447" s="152">
        <f>'Debt Payoff'!$C$8-SUM(D447,H447,L447,P447,T447,X447,AB447,AF447,AJ447,AN447)</f>
        <v/>
      </c>
      <c r="AR447" s="152">
        <f>SUM(D447,H447,L447,P447,T447,X447,AB447,AF447,AJ447,AN447)+SUM(E447,I447,M447,Q447,U447,Y447,AC447,AG447,AK447,AO447)</f>
        <v/>
      </c>
      <c r="AS447" s="152">
        <f>SUM(F447,J447,N447,R447,V447,Z447,AD447,AH447,AL447,AP447)</f>
        <v/>
      </c>
      <c r="AT447" s="152">
        <f>IF(B447&gt;AS$6,NA(),B447)</f>
        <v/>
      </c>
      <c r="AU447" s="152">
        <f>IF(B447&gt;AS$6,NA(),AS447)</f>
        <v/>
      </c>
      <c r="AV447" s="152" t="n"/>
      <c r="AW447" s="152" t="n">
        <v>436</v>
      </c>
      <c r="AX447" s="152">
        <f>IF(BA446&lt;=0.005,0,BA446*(1+AX$6))</f>
        <v/>
      </c>
      <c r="AY447" s="152">
        <f>MIN(AX447,AX$7)</f>
        <v/>
      </c>
      <c r="AZ447" s="152">
        <f>MAX(0,MIN(AX447-AY447,CL447))</f>
        <v/>
      </c>
      <c r="BA447" s="152">
        <f>AX447-AY447-AZ447</f>
        <v/>
      </c>
      <c r="BB447" s="152">
        <f>IF(BE446&lt;=0.005,0,BE446*(1+BB$6))</f>
        <v/>
      </c>
      <c r="BC447" s="152">
        <f>MIN(BB447,BB$7)</f>
        <v/>
      </c>
      <c r="BD447" s="152">
        <f>MAX(0,MIN(BB447-BC447,CL447-(AZ447)))</f>
        <v/>
      </c>
      <c r="BE447" s="152">
        <f>BB447-BC447-BD447</f>
        <v/>
      </c>
      <c r="BF447" s="152">
        <f>IF(BI446&lt;=0.005,0,BI446*(1+BF$6))</f>
        <v/>
      </c>
      <c r="BG447" s="152">
        <f>MIN(BF447,BF$7)</f>
        <v/>
      </c>
      <c r="BH447" s="152">
        <f>MAX(0,MIN(BF447-BG447,CL447-(AZ447+BD447)))</f>
        <v/>
      </c>
      <c r="BI447" s="152">
        <f>BF447-BG447-BH447</f>
        <v/>
      </c>
      <c r="BJ447" s="152">
        <f>IF(BM446&lt;=0.005,0,BM446*(1+BJ$6))</f>
        <v/>
      </c>
      <c r="BK447" s="152">
        <f>MIN(BJ447,BJ$7)</f>
        <v/>
      </c>
      <c r="BL447" s="152">
        <f>MAX(0,MIN(BJ447-BK447,CL447-(AZ447+BD447+BH447)))</f>
        <v/>
      </c>
      <c r="BM447" s="152">
        <f>BJ447-BK447-BL447</f>
        <v/>
      </c>
      <c r="BN447" s="152">
        <f>IF(BQ446&lt;=0.005,0,BQ446*(1+BN$6))</f>
        <v/>
      </c>
      <c r="BO447" s="152">
        <f>MIN(BN447,BN$7)</f>
        <v/>
      </c>
      <c r="BP447" s="152">
        <f>MAX(0,MIN(BN447-BO447,CL447-(AZ447+BD447+BH447+BL447)))</f>
        <v/>
      </c>
      <c r="BQ447" s="152">
        <f>BN447-BO447-BP447</f>
        <v/>
      </c>
      <c r="BR447" s="152">
        <f>IF(BU446&lt;=0.005,0,BU446*(1+BR$6))</f>
        <v/>
      </c>
      <c r="BS447" s="152">
        <f>MIN(BR447,BR$7)</f>
        <v/>
      </c>
      <c r="BT447" s="152">
        <f>MAX(0,MIN(BR447-BS447,CL447-(AZ447+BD447+BH447+BL447+BP447)))</f>
        <v/>
      </c>
      <c r="BU447" s="152">
        <f>BR447-BS447-BT447</f>
        <v/>
      </c>
      <c r="BV447" s="152">
        <f>IF(BY446&lt;=0.005,0,BY446*(1+BV$6))</f>
        <v/>
      </c>
      <c r="BW447" s="152">
        <f>MIN(BV447,BV$7)</f>
        <v/>
      </c>
      <c r="BX447" s="152">
        <f>MAX(0,MIN(BV447-BW447,CL447-(AZ447+BD447+BH447+BL447+BP447+BT447)))</f>
        <v/>
      </c>
      <c r="BY447" s="152">
        <f>BV447-BW447-BX447</f>
        <v/>
      </c>
      <c r="BZ447" s="152">
        <f>IF(CC446&lt;=0.005,0,CC446*(1+BZ$6))</f>
        <v/>
      </c>
      <c r="CA447" s="152">
        <f>MIN(BZ447,BZ$7)</f>
        <v/>
      </c>
      <c r="CB447" s="152">
        <f>MAX(0,MIN(BZ447-CA447,CL447-(AZ447+BD447+BH447+BL447+BP447+BT447+BX447)))</f>
        <v/>
      </c>
      <c r="CC447" s="152">
        <f>BZ447-CA447-CB447</f>
        <v/>
      </c>
      <c r="CD447" s="152">
        <f>IF(CG446&lt;=0.005,0,CG446*(1+CD$6))</f>
        <v/>
      </c>
      <c r="CE447" s="152">
        <f>MIN(CD447,CD$7)</f>
        <v/>
      </c>
      <c r="CF447" s="152">
        <f>MAX(0,MIN(CD447-CE447,CL447-(AZ447+BD447+BH447+BL447+BP447+BT447+BX447+CB447)))</f>
        <v/>
      </c>
      <c r="CG447" s="152">
        <f>CD447-CE447-CF447</f>
        <v/>
      </c>
      <c r="CH447" s="152">
        <f>IF(CK446&lt;=0.005,0,CK446*(1+CH$6))</f>
        <v/>
      </c>
      <c r="CI447" s="152">
        <f>MIN(CH447,CH$7)</f>
        <v/>
      </c>
      <c r="CJ447" s="152">
        <f>MAX(0,MIN(CH447-CI447,CL447-(AZ447+BD447+BH447+BL447+BP447+BT447+BX447+CB447+CF447)))</f>
        <v/>
      </c>
      <c r="CK447" s="152">
        <f>CH447-CI447-CJ447</f>
        <v/>
      </c>
      <c r="CL447" s="152">
        <f>'Debt Payoff'!$C$8-SUM(AY447,BC447,BG447,BK447,BO447,BS447,BW447,CA447,CE447,CI447)</f>
        <v/>
      </c>
      <c r="CM447" s="152">
        <f>SUM(AY447,BC447,BG447,BK447,BO447,BS447,BW447,CA447,CE447,CI447)+SUM(AZ447,BD447,BH447,BL447,BP447,BT447,BX447,CB447,CF447,CJ447)</f>
        <v/>
      </c>
      <c r="CN447" s="152">
        <f>SUM(BA447,BE447,BI447,BM447,BQ447,BU447,BY447,CC447,CG447,CK447)</f>
        <v/>
      </c>
      <c r="CO447" s="152">
        <f>IF(AW447&gt;CN$6,NA(),AW447)</f>
        <v/>
      </c>
      <c r="CP447" s="152">
        <f>IF(AW447&gt;CN$6,NA(),CN447)</f>
        <v/>
      </c>
    </row>
    <row r="448">
      <c r="B448" s="152" t="n">
        <v>437</v>
      </c>
      <c r="C448" s="152">
        <f>IF(F447&lt;=0.005,0,F447*(1+C$6))</f>
        <v/>
      </c>
      <c r="D448" s="152">
        <f>MIN(C448,C$7)</f>
        <v/>
      </c>
      <c r="E448" s="152">
        <f>MAX(0,MIN(C448-D448,AQ448))</f>
        <v/>
      </c>
      <c r="F448" s="152">
        <f>C448-D448-E448</f>
        <v/>
      </c>
      <c r="G448" s="152">
        <f>IF(J447&lt;=0.005,0,J447*(1+G$6))</f>
        <v/>
      </c>
      <c r="H448" s="152">
        <f>MIN(G448,G$7)</f>
        <v/>
      </c>
      <c r="I448" s="152">
        <f>MAX(0,MIN(G448-H448,AQ448-(E448)))</f>
        <v/>
      </c>
      <c r="J448" s="152">
        <f>G448-H448-I448</f>
        <v/>
      </c>
      <c r="K448" s="152">
        <f>IF(N447&lt;=0.005,0,N447*(1+K$6))</f>
        <v/>
      </c>
      <c r="L448" s="152">
        <f>MIN(K448,K$7)</f>
        <v/>
      </c>
      <c r="M448" s="152">
        <f>MAX(0,MIN(K448-L448,AQ448-(E448+I448)))</f>
        <v/>
      </c>
      <c r="N448" s="152">
        <f>K448-L448-M448</f>
        <v/>
      </c>
      <c r="O448" s="152">
        <f>IF(R447&lt;=0.005,0,R447*(1+O$6))</f>
        <v/>
      </c>
      <c r="P448" s="152">
        <f>MIN(O448,O$7)</f>
        <v/>
      </c>
      <c r="Q448" s="152">
        <f>MAX(0,MIN(O448-P448,AQ448-(E448+I448+M448)))</f>
        <v/>
      </c>
      <c r="R448" s="152">
        <f>O448-P448-Q448</f>
        <v/>
      </c>
      <c r="S448" s="152">
        <f>IF(V447&lt;=0.005,0,V447*(1+S$6))</f>
        <v/>
      </c>
      <c r="T448" s="152">
        <f>MIN(S448,S$7)</f>
        <v/>
      </c>
      <c r="U448" s="152">
        <f>MAX(0,MIN(S448-T448,AQ448-(E448+I448+M448+Q448)))</f>
        <v/>
      </c>
      <c r="V448" s="152">
        <f>S448-T448-U448</f>
        <v/>
      </c>
      <c r="W448" s="152">
        <f>IF(Z447&lt;=0.005,0,Z447*(1+W$6))</f>
        <v/>
      </c>
      <c r="X448" s="152">
        <f>MIN(W448,W$7)</f>
        <v/>
      </c>
      <c r="Y448" s="152">
        <f>MAX(0,MIN(W448-X448,AQ448-(E448+I448+M448+Q448+U448)))</f>
        <v/>
      </c>
      <c r="Z448" s="152">
        <f>W448-X448-Y448</f>
        <v/>
      </c>
      <c r="AA448" s="152">
        <f>IF(AD447&lt;=0.005,0,AD447*(1+AA$6))</f>
        <v/>
      </c>
      <c r="AB448" s="152">
        <f>MIN(AA448,AA$7)</f>
        <v/>
      </c>
      <c r="AC448" s="152">
        <f>MAX(0,MIN(AA448-AB448,AQ448-(E448+I448+M448+Q448+U448+Y448)))</f>
        <v/>
      </c>
      <c r="AD448" s="152">
        <f>AA448-AB448-AC448</f>
        <v/>
      </c>
      <c r="AE448" s="152">
        <f>IF(AH447&lt;=0.005,0,AH447*(1+AE$6))</f>
        <v/>
      </c>
      <c r="AF448" s="152">
        <f>MIN(AE448,AE$7)</f>
        <v/>
      </c>
      <c r="AG448" s="152">
        <f>MAX(0,MIN(AE448-AF448,AQ448-(E448+I448+M448+Q448+U448+Y448+AC448)))</f>
        <v/>
      </c>
      <c r="AH448" s="152">
        <f>AE448-AF448-AG448</f>
        <v/>
      </c>
      <c r="AI448" s="152">
        <f>IF(AL447&lt;=0.005,0,AL447*(1+AI$6))</f>
        <v/>
      </c>
      <c r="AJ448" s="152">
        <f>MIN(AI448,AI$7)</f>
        <v/>
      </c>
      <c r="AK448" s="152">
        <f>MAX(0,MIN(AI448-AJ448,AQ448-(E448+I448+M448+Q448+U448+Y448+AC448+AG448)))</f>
        <v/>
      </c>
      <c r="AL448" s="152">
        <f>AI448-AJ448-AK448</f>
        <v/>
      </c>
      <c r="AM448" s="152">
        <f>IF(AP447&lt;=0.005,0,AP447*(1+AM$6))</f>
        <v/>
      </c>
      <c r="AN448" s="152">
        <f>MIN(AM448,AM$7)</f>
        <v/>
      </c>
      <c r="AO448" s="152">
        <f>MAX(0,MIN(AM448-AN448,AQ448-(E448+I448+M448+Q448+U448+Y448+AC448+AG448+AK448)))</f>
        <v/>
      </c>
      <c r="AP448" s="152">
        <f>AM448-AN448-AO448</f>
        <v/>
      </c>
      <c r="AQ448" s="152">
        <f>'Debt Payoff'!$C$8-SUM(D448,H448,L448,P448,T448,X448,AB448,AF448,AJ448,AN448)</f>
        <v/>
      </c>
      <c r="AR448" s="152">
        <f>SUM(D448,H448,L448,P448,T448,X448,AB448,AF448,AJ448,AN448)+SUM(E448,I448,M448,Q448,U448,Y448,AC448,AG448,AK448,AO448)</f>
        <v/>
      </c>
      <c r="AS448" s="152">
        <f>SUM(F448,J448,N448,R448,V448,Z448,AD448,AH448,AL448,AP448)</f>
        <v/>
      </c>
      <c r="AT448" s="152">
        <f>IF(B448&gt;AS$6,NA(),B448)</f>
        <v/>
      </c>
      <c r="AU448" s="152">
        <f>IF(B448&gt;AS$6,NA(),AS448)</f>
        <v/>
      </c>
      <c r="AV448" s="152" t="n"/>
      <c r="AW448" s="152" t="n">
        <v>437</v>
      </c>
      <c r="AX448" s="152">
        <f>IF(BA447&lt;=0.005,0,BA447*(1+AX$6))</f>
        <v/>
      </c>
      <c r="AY448" s="152">
        <f>MIN(AX448,AX$7)</f>
        <v/>
      </c>
      <c r="AZ448" s="152">
        <f>MAX(0,MIN(AX448-AY448,CL448))</f>
        <v/>
      </c>
      <c r="BA448" s="152">
        <f>AX448-AY448-AZ448</f>
        <v/>
      </c>
      <c r="BB448" s="152">
        <f>IF(BE447&lt;=0.005,0,BE447*(1+BB$6))</f>
        <v/>
      </c>
      <c r="BC448" s="152">
        <f>MIN(BB448,BB$7)</f>
        <v/>
      </c>
      <c r="BD448" s="152">
        <f>MAX(0,MIN(BB448-BC448,CL448-(AZ448)))</f>
        <v/>
      </c>
      <c r="BE448" s="152">
        <f>BB448-BC448-BD448</f>
        <v/>
      </c>
      <c r="BF448" s="152">
        <f>IF(BI447&lt;=0.005,0,BI447*(1+BF$6))</f>
        <v/>
      </c>
      <c r="BG448" s="152">
        <f>MIN(BF448,BF$7)</f>
        <v/>
      </c>
      <c r="BH448" s="152">
        <f>MAX(0,MIN(BF448-BG448,CL448-(AZ448+BD448)))</f>
        <v/>
      </c>
      <c r="BI448" s="152">
        <f>BF448-BG448-BH448</f>
        <v/>
      </c>
      <c r="BJ448" s="152">
        <f>IF(BM447&lt;=0.005,0,BM447*(1+BJ$6))</f>
        <v/>
      </c>
      <c r="BK448" s="152">
        <f>MIN(BJ448,BJ$7)</f>
        <v/>
      </c>
      <c r="BL448" s="152">
        <f>MAX(0,MIN(BJ448-BK448,CL448-(AZ448+BD448+BH448)))</f>
        <v/>
      </c>
      <c r="BM448" s="152">
        <f>BJ448-BK448-BL448</f>
        <v/>
      </c>
      <c r="BN448" s="152">
        <f>IF(BQ447&lt;=0.005,0,BQ447*(1+BN$6))</f>
        <v/>
      </c>
      <c r="BO448" s="152">
        <f>MIN(BN448,BN$7)</f>
        <v/>
      </c>
      <c r="BP448" s="152">
        <f>MAX(0,MIN(BN448-BO448,CL448-(AZ448+BD448+BH448+BL448)))</f>
        <v/>
      </c>
      <c r="BQ448" s="152">
        <f>BN448-BO448-BP448</f>
        <v/>
      </c>
      <c r="BR448" s="152">
        <f>IF(BU447&lt;=0.005,0,BU447*(1+BR$6))</f>
        <v/>
      </c>
      <c r="BS448" s="152">
        <f>MIN(BR448,BR$7)</f>
        <v/>
      </c>
      <c r="BT448" s="152">
        <f>MAX(0,MIN(BR448-BS448,CL448-(AZ448+BD448+BH448+BL448+BP448)))</f>
        <v/>
      </c>
      <c r="BU448" s="152">
        <f>BR448-BS448-BT448</f>
        <v/>
      </c>
      <c r="BV448" s="152">
        <f>IF(BY447&lt;=0.005,0,BY447*(1+BV$6))</f>
        <v/>
      </c>
      <c r="BW448" s="152">
        <f>MIN(BV448,BV$7)</f>
        <v/>
      </c>
      <c r="BX448" s="152">
        <f>MAX(0,MIN(BV448-BW448,CL448-(AZ448+BD448+BH448+BL448+BP448+BT448)))</f>
        <v/>
      </c>
      <c r="BY448" s="152">
        <f>BV448-BW448-BX448</f>
        <v/>
      </c>
      <c r="BZ448" s="152">
        <f>IF(CC447&lt;=0.005,0,CC447*(1+BZ$6))</f>
        <v/>
      </c>
      <c r="CA448" s="152">
        <f>MIN(BZ448,BZ$7)</f>
        <v/>
      </c>
      <c r="CB448" s="152">
        <f>MAX(0,MIN(BZ448-CA448,CL448-(AZ448+BD448+BH448+BL448+BP448+BT448+BX448)))</f>
        <v/>
      </c>
      <c r="CC448" s="152">
        <f>BZ448-CA448-CB448</f>
        <v/>
      </c>
      <c r="CD448" s="152">
        <f>IF(CG447&lt;=0.005,0,CG447*(1+CD$6))</f>
        <v/>
      </c>
      <c r="CE448" s="152">
        <f>MIN(CD448,CD$7)</f>
        <v/>
      </c>
      <c r="CF448" s="152">
        <f>MAX(0,MIN(CD448-CE448,CL448-(AZ448+BD448+BH448+BL448+BP448+BT448+BX448+CB448)))</f>
        <v/>
      </c>
      <c r="CG448" s="152">
        <f>CD448-CE448-CF448</f>
        <v/>
      </c>
      <c r="CH448" s="152">
        <f>IF(CK447&lt;=0.005,0,CK447*(1+CH$6))</f>
        <v/>
      </c>
      <c r="CI448" s="152">
        <f>MIN(CH448,CH$7)</f>
        <v/>
      </c>
      <c r="CJ448" s="152">
        <f>MAX(0,MIN(CH448-CI448,CL448-(AZ448+BD448+BH448+BL448+BP448+BT448+BX448+CB448+CF448)))</f>
        <v/>
      </c>
      <c r="CK448" s="152">
        <f>CH448-CI448-CJ448</f>
        <v/>
      </c>
      <c r="CL448" s="152">
        <f>'Debt Payoff'!$C$8-SUM(AY448,BC448,BG448,BK448,BO448,BS448,BW448,CA448,CE448,CI448)</f>
        <v/>
      </c>
      <c r="CM448" s="152">
        <f>SUM(AY448,BC448,BG448,BK448,BO448,BS448,BW448,CA448,CE448,CI448)+SUM(AZ448,BD448,BH448,BL448,BP448,BT448,BX448,CB448,CF448,CJ448)</f>
        <v/>
      </c>
      <c r="CN448" s="152">
        <f>SUM(BA448,BE448,BI448,BM448,BQ448,BU448,BY448,CC448,CG448,CK448)</f>
        <v/>
      </c>
      <c r="CO448" s="152">
        <f>IF(AW448&gt;CN$6,NA(),AW448)</f>
        <v/>
      </c>
      <c r="CP448" s="152">
        <f>IF(AW448&gt;CN$6,NA(),CN448)</f>
        <v/>
      </c>
    </row>
    <row r="449">
      <c r="B449" s="152" t="n">
        <v>438</v>
      </c>
      <c r="C449" s="152">
        <f>IF(F448&lt;=0.005,0,F448*(1+C$6))</f>
        <v/>
      </c>
      <c r="D449" s="152">
        <f>MIN(C449,C$7)</f>
        <v/>
      </c>
      <c r="E449" s="152">
        <f>MAX(0,MIN(C449-D449,AQ449))</f>
        <v/>
      </c>
      <c r="F449" s="152">
        <f>C449-D449-E449</f>
        <v/>
      </c>
      <c r="G449" s="152">
        <f>IF(J448&lt;=0.005,0,J448*(1+G$6))</f>
        <v/>
      </c>
      <c r="H449" s="152">
        <f>MIN(G449,G$7)</f>
        <v/>
      </c>
      <c r="I449" s="152">
        <f>MAX(0,MIN(G449-H449,AQ449-(E449)))</f>
        <v/>
      </c>
      <c r="J449" s="152">
        <f>G449-H449-I449</f>
        <v/>
      </c>
      <c r="K449" s="152">
        <f>IF(N448&lt;=0.005,0,N448*(1+K$6))</f>
        <v/>
      </c>
      <c r="L449" s="152">
        <f>MIN(K449,K$7)</f>
        <v/>
      </c>
      <c r="M449" s="152">
        <f>MAX(0,MIN(K449-L449,AQ449-(E449+I449)))</f>
        <v/>
      </c>
      <c r="N449" s="152">
        <f>K449-L449-M449</f>
        <v/>
      </c>
      <c r="O449" s="152">
        <f>IF(R448&lt;=0.005,0,R448*(1+O$6))</f>
        <v/>
      </c>
      <c r="P449" s="152">
        <f>MIN(O449,O$7)</f>
        <v/>
      </c>
      <c r="Q449" s="152">
        <f>MAX(0,MIN(O449-P449,AQ449-(E449+I449+M449)))</f>
        <v/>
      </c>
      <c r="R449" s="152">
        <f>O449-P449-Q449</f>
        <v/>
      </c>
      <c r="S449" s="152">
        <f>IF(V448&lt;=0.005,0,V448*(1+S$6))</f>
        <v/>
      </c>
      <c r="T449" s="152">
        <f>MIN(S449,S$7)</f>
        <v/>
      </c>
      <c r="U449" s="152">
        <f>MAX(0,MIN(S449-T449,AQ449-(E449+I449+M449+Q449)))</f>
        <v/>
      </c>
      <c r="V449" s="152">
        <f>S449-T449-U449</f>
        <v/>
      </c>
      <c r="W449" s="152">
        <f>IF(Z448&lt;=0.005,0,Z448*(1+W$6))</f>
        <v/>
      </c>
      <c r="X449" s="152">
        <f>MIN(W449,W$7)</f>
        <v/>
      </c>
      <c r="Y449" s="152">
        <f>MAX(0,MIN(W449-X449,AQ449-(E449+I449+M449+Q449+U449)))</f>
        <v/>
      </c>
      <c r="Z449" s="152">
        <f>W449-X449-Y449</f>
        <v/>
      </c>
      <c r="AA449" s="152">
        <f>IF(AD448&lt;=0.005,0,AD448*(1+AA$6))</f>
        <v/>
      </c>
      <c r="AB449" s="152">
        <f>MIN(AA449,AA$7)</f>
        <v/>
      </c>
      <c r="AC449" s="152">
        <f>MAX(0,MIN(AA449-AB449,AQ449-(E449+I449+M449+Q449+U449+Y449)))</f>
        <v/>
      </c>
      <c r="AD449" s="152">
        <f>AA449-AB449-AC449</f>
        <v/>
      </c>
      <c r="AE449" s="152">
        <f>IF(AH448&lt;=0.005,0,AH448*(1+AE$6))</f>
        <v/>
      </c>
      <c r="AF449" s="152">
        <f>MIN(AE449,AE$7)</f>
        <v/>
      </c>
      <c r="AG449" s="152">
        <f>MAX(0,MIN(AE449-AF449,AQ449-(E449+I449+M449+Q449+U449+Y449+AC449)))</f>
        <v/>
      </c>
      <c r="AH449" s="152">
        <f>AE449-AF449-AG449</f>
        <v/>
      </c>
      <c r="AI449" s="152">
        <f>IF(AL448&lt;=0.005,0,AL448*(1+AI$6))</f>
        <v/>
      </c>
      <c r="AJ449" s="152">
        <f>MIN(AI449,AI$7)</f>
        <v/>
      </c>
      <c r="AK449" s="152">
        <f>MAX(0,MIN(AI449-AJ449,AQ449-(E449+I449+M449+Q449+U449+Y449+AC449+AG449)))</f>
        <v/>
      </c>
      <c r="AL449" s="152">
        <f>AI449-AJ449-AK449</f>
        <v/>
      </c>
      <c r="AM449" s="152">
        <f>IF(AP448&lt;=0.005,0,AP448*(1+AM$6))</f>
        <v/>
      </c>
      <c r="AN449" s="152">
        <f>MIN(AM449,AM$7)</f>
        <v/>
      </c>
      <c r="AO449" s="152">
        <f>MAX(0,MIN(AM449-AN449,AQ449-(E449+I449+M449+Q449+U449+Y449+AC449+AG449+AK449)))</f>
        <v/>
      </c>
      <c r="AP449" s="152">
        <f>AM449-AN449-AO449</f>
        <v/>
      </c>
      <c r="AQ449" s="152">
        <f>'Debt Payoff'!$C$8-SUM(D449,H449,L449,P449,T449,X449,AB449,AF449,AJ449,AN449)</f>
        <v/>
      </c>
      <c r="AR449" s="152">
        <f>SUM(D449,H449,L449,P449,T449,X449,AB449,AF449,AJ449,AN449)+SUM(E449,I449,M449,Q449,U449,Y449,AC449,AG449,AK449,AO449)</f>
        <v/>
      </c>
      <c r="AS449" s="152">
        <f>SUM(F449,J449,N449,R449,V449,Z449,AD449,AH449,AL449,AP449)</f>
        <v/>
      </c>
      <c r="AT449" s="152">
        <f>IF(B449&gt;AS$6,NA(),B449)</f>
        <v/>
      </c>
      <c r="AU449" s="152">
        <f>IF(B449&gt;AS$6,NA(),AS449)</f>
        <v/>
      </c>
      <c r="AV449" s="152" t="n"/>
      <c r="AW449" s="152" t="n">
        <v>438</v>
      </c>
      <c r="AX449" s="152">
        <f>IF(BA448&lt;=0.005,0,BA448*(1+AX$6))</f>
        <v/>
      </c>
      <c r="AY449" s="152">
        <f>MIN(AX449,AX$7)</f>
        <v/>
      </c>
      <c r="AZ449" s="152">
        <f>MAX(0,MIN(AX449-AY449,CL449))</f>
        <v/>
      </c>
      <c r="BA449" s="152">
        <f>AX449-AY449-AZ449</f>
        <v/>
      </c>
      <c r="BB449" s="152">
        <f>IF(BE448&lt;=0.005,0,BE448*(1+BB$6))</f>
        <v/>
      </c>
      <c r="BC449" s="152">
        <f>MIN(BB449,BB$7)</f>
        <v/>
      </c>
      <c r="BD449" s="152">
        <f>MAX(0,MIN(BB449-BC449,CL449-(AZ449)))</f>
        <v/>
      </c>
      <c r="BE449" s="152">
        <f>BB449-BC449-BD449</f>
        <v/>
      </c>
      <c r="BF449" s="152">
        <f>IF(BI448&lt;=0.005,0,BI448*(1+BF$6))</f>
        <v/>
      </c>
      <c r="BG449" s="152">
        <f>MIN(BF449,BF$7)</f>
        <v/>
      </c>
      <c r="BH449" s="152">
        <f>MAX(0,MIN(BF449-BG449,CL449-(AZ449+BD449)))</f>
        <v/>
      </c>
      <c r="BI449" s="152">
        <f>BF449-BG449-BH449</f>
        <v/>
      </c>
      <c r="BJ449" s="152">
        <f>IF(BM448&lt;=0.005,0,BM448*(1+BJ$6))</f>
        <v/>
      </c>
      <c r="BK449" s="152">
        <f>MIN(BJ449,BJ$7)</f>
        <v/>
      </c>
      <c r="BL449" s="152">
        <f>MAX(0,MIN(BJ449-BK449,CL449-(AZ449+BD449+BH449)))</f>
        <v/>
      </c>
      <c r="BM449" s="152">
        <f>BJ449-BK449-BL449</f>
        <v/>
      </c>
      <c r="BN449" s="152">
        <f>IF(BQ448&lt;=0.005,0,BQ448*(1+BN$6))</f>
        <v/>
      </c>
      <c r="BO449" s="152">
        <f>MIN(BN449,BN$7)</f>
        <v/>
      </c>
      <c r="BP449" s="152">
        <f>MAX(0,MIN(BN449-BO449,CL449-(AZ449+BD449+BH449+BL449)))</f>
        <v/>
      </c>
      <c r="BQ449" s="152">
        <f>BN449-BO449-BP449</f>
        <v/>
      </c>
      <c r="BR449" s="152">
        <f>IF(BU448&lt;=0.005,0,BU448*(1+BR$6))</f>
        <v/>
      </c>
      <c r="BS449" s="152">
        <f>MIN(BR449,BR$7)</f>
        <v/>
      </c>
      <c r="BT449" s="152">
        <f>MAX(0,MIN(BR449-BS449,CL449-(AZ449+BD449+BH449+BL449+BP449)))</f>
        <v/>
      </c>
      <c r="BU449" s="152">
        <f>BR449-BS449-BT449</f>
        <v/>
      </c>
      <c r="BV449" s="152">
        <f>IF(BY448&lt;=0.005,0,BY448*(1+BV$6))</f>
        <v/>
      </c>
      <c r="BW449" s="152">
        <f>MIN(BV449,BV$7)</f>
        <v/>
      </c>
      <c r="BX449" s="152">
        <f>MAX(0,MIN(BV449-BW449,CL449-(AZ449+BD449+BH449+BL449+BP449+BT449)))</f>
        <v/>
      </c>
      <c r="BY449" s="152">
        <f>BV449-BW449-BX449</f>
        <v/>
      </c>
      <c r="BZ449" s="152">
        <f>IF(CC448&lt;=0.005,0,CC448*(1+BZ$6))</f>
        <v/>
      </c>
      <c r="CA449" s="152">
        <f>MIN(BZ449,BZ$7)</f>
        <v/>
      </c>
      <c r="CB449" s="152">
        <f>MAX(0,MIN(BZ449-CA449,CL449-(AZ449+BD449+BH449+BL449+BP449+BT449+BX449)))</f>
        <v/>
      </c>
      <c r="CC449" s="152">
        <f>BZ449-CA449-CB449</f>
        <v/>
      </c>
      <c r="CD449" s="152">
        <f>IF(CG448&lt;=0.005,0,CG448*(1+CD$6))</f>
        <v/>
      </c>
      <c r="CE449" s="152">
        <f>MIN(CD449,CD$7)</f>
        <v/>
      </c>
      <c r="CF449" s="152">
        <f>MAX(0,MIN(CD449-CE449,CL449-(AZ449+BD449+BH449+BL449+BP449+BT449+BX449+CB449)))</f>
        <v/>
      </c>
      <c r="CG449" s="152">
        <f>CD449-CE449-CF449</f>
        <v/>
      </c>
      <c r="CH449" s="152">
        <f>IF(CK448&lt;=0.005,0,CK448*(1+CH$6))</f>
        <v/>
      </c>
      <c r="CI449" s="152">
        <f>MIN(CH449,CH$7)</f>
        <v/>
      </c>
      <c r="CJ449" s="152">
        <f>MAX(0,MIN(CH449-CI449,CL449-(AZ449+BD449+BH449+BL449+BP449+BT449+BX449+CB449+CF449)))</f>
        <v/>
      </c>
      <c r="CK449" s="152">
        <f>CH449-CI449-CJ449</f>
        <v/>
      </c>
      <c r="CL449" s="152">
        <f>'Debt Payoff'!$C$8-SUM(AY449,BC449,BG449,BK449,BO449,BS449,BW449,CA449,CE449,CI449)</f>
        <v/>
      </c>
      <c r="CM449" s="152">
        <f>SUM(AY449,BC449,BG449,BK449,BO449,BS449,BW449,CA449,CE449,CI449)+SUM(AZ449,BD449,BH449,BL449,BP449,BT449,BX449,CB449,CF449,CJ449)</f>
        <v/>
      </c>
      <c r="CN449" s="152">
        <f>SUM(BA449,BE449,BI449,BM449,BQ449,BU449,BY449,CC449,CG449,CK449)</f>
        <v/>
      </c>
      <c r="CO449" s="152">
        <f>IF(AW449&gt;CN$6,NA(),AW449)</f>
        <v/>
      </c>
      <c r="CP449" s="152">
        <f>IF(AW449&gt;CN$6,NA(),CN449)</f>
        <v/>
      </c>
    </row>
    <row r="450">
      <c r="B450" s="152" t="n">
        <v>439</v>
      </c>
      <c r="C450" s="152">
        <f>IF(F449&lt;=0.005,0,F449*(1+C$6))</f>
        <v/>
      </c>
      <c r="D450" s="152">
        <f>MIN(C450,C$7)</f>
        <v/>
      </c>
      <c r="E450" s="152">
        <f>MAX(0,MIN(C450-D450,AQ450))</f>
        <v/>
      </c>
      <c r="F450" s="152">
        <f>C450-D450-E450</f>
        <v/>
      </c>
      <c r="G450" s="152">
        <f>IF(J449&lt;=0.005,0,J449*(1+G$6))</f>
        <v/>
      </c>
      <c r="H450" s="152">
        <f>MIN(G450,G$7)</f>
        <v/>
      </c>
      <c r="I450" s="152">
        <f>MAX(0,MIN(G450-H450,AQ450-(E450)))</f>
        <v/>
      </c>
      <c r="J450" s="152">
        <f>G450-H450-I450</f>
        <v/>
      </c>
      <c r="K450" s="152">
        <f>IF(N449&lt;=0.005,0,N449*(1+K$6))</f>
        <v/>
      </c>
      <c r="L450" s="152">
        <f>MIN(K450,K$7)</f>
        <v/>
      </c>
      <c r="M450" s="152">
        <f>MAX(0,MIN(K450-L450,AQ450-(E450+I450)))</f>
        <v/>
      </c>
      <c r="N450" s="152">
        <f>K450-L450-M450</f>
        <v/>
      </c>
      <c r="O450" s="152">
        <f>IF(R449&lt;=0.005,0,R449*(1+O$6))</f>
        <v/>
      </c>
      <c r="P450" s="152">
        <f>MIN(O450,O$7)</f>
        <v/>
      </c>
      <c r="Q450" s="152">
        <f>MAX(0,MIN(O450-P450,AQ450-(E450+I450+M450)))</f>
        <v/>
      </c>
      <c r="R450" s="152">
        <f>O450-P450-Q450</f>
        <v/>
      </c>
      <c r="S450" s="152">
        <f>IF(V449&lt;=0.005,0,V449*(1+S$6))</f>
        <v/>
      </c>
      <c r="T450" s="152">
        <f>MIN(S450,S$7)</f>
        <v/>
      </c>
      <c r="U450" s="152">
        <f>MAX(0,MIN(S450-T450,AQ450-(E450+I450+M450+Q450)))</f>
        <v/>
      </c>
      <c r="V450" s="152">
        <f>S450-T450-U450</f>
        <v/>
      </c>
      <c r="W450" s="152">
        <f>IF(Z449&lt;=0.005,0,Z449*(1+W$6))</f>
        <v/>
      </c>
      <c r="X450" s="152">
        <f>MIN(W450,W$7)</f>
        <v/>
      </c>
      <c r="Y450" s="152">
        <f>MAX(0,MIN(W450-X450,AQ450-(E450+I450+M450+Q450+U450)))</f>
        <v/>
      </c>
      <c r="Z450" s="152">
        <f>W450-X450-Y450</f>
        <v/>
      </c>
      <c r="AA450" s="152">
        <f>IF(AD449&lt;=0.005,0,AD449*(1+AA$6))</f>
        <v/>
      </c>
      <c r="AB450" s="152">
        <f>MIN(AA450,AA$7)</f>
        <v/>
      </c>
      <c r="AC450" s="152">
        <f>MAX(0,MIN(AA450-AB450,AQ450-(E450+I450+M450+Q450+U450+Y450)))</f>
        <v/>
      </c>
      <c r="AD450" s="152">
        <f>AA450-AB450-AC450</f>
        <v/>
      </c>
      <c r="AE450" s="152">
        <f>IF(AH449&lt;=0.005,0,AH449*(1+AE$6))</f>
        <v/>
      </c>
      <c r="AF450" s="152">
        <f>MIN(AE450,AE$7)</f>
        <v/>
      </c>
      <c r="AG450" s="152">
        <f>MAX(0,MIN(AE450-AF450,AQ450-(E450+I450+M450+Q450+U450+Y450+AC450)))</f>
        <v/>
      </c>
      <c r="AH450" s="152">
        <f>AE450-AF450-AG450</f>
        <v/>
      </c>
      <c r="AI450" s="152">
        <f>IF(AL449&lt;=0.005,0,AL449*(1+AI$6))</f>
        <v/>
      </c>
      <c r="AJ450" s="152">
        <f>MIN(AI450,AI$7)</f>
        <v/>
      </c>
      <c r="AK450" s="152">
        <f>MAX(0,MIN(AI450-AJ450,AQ450-(E450+I450+M450+Q450+U450+Y450+AC450+AG450)))</f>
        <v/>
      </c>
      <c r="AL450" s="152">
        <f>AI450-AJ450-AK450</f>
        <v/>
      </c>
      <c r="AM450" s="152">
        <f>IF(AP449&lt;=0.005,0,AP449*(1+AM$6))</f>
        <v/>
      </c>
      <c r="AN450" s="152">
        <f>MIN(AM450,AM$7)</f>
        <v/>
      </c>
      <c r="AO450" s="152">
        <f>MAX(0,MIN(AM450-AN450,AQ450-(E450+I450+M450+Q450+U450+Y450+AC450+AG450+AK450)))</f>
        <v/>
      </c>
      <c r="AP450" s="152">
        <f>AM450-AN450-AO450</f>
        <v/>
      </c>
      <c r="AQ450" s="152">
        <f>'Debt Payoff'!$C$8-SUM(D450,H450,L450,P450,T450,X450,AB450,AF450,AJ450,AN450)</f>
        <v/>
      </c>
      <c r="AR450" s="152">
        <f>SUM(D450,H450,L450,P450,T450,X450,AB450,AF450,AJ450,AN450)+SUM(E450,I450,M450,Q450,U450,Y450,AC450,AG450,AK450,AO450)</f>
        <v/>
      </c>
      <c r="AS450" s="152">
        <f>SUM(F450,J450,N450,R450,V450,Z450,AD450,AH450,AL450,AP450)</f>
        <v/>
      </c>
      <c r="AT450" s="152">
        <f>IF(B450&gt;AS$6,NA(),B450)</f>
        <v/>
      </c>
      <c r="AU450" s="152">
        <f>IF(B450&gt;AS$6,NA(),AS450)</f>
        <v/>
      </c>
      <c r="AV450" s="152" t="n"/>
      <c r="AW450" s="152" t="n">
        <v>439</v>
      </c>
      <c r="AX450" s="152">
        <f>IF(BA449&lt;=0.005,0,BA449*(1+AX$6))</f>
        <v/>
      </c>
      <c r="AY450" s="152">
        <f>MIN(AX450,AX$7)</f>
        <v/>
      </c>
      <c r="AZ450" s="152">
        <f>MAX(0,MIN(AX450-AY450,CL450))</f>
        <v/>
      </c>
      <c r="BA450" s="152">
        <f>AX450-AY450-AZ450</f>
        <v/>
      </c>
      <c r="BB450" s="152">
        <f>IF(BE449&lt;=0.005,0,BE449*(1+BB$6))</f>
        <v/>
      </c>
      <c r="BC450" s="152">
        <f>MIN(BB450,BB$7)</f>
        <v/>
      </c>
      <c r="BD450" s="152">
        <f>MAX(0,MIN(BB450-BC450,CL450-(AZ450)))</f>
        <v/>
      </c>
      <c r="BE450" s="152">
        <f>BB450-BC450-BD450</f>
        <v/>
      </c>
      <c r="BF450" s="152">
        <f>IF(BI449&lt;=0.005,0,BI449*(1+BF$6))</f>
        <v/>
      </c>
      <c r="BG450" s="152">
        <f>MIN(BF450,BF$7)</f>
        <v/>
      </c>
      <c r="BH450" s="152">
        <f>MAX(0,MIN(BF450-BG450,CL450-(AZ450+BD450)))</f>
        <v/>
      </c>
      <c r="BI450" s="152">
        <f>BF450-BG450-BH450</f>
        <v/>
      </c>
      <c r="BJ450" s="152">
        <f>IF(BM449&lt;=0.005,0,BM449*(1+BJ$6))</f>
        <v/>
      </c>
      <c r="BK450" s="152">
        <f>MIN(BJ450,BJ$7)</f>
        <v/>
      </c>
      <c r="BL450" s="152">
        <f>MAX(0,MIN(BJ450-BK450,CL450-(AZ450+BD450+BH450)))</f>
        <v/>
      </c>
      <c r="BM450" s="152">
        <f>BJ450-BK450-BL450</f>
        <v/>
      </c>
      <c r="BN450" s="152">
        <f>IF(BQ449&lt;=0.005,0,BQ449*(1+BN$6))</f>
        <v/>
      </c>
      <c r="BO450" s="152">
        <f>MIN(BN450,BN$7)</f>
        <v/>
      </c>
      <c r="BP450" s="152">
        <f>MAX(0,MIN(BN450-BO450,CL450-(AZ450+BD450+BH450+BL450)))</f>
        <v/>
      </c>
      <c r="BQ450" s="152">
        <f>BN450-BO450-BP450</f>
        <v/>
      </c>
      <c r="BR450" s="152">
        <f>IF(BU449&lt;=0.005,0,BU449*(1+BR$6))</f>
        <v/>
      </c>
      <c r="BS450" s="152">
        <f>MIN(BR450,BR$7)</f>
        <v/>
      </c>
      <c r="BT450" s="152">
        <f>MAX(0,MIN(BR450-BS450,CL450-(AZ450+BD450+BH450+BL450+BP450)))</f>
        <v/>
      </c>
      <c r="BU450" s="152">
        <f>BR450-BS450-BT450</f>
        <v/>
      </c>
      <c r="BV450" s="152">
        <f>IF(BY449&lt;=0.005,0,BY449*(1+BV$6))</f>
        <v/>
      </c>
      <c r="BW450" s="152">
        <f>MIN(BV450,BV$7)</f>
        <v/>
      </c>
      <c r="BX450" s="152">
        <f>MAX(0,MIN(BV450-BW450,CL450-(AZ450+BD450+BH450+BL450+BP450+BT450)))</f>
        <v/>
      </c>
      <c r="BY450" s="152">
        <f>BV450-BW450-BX450</f>
        <v/>
      </c>
      <c r="BZ450" s="152">
        <f>IF(CC449&lt;=0.005,0,CC449*(1+BZ$6))</f>
        <v/>
      </c>
      <c r="CA450" s="152">
        <f>MIN(BZ450,BZ$7)</f>
        <v/>
      </c>
      <c r="CB450" s="152">
        <f>MAX(0,MIN(BZ450-CA450,CL450-(AZ450+BD450+BH450+BL450+BP450+BT450+BX450)))</f>
        <v/>
      </c>
      <c r="CC450" s="152">
        <f>BZ450-CA450-CB450</f>
        <v/>
      </c>
      <c r="CD450" s="152">
        <f>IF(CG449&lt;=0.005,0,CG449*(1+CD$6))</f>
        <v/>
      </c>
      <c r="CE450" s="152">
        <f>MIN(CD450,CD$7)</f>
        <v/>
      </c>
      <c r="CF450" s="152">
        <f>MAX(0,MIN(CD450-CE450,CL450-(AZ450+BD450+BH450+BL450+BP450+BT450+BX450+CB450)))</f>
        <v/>
      </c>
      <c r="CG450" s="152">
        <f>CD450-CE450-CF450</f>
        <v/>
      </c>
      <c r="CH450" s="152">
        <f>IF(CK449&lt;=0.005,0,CK449*(1+CH$6))</f>
        <v/>
      </c>
      <c r="CI450" s="152">
        <f>MIN(CH450,CH$7)</f>
        <v/>
      </c>
      <c r="CJ450" s="152">
        <f>MAX(0,MIN(CH450-CI450,CL450-(AZ450+BD450+BH450+BL450+BP450+BT450+BX450+CB450+CF450)))</f>
        <v/>
      </c>
      <c r="CK450" s="152">
        <f>CH450-CI450-CJ450</f>
        <v/>
      </c>
      <c r="CL450" s="152">
        <f>'Debt Payoff'!$C$8-SUM(AY450,BC450,BG450,BK450,BO450,BS450,BW450,CA450,CE450,CI450)</f>
        <v/>
      </c>
      <c r="CM450" s="152">
        <f>SUM(AY450,BC450,BG450,BK450,BO450,BS450,BW450,CA450,CE450,CI450)+SUM(AZ450,BD450,BH450,BL450,BP450,BT450,BX450,CB450,CF450,CJ450)</f>
        <v/>
      </c>
      <c r="CN450" s="152">
        <f>SUM(BA450,BE450,BI450,BM450,BQ450,BU450,BY450,CC450,CG450,CK450)</f>
        <v/>
      </c>
      <c r="CO450" s="152">
        <f>IF(AW450&gt;CN$6,NA(),AW450)</f>
        <v/>
      </c>
      <c r="CP450" s="152">
        <f>IF(AW450&gt;CN$6,NA(),CN450)</f>
        <v/>
      </c>
    </row>
    <row r="451">
      <c r="B451" s="152" t="n">
        <v>440</v>
      </c>
      <c r="C451" s="152">
        <f>IF(F450&lt;=0.005,0,F450*(1+C$6))</f>
        <v/>
      </c>
      <c r="D451" s="152">
        <f>MIN(C451,C$7)</f>
        <v/>
      </c>
      <c r="E451" s="152">
        <f>MAX(0,MIN(C451-D451,AQ451))</f>
        <v/>
      </c>
      <c r="F451" s="152">
        <f>C451-D451-E451</f>
        <v/>
      </c>
      <c r="G451" s="152">
        <f>IF(J450&lt;=0.005,0,J450*(1+G$6))</f>
        <v/>
      </c>
      <c r="H451" s="152">
        <f>MIN(G451,G$7)</f>
        <v/>
      </c>
      <c r="I451" s="152">
        <f>MAX(0,MIN(G451-H451,AQ451-(E451)))</f>
        <v/>
      </c>
      <c r="J451" s="152">
        <f>G451-H451-I451</f>
        <v/>
      </c>
      <c r="K451" s="152">
        <f>IF(N450&lt;=0.005,0,N450*(1+K$6))</f>
        <v/>
      </c>
      <c r="L451" s="152">
        <f>MIN(K451,K$7)</f>
        <v/>
      </c>
      <c r="M451" s="152">
        <f>MAX(0,MIN(K451-L451,AQ451-(E451+I451)))</f>
        <v/>
      </c>
      <c r="N451" s="152">
        <f>K451-L451-M451</f>
        <v/>
      </c>
      <c r="O451" s="152">
        <f>IF(R450&lt;=0.005,0,R450*(1+O$6))</f>
        <v/>
      </c>
      <c r="P451" s="152">
        <f>MIN(O451,O$7)</f>
        <v/>
      </c>
      <c r="Q451" s="152">
        <f>MAX(0,MIN(O451-P451,AQ451-(E451+I451+M451)))</f>
        <v/>
      </c>
      <c r="R451" s="152">
        <f>O451-P451-Q451</f>
        <v/>
      </c>
      <c r="S451" s="152">
        <f>IF(V450&lt;=0.005,0,V450*(1+S$6))</f>
        <v/>
      </c>
      <c r="T451" s="152">
        <f>MIN(S451,S$7)</f>
        <v/>
      </c>
      <c r="U451" s="152">
        <f>MAX(0,MIN(S451-T451,AQ451-(E451+I451+M451+Q451)))</f>
        <v/>
      </c>
      <c r="V451" s="152">
        <f>S451-T451-U451</f>
        <v/>
      </c>
      <c r="W451" s="152">
        <f>IF(Z450&lt;=0.005,0,Z450*(1+W$6))</f>
        <v/>
      </c>
      <c r="X451" s="152">
        <f>MIN(W451,W$7)</f>
        <v/>
      </c>
      <c r="Y451" s="152">
        <f>MAX(0,MIN(W451-X451,AQ451-(E451+I451+M451+Q451+U451)))</f>
        <v/>
      </c>
      <c r="Z451" s="152">
        <f>W451-X451-Y451</f>
        <v/>
      </c>
      <c r="AA451" s="152">
        <f>IF(AD450&lt;=0.005,0,AD450*(1+AA$6))</f>
        <v/>
      </c>
      <c r="AB451" s="152">
        <f>MIN(AA451,AA$7)</f>
        <v/>
      </c>
      <c r="AC451" s="152">
        <f>MAX(0,MIN(AA451-AB451,AQ451-(E451+I451+M451+Q451+U451+Y451)))</f>
        <v/>
      </c>
      <c r="AD451" s="152">
        <f>AA451-AB451-AC451</f>
        <v/>
      </c>
      <c r="AE451" s="152">
        <f>IF(AH450&lt;=0.005,0,AH450*(1+AE$6))</f>
        <v/>
      </c>
      <c r="AF451" s="152">
        <f>MIN(AE451,AE$7)</f>
        <v/>
      </c>
      <c r="AG451" s="152">
        <f>MAX(0,MIN(AE451-AF451,AQ451-(E451+I451+M451+Q451+U451+Y451+AC451)))</f>
        <v/>
      </c>
      <c r="AH451" s="152">
        <f>AE451-AF451-AG451</f>
        <v/>
      </c>
      <c r="AI451" s="152">
        <f>IF(AL450&lt;=0.005,0,AL450*(1+AI$6))</f>
        <v/>
      </c>
      <c r="AJ451" s="152">
        <f>MIN(AI451,AI$7)</f>
        <v/>
      </c>
      <c r="AK451" s="152">
        <f>MAX(0,MIN(AI451-AJ451,AQ451-(E451+I451+M451+Q451+U451+Y451+AC451+AG451)))</f>
        <v/>
      </c>
      <c r="AL451" s="152">
        <f>AI451-AJ451-AK451</f>
        <v/>
      </c>
      <c r="AM451" s="152">
        <f>IF(AP450&lt;=0.005,0,AP450*(1+AM$6))</f>
        <v/>
      </c>
      <c r="AN451" s="152">
        <f>MIN(AM451,AM$7)</f>
        <v/>
      </c>
      <c r="AO451" s="152">
        <f>MAX(0,MIN(AM451-AN451,AQ451-(E451+I451+M451+Q451+U451+Y451+AC451+AG451+AK451)))</f>
        <v/>
      </c>
      <c r="AP451" s="152">
        <f>AM451-AN451-AO451</f>
        <v/>
      </c>
      <c r="AQ451" s="152">
        <f>'Debt Payoff'!$C$8-SUM(D451,H451,L451,P451,T451,X451,AB451,AF451,AJ451,AN451)</f>
        <v/>
      </c>
      <c r="AR451" s="152">
        <f>SUM(D451,H451,L451,P451,T451,X451,AB451,AF451,AJ451,AN451)+SUM(E451,I451,M451,Q451,U451,Y451,AC451,AG451,AK451,AO451)</f>
        <v/>
      </c>
      <c r="AS451" s="152">
        <f>SUM(F451,J451,N451,R451,V451,Z451,AD451,AH451,AL451,AP451)</f>
        <v/>
      </c>
      <c r="AT451" s="152">
        <f>IF(B451&gt;AS$6,NA(),B451)</f>
        <v/>
      </c>
      <c r="AU451" s="152">
        <f>IF(B451&gt;AS$6,NA(),AS451)</f>
        <v/>
      </c>
      <c r="AV451" s="152" t="n"/>
      <c r="AW451" s="152" t="n">
        <v>440</v>
      </c>
      <c r="AX451" s="152">
        <f>IF(BA450&lt;=0.005,0,BA450*(1+AX$6))</f>
        <v/>
      </c>
      <c r="AY451" s="152">
        <f>MIN(AX451,AX$7)</f>
        <v/>
      </c>
      <c r="AZ451" s="152">
        <f>MAX(0,MIN(AX451-AY451,CL451))</f>
        <v/>
      </c>
      <c r="BA451" s="152">
        <f>AX451-AY451-AZ451</f>
        <v/>
      </c>
      <c r="BB451" s="152">
        <f>IF(BE450&lt;=0.005,0,BE450*(1+BB$6))</f>
        <v/>
      </c>
      <c r="BC451" s="152">
        <f>MIN(BB451,BB$7)</f>
        <v/>
      </c>
      <c r="BD451" s="152">
        <f>MAX(0,MIN(BB451-BC451,CL451-(AZ451)))</f>
        <v/>
      </c>
      <c r="BE451" s="152">
        <f>BB451-BC451-BD451</f>
        <v/>
      </c>
      <c r="BF451" s="152">
        <f>IF(BI450&lt;=0.005,0,BI450*(1+BF$6))</f>
        <v/>
      </c>
      <c r="BG451" s="152">
        <f>MIN(BF451,BF$7)</f>
        <v/>
      </c>
      <c r="BH451" s="152">
        <f>MAX(0,MIN(BF451-BG451,CL451-(AZ451+BD451)))</f>
        <v/>
      </c>
      <c r="BI451" s="152">
        <f>BF451-BG451-BH451</f>
        <v/>
      </c>
      <c r="BJ451" s="152">
        <f>IF(BM450&lt;=0.005,0,BM450*(1+BJ$6))</f>
        <v/>
      </c>
      <c r="BK451" s="152">
        <f>MIN(BJ451,BJ$7)</f>
        <v/>
      </c>
      <c r="BL451" s="152">
        <f>MAX(0,MIN(BJ451-BK451,CL451-(AZ451+BD451+BH451)))</f>
        <v/>
      </c>
      <c r="BM451" s="152">
        <f>BJ451-BK451-BL451</f>
        <v/>
      </c>
      <c r="BN451" s="152">
        <f>IF(BQ450&lt;=0.005,0,BQ450*(1+BN$6))</f>
        <v/>
      </c>
      <c r="BO451" s="152">
        <f>MIN(BN451,BN$7)</f>
        <v/>
      </c>
      <c r="BP451" s="152">
        <f>MAX(0,MIN(BN451-BO451,CL451-(AZ451+BD451+BH451+BL451)))</f>
        <v/>
      </c>
      <c r="BQ451" s="152">
        <f>BN451-BO451-BP451</f>
        <v/>
      </c>
      <c r="BR451" s="152">
        <f>IF(BU450&lt;=0.005,0,BU450*(1+BR$6))</f>
        <v/>
      </c>
      <c r="BS451" s="152">
        <f>MIN(BR451,BR$7)</f>
        <v/>
      </c>
      <c r="BT451" s="152">
        <f>MAX(0,MIN(BR451-BS451,CL451-(AZ451+BD451+BH451+BL451+BP451)))</f>
        <v/>
      </c>
      <c r="BU451" s="152">
        <f>BR451-BS451-BT451</f>
        <v/>
      </c>
      <c r="BV451" s="152">
        <f>IF(BY450&lt;=0.005,0,BY450*(1+BV$6))</f>
        <v/>
      </c>
      <c r="BW451" s="152">
        <f>MIN(BV451,BV$7)</f>
        <v/>
      </c>
      <c r="BX451" s="152">
        <f>MAX(0,MIN(BV451-BW451,CL451-(AZ451+BD451+BH451+BL451+BP451+BT451)))</f>
        <v/>
      </c>
      <c r="BY451" s="152">
        <f>BV451-BW451-BX451</f>
        <v/>
      </c>
      <c r="BZ451" s="152">
        <f>IF(CC450&lt;=0.005,0,CC450*(1+BZ$6))</f>
        <v/>
      </c>
      <c r="CA451" s="152">
        <f>MIN(BZ451,BZ$7)</f>
        <v/>
      </c>
      <c r="CB451" s="152">
        <f>MAX(0,MIN(BZ451-CA451,CL451-(AZ451+BD451+BH451+BL451+BP451+BT451+BX451)))</f>
        <v/>
      </c>
      <c r="CC451" s="152">
        <f>BZ451-CA451-CB451</f>
        <v/>
      </c>
      <c r="CD451" s="152">
        <f>IF(CG450&lt;=0.005,0,CG450*(1+CD$6))</f>
        <v/>
      </c>
      <c r="CE451" s="152">
        <f>MIN(CD451,CD$7)</f>
        <v/>
      </c>
      <c r="CF451" s="152">
        <f>MAX(0,MIN(CD451-CE451,CL451-(AZ451+BD451+BH451+BL451+BP451+BT451+BX451+CB451)))</f>
        <v/>
      </c>
      <c r="CG451" s="152">
        <f>CD451-CE451-CF451</f>
        <v/>
      </c>
      <c r="CH451" s="152">
        <f>IF(CK450&lt;=0.005,0,CK450*(1+CH$6))</f>
        <v/>
      </c>
      <c r="CI451" s="152">
        <f>MIN(CH451,CH$7)</f>
        <v/>
      </c>
      <c r="CJ451" s="152">
        <f>MAX(0,MIN(CH451-CI451,CL451-(AZ451+BD451+BH451+BL451+BP451+BT451+BX451+CB451+CF451)))</f>
        <v/>
      </c>
      <c r="CK451" s="152">
        <f>CH451-CI451-CJ451</f>
        <v/>
      </c>
      <c r="CL451" s="152">
        <f>'Debt Payoff'!$C$8-SUM(AY451,BC451,BG451,BK451,BO451,BS451,BW451,CA451,CE451,CI451)</f>
        <v/>
      </c>
      <c r="CM451" s="152">
        <f>SUM(AY451,BC451,BG451,BK451,BO451,BS451,BW451,CA451,CE451,CI451)+SUM(AZ451,BD451,BH451,BL451,BP451,BT451,BX451,CB451,CF451,CJ451)</f>
        <v/>
      </c>
      <c r="CN451" s="152">
        <f>SUM(BA451,BE451,BI451,BM451,BQ451,BU451,BY451,CC451,CG451,CK451)</f>
        <v/>
      </c>
      <c r="CO451" s="152">
        <f>IF(AW451&gt;CN$6,NA(),AW451)</f>
        <v/>
      </c>
      <c r="CP451" s="152">
        <f>IF(AW451&gt;CN$6,NA(),CN451)</f>
        <v/>
      </c>
    </row>
    <row r="452">
      <c r="B452" s="152" t="n">
        <v>441</v>
      </c>
      <c r="C452" s="152">
        <f>IF(F451&lt;=0.005,0,F451*(1+C$6))</f>
        <v/>
      </c>
      <c r="D452" s="152">
        <f>MIN(C452,C$7)</f>
        <v/>
      </c>
      <c r="E452" s="152">
        <f>MAX(0,MIN(C452-D452,AQ452))</f>
        <v/>
      </c>
      <c r="F452" s="152">
        <f>C452-D452-E452</f>
        <v/>
      </c>
      <c r="G452" s="152">
        <f>IF(J451&lt;=0.005,0,J451*(1+G$6))</f>
        <v/>
      </c>
      <c r="H452" s="152">
        <f>MIN(G452,G$7)</f>
        <v/>
      </c>
      <c r="I452" s="152">
        <f>MAX(0,MIN(G452-H452,AQ452-(E452)))</f>
        <v/>
      </c>
      <c r="J452" s="152">
        <f>G452-H452-I452</f>
        <v/>
      </c>
      <c r="K452" s="152">
        <f>IF(N451&lt;=0.005,0,N451*(1+K$6))</f>
        <v/>
      </c>
      <c r="L452" s="152">
        <f>MIN(K452,K$7)</f>
        <v/>
      </c>
      <c r="M452" s="152">
        <f>MAX(0,MIN(K452-L452,AQ452-(E452+I452)))</f>
        <v/>
      </c>
      <c r="N452" s="152">
        <f>K452-L452-M452</f>
        <v/>
      </c>
      <c r="O452" s="152">
        <f>IF(R451&lt;=0.005,0,R451*(1+O$6))</f>
        <v/>
      </c>
      <c r="P452" s="152">
        <f>MIN(O452,O$7)</f>
        <v/>
      </c>
      <c r="Q452" s="152">
        <f>MAX(0,MIN(O452-P452,AQ452-(E452+I452+M452)))</f>
        <v/>
      </c>
      <c r="R452" s="152">
        <f>O452-P452-Q452</f>
        <v/>
      </c>
      <c r="S452" s="152">
        <f>IF(V451&lt;=0.005,0,V451*(1+S$6))</f>
        <v/>
      </c>
      <c r="T452" s="152">
        <f>MIN(S452,S$7)</f>
        <v/>
      </c>
      <c r="U452" s="152">
        <f>MAX(0,MIN(S452-T452,AQ452-(E452+I452+M452+Q452)))</f>
        <v/>
      </c>
      <c r="V452" s="152">
        <f>S452-T452-U452</f>
        <v/>
      </c>
      <c r="W452" s="152">
        <f>IF(Z451&lt;=0.005,0,Z451*(1+W$6))</f>
        <v/>
      </c>
      <c r="X452" s="152">
        <f>MIN(W452,W$7)</f>
        <v/>
      </c>
      <c r="Y452" s="152">
        <f>MAX(0,MIN(W452-X452,AQ452-(E452+I452+M452+Q452+U452)))</f>
        <v/>
      </c>
      <c r="Z452" s="152">
        <f>W452-X452-Y452</f>
        <v/>
      </c>
      <c r="AA452" s="152">
        <f>IF(AD451&lt;=0.005,0,AD451*(1+AA$6))</f>
        <v/>
      </c>
      <c r="AB452" s="152">
        <f>MIN(AA452,AA$7)</f>
        <v/>
      </c>
      <c r="AC452" s="152">
        <f>MAX(0,MIN(AA452-AB452,AQ452-(E452+I452+M452+Q452+U452+Y452)))</f>
        <v/>
      </c>
      <c r="AD452" s="152">
        <f>AA452-AB452-AC452</f>
        <v/>
      </c>
      <c r="AE452" s="152">
        <f>IF(AH451&lt;=0.005,0,AH451*(1+AE$6))</f>
        <v/>
      </c>
      <c r="AF452" s="152">
        <f>MIN(AE452,AE$7)</f>
        <v/>
      </c>
      <c r="AG452" s="152">
        <f>MAX(0,MIN(AE452-AF452,AQ452-(E452+I452+M452+Q452+U452+Y452+AC452)))</f>
        <v/>
      </c>
      <c r="AH452" s="152">
        <f>AE452-AF452-AG452</f>
        <v/>
      </c>
      <c r="AI452" s="152">
        <f>IF(AL451&lt;=0.005,0,AL451*(1+AI$6))</f>
        <v/>
      </c>
      <c r="AJ452" s="152">
        <f>MIN(AI452,AI$7)</f>
        <v/>
      </c>
      <c r="AK452" s="152">
        <f>MAX(0,MIN(AI452-AJ452,AQ452-(E452+I452+M452+Q452+U452+Y452+AC452+AG452)))</f>
        <v/>
      </c>
      <c r="AL452" s="152">
        <f>AI452-AJ452-AK452</f>
        <v/>
      </c>
      <c r="AM452" s="152">
        <f>IF(AP451&lt;=0.005,0,AP451*(1+AM$6))</f>
        <v/>
      </c>
      <c r="AN452" s="152">
        <f>MIN(AM452,AM$7)</f>
        <v/>
      </c>
      <c r="AO452" s="152">
        <f>MAX(0,MIN(AM452-AN452,AQ452-(E452+I452+M452+Q452+U452+Y452+AC452+AG452+AK452)))</f>
        <v/>
      </c>
      <c r="AP452" s="152">
        <f>AM452-AN452-AO452</f>
        <v/>
      </c>
      <c r="AQ452" s="152">
        <f>'Debt Payoff'!$C$8-SUM(D452,H452,L452,P452,T452,X452,AB452,AF452,AJ452,AN452)</f>
        <v/>
      </c>
      <c r="AR452" s="152">
        <f>SUM(D452,H452,L452,P452,T452,X452,AB452,AF452,AJ452,AN452)+SUM(E452,I452,M452,Q452,U452,Y452,AC452,AG452,AK452,AO452)</f>
        <v/>
      </c>
      <c r="AS452" s="152">
        <f>SUM(F452,J452,N452,R452,V452,Z452,AD452,AH452,AL452,AP452)</f>
        <v/>
      </c>
      <c r="AT452" s="152">
        <f>IF(B452&gt;AS$6,NA(),B452)</f>
        <v/>
      </c>
      <c r="AU452" s="152">
        <f>IF(B452&gt;AS$6,NA(),AS452)</f>
        <v/>
      </c>
      <c r="AV452" s="152" t="n"/>
      <c r="AW452" s="152" t="n">
        <v>441</v>
      </c>
      <c r="AX452" s="152">
        <f>IF(BA451&lt;=0.005,0,BA451*(1+AX$6))</f>
        <v/>
      </c>
      <c r="AY452" s="152">
        <f>MIN(AX452,AX$7)</f>
        <v/>
      </c>
      <c r="AZ452" s="152">
        <f>MAX(0,MIN(AX452-AY452,CL452))</f>
        <v/>
      </c>
      <c r="BA452" s="152">
        <f>AX452-AY452-AZ452</f>
        <v/>
      </c>
      <c r="BB452" s="152">
        <f>IF(BE451&lt;=0.005,0,BE451*(1+BB$6))</f>
        <v/>
      </c>
      <c r="BC452" s="152">
        <f>MIN(BB452,BB$7)</f>
        <v/>
      </c>
      <c r="BD452" s="152">
        <f>MAX(0,MIN(BB452-BC452,CL452-(AZ452)))</f>
        <v/>
      </c>
      <c r="BE452" s="152">
        <f>BB452-BC452-BD452</f>
        <v/>
      </c>
      <c r="BF452" s="152">
        <f>IF(BI451&lt;=0.005,0,BI451*(1+BF$6))</f>
        <v/>
      </c>
      <c r="BG452" s="152">
        <f>MIN(BF452,BF$7)</f>
        <v/>
      </c>
      <c r="BH452" s="152">
        <f>MAX(0,MIN(BF452-BG452,CL452-(AZ452+BD452)))</f>
        <v/>
      </c>
      <c r="BI452" s="152">
        <f>BF452-BG452-BH452</f>
        <v/>
      </c>
      <c r="BJ452" s="152">
        <f>IF(BM451&lt;=0.005,0,BM451*(1+BJ$6))</f>
        <v/>
      </c>
      <c r="BK452" s="152">
        <f>MIN(BJ452,BJ$7)</f>
        <v/>
      </c>
      <c r="BL452" s="152">
        <f>MAX(0,MIN(BJ452-BK452,CL452-(AZ452+BD452+BH452)))</f>
        <v/>
      </c>
      <c r="BM452" s="152">
        <f>BJ452-BK452-BL452</f>
        <v/>
      </c>
      <c r="BN452" s="152">
        <f>IF(BQ451&lt;=0.005,0,BQ451*(1+BN$6))</f>
        <v/>
      </c>
      <c r="BO452" s="152">
        <f>MIN(BN452,BN$7)</f>
        <v/>
      </c>
      <c r="BP452" s="152">
        <f>MAX(0,MIN(BN452-BO452,CL452-(AZ452+BD452+BH452+BL452)))</f>
        <v/>
      </c>
      <c r="BQ452" s="152">
        <f>BN452-BO452-BP452</f>
        <v/>
      </c>
      <c r="BR452" s="152">
        <f>IF(BU451&lt;=0.005,0,BU451*(1+BR$6))</f>
        <v/>
      </c>
      <c r="BS452" s="152">
        <f>MIN(BR452,BR$7)</f>
        <v/>
      </c>
      <c r="BT452" s="152">
        <f>MAX(0,MIN(BR452-BS452,CL452-(AZ452+BD452+BH452+BL452+BP452)))</f>
        <v/>
      </c>
      <c r="BU452" s="152">
        <f>BR452-BS452-BT452</f>
        <v/>
      </c>
      <c r="BV452" s="152">
        <f>IF(BY451&lt;=0.005,0,BY451*(1+BV$6))</f>
        <v/>
      </c>
      <c r="BW452" s="152">
        <f>MIN(BV452,BV$7)</f>
        <v/>
      </c>
      <c r="BX452" s="152">
        <f>MAX(0,MIN(BV452-BW452,CL452-(AZ452+BD452+BH452+BL452+BP452+BT452)))</f>
        <v/>
      </c>
      <c r="BY452" s="152">
        <f>BV452-BW452-BX452</f>
        <v/>
      </c>
      <c r="BZ452" s="152">
        <f>IF(CC451&lt;=0.005,0,CC451*(1+BZ$6))</f>
        <v/>
      </c>
      <c r="CA452" s="152">
        <f>MIN(BZ452,BZ$7)</f>
        <v/>
      </c>
      <c r="CB452" s="152">
        <f>MAX(0,MIN(BZ452-CA452,CL452-(AZ452+BD452+BH452+BL452+BP452+BT452+BX452)))</f>
        <v/>
      </c>
      <c r="CC452" s="152">
        <f>BZ452-CA452-CB452</f>
        <v/>
      </c>
      <c r="CD452" s="152">
        <f>IF(CG451&lt;=0.005,0,CG451*(1+CD$6))</f>
        <v/>
      </c>
      <c r="CE452" s="152">
        <f>MIN(CD452,CD$7)</f>
        <v/>
      </c>
      <c r="CF452" s="152">
        <f>MAX(0,MIN(CD452-CE452,CL452-(AZ452+BD452+BH452+BL452+BP452+BT452+BX452+CB452)))</f>
        <v/>
      </c>
      <c r="CG452" s="152">
        <f>CD452-CE452-CF452</f>
        <v/>
      </c>
      <c r="CH452" s="152">
        <f>IF(CK451&lt;=0.005,0,CK451*(1+CH$6))</f>
        <v/>
      </c>
      <c r="CI452" s="152">
        <f>MIN(CH452,CH$7)</f>
        <v/>
      </c>
      <c r="CJ452" s="152">
        <f>MAX(0,MIN(CH452-CI452,CL452-(AZ452+BD452+BH452+BL452+BP452+BT452+BX452+CB452+CF452)))</f>
        <v/>
      </c>
      <c r="CK452" s="152">
        <f>CH452-CI452-CJ452</f>
        <v/>
      </c>
      <c r="CL452" s="152">
        <f>'Debt Payoff'!$C$8-SUM(AY452,BC452,BG452,BK452,BO452,BS452,BW452,CA452,CE452,CI452)</f>
        <v/>
      </c>
      <c r="CM452" s="152">
        <f>SUM(AY452,BC452,BG452,BK452,BO452,BS452,BW452,CA452,CE452,CI452)+SUM(AZ452,BD452,BH452,BL452,BP452,BT452,BX452,CB452,CF452,CJ452)</f>
        <v/>
      </c>
      <c r="CN452" s="152">
        <f>SUM(BA452,BE452,BI452,BM452,BQ452,BU452,BY452,CC452,CG452,CK452)</f>
        <v/>
      </c>
      <c r="CO452" s="152">
        <f>IF(AW452&gt;CN$6,NA(),AW452)</f>
        <v/>
      </c>
      <c r="CP452" s="152">
        <f>IF(AW452&gt;CN$6,NA(),CN452)</f>
        <v/>
      </c>
    </row>
    <row r="453">
      <c r="B453" s="152" t="n">
        <v>442</v>
      </c>
      <c r="C453" s="152">
        <f>IF(F452&lt;=0.005,0,F452*(1+C$6))</f>
        <v/>
      </c>
      <c r="D453" s="152">
        <f>MIN(C453,C$7)</f>
        <v/>
      </c>
      <c r="E453" s="152">
        <f>MAX(0,MIN(C453-D453,AQ453))</f>
        <v/>
      </c>
      <c r="F453" s="152">
        <f>C453-D453-E453</f>
        <v/>
      </c>
      <c r="G453" s="152">
        <f>IF(J452&lt;=0.005,0,J452*(1+G$6))</f>
        <v/>
      </c>
      <c r="H453" s="152">
        <f>MIN(G453,G$7)</f>
        <v/>
      </c>
      <c r="I453" s="152">
        <f>MAX(0,MIN(G453-H453,AQ453-(E453)))</f>
        <v/>
      </c>
      <c r="J453" s="152">
        <f>G453-H453-I453</f>
        <v/>
      </c>
      <c r="K453" s="152">
        <f>IF(N452&lt;=0.005,0,N452*(1+K$6))</f>
        <v/>
      </c>
      <c r="L453" s="152">
        <f>MIN(K453,K$7)</f>
        <v/>
      </c>
      <c r="M453" s="152">
        <f>MAX(0,MIN(K453-L453,AQ453-(E453+I453)))</f>
        <v/>
      </c>
      <c r="N453" s="152">
        <f>K453-L453-M453</f>
        <v/>
      </c>
      <c r="O453" s="152">
        <f>IF(R452&lt;=0.005,0,R452*(1+O$6))</f>
        <v/>
      </c>
      <c r="P453" s="152">
        <f>MIN(O453,O$7)</f>
        <v/>
      </c>
      <c r="Q453" s="152">
        <f>MAX(0,MIN(O453-P453,AQ453-(E453+I453+M453)))</f>
        <v/>
      </c>
      <c r="R453" s="152">
        <f>O453-P453-Q453</f>
        <v/>
      </c>
      <c r="S453" s="152">
        <f>IF(V452&lt;=0.005,0,V452*(1+S$6))</f>
        <v/>
      </c>
      <c r="T453" s="152">
        <f>MIN(S453,S$7)</f>
        <v/>
      </c>
      <c r="U453" s="152">
        <f>MAX(0,MIN(S453-T453,AQ453-(E453+I453+M453+Q453)))</f>
        <v/>
      </c>
      <c r="V453" s="152">
        <f>S453-T453-U453</f>
        <v/>
      </c>
      <c r="W453" s="152">
        <f>IF(Z452&lt;=0.005,0,Z452*(1+W$6))</f>
        <v/>
      </c>
      <c r="X453" s="152">
        <f>MIN(W453,W$7)</f>
        <v/>
      </c>
      <c r="Y453" s="152">
        <f>MAX(0,MIN(W453-X453,AQ453-(E453+I453+M453+Q453+U453)))</f>
        <v/>
      </c>
      <c r="Z453" s="152">
        <f>W453-X453-Y453</f>
        <v/>
      </c>
      <c r="AA453" s="152">
        <f>IF(AD452&lt;=0.005,0,AD452*(1+AA$6))</f>
        <v/>
      </c>
      <c r="AB453" s="152">
        <f>MIN(AA453,AA$7)</f>
        <v/>
      </c>
      <c r="AC453" s="152">
        <f>MAX(0,MIN(AA453-AB453,AQ453-(E453+I453+M453+Q453+U453+Y453)))</f>
        <v/>
      </c>
      <c r="AD453" s="152">
        <f>AA453-AB453-AC453</f>
        <v/>
      </c>
      <c r="AE453" s="152">
        <f>IF(AH452&lt;=0.005,0,AH452*(1+AE$6))</f>
        <v/>
      </c>
      <c r="AF453" s="152">
        <f>MIN(AE453,AE$7)</f>
        <v/>
      </c>
      <c r="AG453" s="152">
        <f>MAX(0,MIN(AE453-AF453,AQ453-(E453+I453+M453+Q453+U453+Y453+AC453)))</f>
        <v/>
      </c>
      <c r="AH453" s="152">
        <f>AE453-AF453-AG453</f>
        <v/>
      </c>
      <c r="AI453" s="152">
        <f>IF(AL452&lt;=0.005,0,AL452*(1+AI$6))</f>
        <v/>
      </c>
      <c r="AJ453" s="152">
        <f>MIN(AI453,AI$7)</f>
        <v/>
      </c>
      <c r="AK453" s="152">
        <f>MAX(0,MIN(AI453-AJ453,AQ453-(E453+I453+M453+Q453+U453+Y453+AC453+AG453)))</f>
        <v/>
      </c>
      <c r="AL453" s="152">
        <f>AI453-AJ453-AK453</f>
        <v/>
      </c>
      <c r="AM453" s="152">
        <f>IF(AP452&lt;=0.005,0,AP452*(1+AM$6))</f>
        <v/>
      </c>
      <c r="AN453" s="152">
        <f>MIN(AM453,AM$7)</f>
        <v/>
      </c>
      <c r="AO453" s="152">
        <f>MAX(0,MIN(AM453-AN453,AQ453-(E453+I453+M453+Q453+U453+Y453+AC453+AG453+AK453)))</f>
        <v/>
      </c>
      <c r="AP453" s="152">
        <f>AM453-AN453-AO453</f>
        <v/>
      </c>
      <c r="AQ453" s="152">
        <f>'Debt Payoff'!$C$8-SUM(D453,H453,L453,P453,T453,X453,AB453,AF453,AJ453,AN453)</f>
        <v/>
      </c>
      <c r="AR453" s="152">
        <f>SUM(D453,H453,L453,P453,T453,X453,AB453,AF453,AJ453,AN453)+SUM(E453,I453,M453,Q453,U453,Y453,AC453,AG453,AK453,AO453)</f>
        <v/>
      </c>
      <c r="AS453" s="152">
        <f>SUM(F453,J453,N453,R453,V453,Z453,AD453,AH453,AL453,AP453)</f>
        <v/>
      </c>
      <c r="AT453" s="152">
        <f>IF(B453&gt;AS$6,NA(),B453)</f>
        <v/>
      </c>
      <c r="AU453" s="152">
        <f>IF(B453&gt;AS$6,NA(),AS453)</f>
        <v/>
      </c>
      <c r="AV453" s="152" t="n"/>
      <c r="AW453" s="152" t="n">
        <v>442</v>
      </c>
      <c r="AX453" s="152">
        <f>IF(BA452&lt;=0.005,0,BA452*(1+AX$6))</f>
        <v/>
      </c>
      <c r="AY453" s="152">
        <f>MIN(AX453,AX$7)</f>
        <v/>
      </c>
      <c r="AZ453" s="152">
        <f>MAX(0,MIN(AX453-AY453,CL453))</f>
        <v/>
      </c>
      <c r="BA453" s="152">
        <f>AX453-AY453-AZ453</f>
        <v/>
      </c>
      <c r="BB453" s="152">
        <f>IF(BE452&lt;=0.005,0,BE452*(1+BB$6))</f>
        <v/>
      </c>
      <c r="BC453" s="152">
        <f>MIN(BB453,BB$7)</f>
        <v/>
      </c>
      <c r="BD453" s="152">
        <f>MAX(0,MIN(BB453-BC453,CL453-(AZ453)))</f>
        <v/>
      </c>
      <c r="BE453" s="152">
        <f>BB453-BC453-BD453</f>
        <v/>
      </c>
      <c r="BF453" s="152">
        <f>IF(BI452&lt;=0.005,0,BI452*(1+BF$6))</f>
        <v/>
      </c>
      <c r="BG453" s="152">
        <f>MIN(BF453,BF$7)</f>
        <v/>
      </c>
      <c r="BH453" s="152">
        <f>MAX(0,MIN(BF453-BG453,CL453-(AZ453+BD453)))</f>
        <v/>
      </c>
      <c r="BI453" s="152">
        <f>BF453-BG453-BH453</f>
        <v/>
      </c>
      <c r="BJ453" s="152">
        <f>IF(BM452&lt;=0.005,0,BM452*(1+BJ$6))</f>
        <v/>
      </c>
      <c r="BK453" s="152">
        <f>MIN(BJ453,BJ$7)</f>
        <v/>
      </c>
      <c r="BL453" s="152">
        <f>MAX(0,MIN(BJ453-BK453,CL453-(AZ453+BD453+BH453)))</f>
        <v/>
      </c>
      <c r="BM453" s="152">
        <f>BJ453-BK453-BL453</f>
        <v/>
      </c>
      <c r="BN453" s="152">
        <f>IF(BQ452&lt;=0.005,0,BQ452*(1+BN$6))</f>
        <v/>
      </c>
      <c r="BO453" s="152">
        <f>MIN(BN453,BN$7)</f>
        <v/>
      </c>
      <c r="BP453" s="152">
        <f>MAX(0,MIN(BN453-BO453,CL453-(AZ453+BD453+BH453+BL453)))</f>
        <v/>
      </c>
      <c r="BQ453" s="152">
        <f>BN453-BO453-BP453</f>
        <v/>
      </c>
      <c r="BR453" s="152">
        <f>IF(BU452&lt;=0.005,0,BU452*(1+BR$6))</f>
        <v/>
      </c>
      <c r="BS453" s="152">
        <f>MIN(BR453,BR$7)</f>
        <v/>
      </c>
      <c r="BT453" s="152">
        <f>MAX(0,MIN(BR453-BS453,CL453-(AZ453+BD453+BH453+BL453+BP453)))</f>
        <v/>
      </c>
      <c r="BU453" s="152">
        <f>BR453-BS453-BT453</f>
        <v/>
      </c>
      <c r="BV453" s="152">
        <f>IF(BY452&lt;=0.005,0,BY452*(1+BV$6))</f>
        <v/>
      </c>
      <c r="BW453" s="152">
        <f>MIN(BV453,BV$7)</f>
        <v/>
      </c>
      <c r="BX453" s="152">
        <f>MAX(0,MIN(BV453-BW453,CL453-(AZ453+BD453+BH453+BL453+BP453+BT453)))</f>
        <v/>
      </c>
      <c r="BY453" s="152">
        <f>BV453-BW453-BX453</f>
        <v/>
      </c>
      <c r="BZ453" s="152">
        <f>IF(CC452&lt;=0.005,0,CC452*(1+BZ$6))</f>
        <v/>
      </c>
      <c r="CA453" s="152">
        <f>MIN(BZ453,BZ$7)</f>
        <v/>
      </c>
      <c r="CB453" s="152">
        <f>MAX(0,MIN(BZ453-CA453,CL453-(AZ453+BD453+BH453+BL453+BP453+BT453+BX453)))</f>
        <v/>
      </c>
      <c r="CC453" s="152">
        <f>BZ453-CA453-CB453</f>
        <v/>
      </c>
      <c r="CD453" s="152">
        <f>IF(CG452&lt;=0.005,0,CG452*(1+CD$6))</f>
        <v/>
      </c>
      <c r="CE453" s="152">
        <f>MIN(CD453,CD$7)</f>
        <v/>
      </c>
      <c r="CF453" s="152">
        <f>MAX(0,MIN(CD453-CE453,CL453-(AZ453+BD453+BH453+BL453+BP453+BT453+BX453+CB453)))</f>
        <v/>
      </c>
      <c r="CG453" s="152">
        <f>CD453-CE453-CF453</f>
        <v/>
      </c>
      <c r="CH453" s="152">
        <f>IF(CK452&lt;=0.005,0,CK452*(1+CH$6))</f>
        <v/>
      </c>
      <c r="CI453" s="152">
        <f>MIN(CH453,CH$7)</f>
        <v/>
      </c>
      <c r="CJ453" s="152">
        <f>MAX(0,MIN(CH453-CI453,CL453-(AZ453+BD453+BH453+BL453+BP453+BT453+BX453+CB453+CF453)))</f>
        <v/>
      </c>
      <c r="CK453" s="152">
        <f>CH453-CI453-CJ453</f>
        <v/>
      </c>
      <c r="CL453" s="152">
        <f>'Debt Payoff'!$C$8-SUM(AY453,BC453,BG453,BK453,BO453,BS453,BW453,CA453,CE453,CI453)</f>
        <v/>
      </c>
      <c r="CM453" s="152">
        <f>SUM(AY453,BC453,BG453,BK453,BO453,BS453,BW453,CA453,CE453,CI453)+SUM(AZ453,BD453,BH453,BL453,BP453,BT453,BX453,CB453,CF453,CJ453)</f>
        <v/>
      </c>
      <c r="CN453" s="152">
        <f>SUM(BA453,BE453,BI453,BM453,BQ453,BU453,BY453,CC453,CG453,CK453)</f>
        <v/>
      </c>
      <c r="CO453" s="152">
        <f>IF(AW453&gt;CN$6,NA(),AW453)</f>
        <v/>
      </c>
      <c r="CP453" s="152">
        <f>IF(AW453&gt;CN$6,NA(),CN453)</f>
        <v/>
      </c>
    </row>
    <row r="454">
      <c r="B454" s="152" t="n">
        <v>443</v>
      </c>
      <c r="C454" s="152">
        <f>IF(F453&lt;=0.005,0,F453*(1+C$6))</f>
        <v/>
      </c>
      <c r="D454" s="152">
        <f>MIN(C454,C$7)</f>
        <v/>
      </c>
      <c r="E454" s="152">
        <f>MAX(0,MIN(C454-D454,AQ454))</f>
        <v/>
      </c>
      <c r="F454" s="152">
        <f>C454-D454-E454</f>
        <v/>
      </c>
      <c r="G454" s="152">
        <f>IF(J453&lt;=0.005,0,J453*(1+G$6))</f>
        <v/>
      </c>
      <c r="H454" s="152">
        <f>MIN(G454,G$7)</f>
        <v/>
      </c>
      <c r="I454" s="152">
        <f>MAX(0,MIN(G454-H454,AQ454-(E454)))</f>
        <v/>
      </c>
      <c r="J454" s="152">
        <f>G454-H454-I454</f>
        <v/>
      </c>
      <c r="K454" s="152">
        <f>IF(N453&lt;=0.005,0,N453*(1+K$6))</f>
        <v/>
      </c>
      <c r="L454" s="152">
        <f>MIN(K454,K$7)</f>
        <v/>
      </c>
      <c r="M454" s="152">
        <f>MAX(0,MIN(K454-L454,AQ454-(E454+I454)))</f>
        <v/>
      </c>
      <c r="N454" s="152">
        <f>K454-L454-M454</f>
        <v/>
      </c>
      <c r="O454" s="152">
        <f>IF(R453&lt;=0.005,0,R453*(1+O$6))</f>
        <v/>
      </c>
      <c r="P454" s="152">
        <f>MIN(O454,O$7)</f>
        <v/>
      </c>
      <c r="Q454" s="152">
        <f>MAX(0,MIN(O454-P454,AQ454-(E454+I454+M454)))</f>
        <v/>
      </c>
      <c r="R454" s="152">
        <f>O454-P454-Q454</f>
        <v/>
      </c>
      <c r="S454" s="152">
        <f>IF(V453&lt;=0.005,0,V453*(1+S$6))</f>
        <v/>
      </c>
      <c r="T454" s="152">
        <f>MIN(S454,S$7)</f>
        <v/>
      </c>
      <c r="U454" s="152">
        <f>MAX(0,MIN(S454-T454,AQ454-(E454+I454+M454+Q454)))</f>
        <v/>
      </c>
      <c r="V454" s="152">
        <f>S454-T454-U454</f>
        <v/>
      </c>
      <c r="W454" s="152">
        <f>IF(Z453&lt;=0.005,0,Z453*(1+W$6))</f>
        <v/>
      </c>
      <c r="X454" s="152">
        <f>MIN(W454,W$7)</f>
        <v/>
      </c>
      <c r="Y454" s="152">
        <f>MAX(0,MIN(W454-X454,AQ454-(E454+I454+M454+Q454+U454)))</f>
        <v/>
      </c>
      <c r="Z454" s="152">
        <f>W454-X454-Y454</f>
        <v/>
      </c>
      <c r="AA454" s="152">
        <f>IF(AD453&lt;=0.005,0,AD453*(1+AA$6))</f>
        <v/>
      </c>
      <c r="AB454" s="152">
        <f>MIN(AA454,AA$7)</f>
        <v/>
      </c>
      <c r="AC454" s="152">
        <f>MAX(0,MIN(AA454-AB454,AQ454-(E454+I454+M454+Q454+U454+Y454)))</f>
        <v/>
      </c>
      <c r="AD454" s="152">
        <f>AA454-AB454-AC454</f>
        <v/>
      </c>
      <c r="AE454" s="152">
        <f>IF(AH453&lt;=0.005,0,AH453*(1+AE$6))</f>
        <v/>
      </c>
      <c r="AF454" s="152">
        <f>MIN(AE454,AE$7)</f>
        <v/>
      </c>
      <c r="AG454" s="152">
        <f>MAX(0,MIN(AE454-AF454,AQ454-(E454+I454+M454+Q454+U454+Y454+AC454)))</f>
        <v/>
      </c>
      <c r="AH454" s="152">
        <f>AE454-AF454-AG454</f>
        <v/>
      </c>
      <c r="AI454" s="152">
        <f>IF(AL453&lt;=0.005,0,AL453*(1+AI$6))</f>
        <v/>
      </c>
      <c r="AJ454" s="152">
        <f>MIN(AI454,AI$7)</f>
        <v/>
      </c>
      <c r="AK454" s="152">
        <f>MAX(0,MIN(AI454-AJ454,AQ454-(E454+I454+M454+Q454+U454+Y454+AC454+AG454)))</f>
        <v/>
      </c>
      <c r="AL454" s="152">
        <f>AI454-AJ454-AK454</f>
        <v/>
      </c>
      <c r="AM454" s="152">
        <f>IF(AP453&lt;=0.005,0,AP453*(1+AM$6))</f>
        <v/>
      </c>
      <c r="AN454" s="152">
        <f>MIN(AM454,AM$7)</f>
        <v/>
      </c>
      <c r="AO454" s="152">
        <f>MAX(0,MIN(AM454-AN454,AQ454-(E454+I454+M454+Q454+U454+Y454+AC454+AG454+AK454)))</f>
        <v/>
      </c>
      <c r="AP454" s="152">
        <f>AM454-AN454-AO454</f>
        <v/>
      </c>
      <c r="AQ454" s="152">
        <f>'Debt Payoff'!$C$8-SUM(D454,H454,L454,P454,T454,X454,AB454,AF454,AJ454,AN454)</f>
        <v/>
      </c>
      <c r="AR454" s="152">
        <f>SUM(D454,H454,L454,P454,T454,X454,AB454,AF454,AJ454,AN454)+SUM(E454,I454,M454,Q454,U454,Y454,AC454,AG454,AK454,AO454)</f>
        <v/>
      </c>
      <c r="AS454" s="152">
        <f>SUM(F454,J454,N454,R454,V454,Z454,AD454,AH454,AL454,AP454)</f>
        <v/>
      </c>
      <c r="AT454" s="152">
        <f>IF(B454&gt;AS$6,NA(),B454)</f>
        <v/>
      </c>
      <c r="AU454" s="152">
        <f>IF(B454&gt;AS$6,NA(),AS454)</f>
        <v/>
      </c>
      <c r="AV454" s="152" t="n"/>
      <c r="AW454" s="152" t="n">
        <v>443</v>
      </c>
      <c r="AX454" s="152">
        <f>IF(BA453&lt;=0.005,0,BA453*(1+AX$6))</f>
        <v/>
      </c>
      <c r="AY454" s="152">
        <f>MIN(AX454,AX$7)</f>
        <v/>
      </c>
      <c r="AZ454" s="152">
        <f>MAX(0,MIN(AX454-AY454,CL454))</f>
        <v/>
      </c>
      <c r="BA454" s="152">
        <f>AX454-AY454-AZ454</f>
        <v/>
      </c>
      <c r="BB454" s="152">
        <f>IF(BE453&lt;=0.005,0,BE453*(1+BB$6))</f>
        <v/>
      </c>
      <c r="BC454" s="152">
        <f>MIN(BB454,BB$7)</f>
        <v/>
      </c>
      <c r="BD454" s="152">
        <f>MAX(0,MIN(BB454-BC454,CL454-(AZ454)))</f>
        <v/>
      </c>
      <c r="BE454" s="152">
        <f>BB454-BC454-BD454</f>
        <v/>
      </c>
      <c r="BF454" s="152">
        <f>IF(BI453&lt;=0.005,0,BI453*(1+BF$6))</f>
        <v/>
      </c>
      <c r="BG454" s="152">
        <f>MIN(BF454,BF$7)</f>
        <v/>
      </c>
      <c r="BH454" s="152">
        <f>MAX(0,MIN(BF454-BG454,CL454-(AZ454+BD454)))</f>
        <v/>
      </c>
      <c r="BI454" s="152">
        <f>BF454-BG454-BH454</f>
        <v/>
      </c>
      <c r="BJ454" s="152">
        <f>IF(BM453&lt;=0.005,0,BM453*(1+BJ$6))</f>
        <v/>
      </c>
      <c r="BK454" s="152">
        <f>MIN(BJ454,BJ$7)</f>
        <v/>
      </c>
      <c r="BL454" s="152">
        <f>MAX(0,MIN(BJ454-BK454,CL454-(AZ454+BD454+BH454)))</f>
        <v/>
      </c>
      <c r="BM454" s="152">
        <f>BJ454-BK454-BL454</f>
        <v/>
      </c>
      <c r="BN454" s="152">
        <f>IF(BQ453&lt;=0.005,0,BQ453*(1+BN$6))</f>
        <v/>
      </c>
      <c r="BO454" s="152">
        <f>MIN(BN454,BN$7)</f>
        <v/>
      </c>
      <c r="BP454" s="152">
        <f>MAX(0,MIN(BN454-BO454,CL454-(AZ454+BD454+BH454+BL454)))</f>
        <v/>
      </c>
      <c r="BQ454" s="152">
        <f>BN454-BO454-BP454</f>
        <v/>
      </c>
      <c r="BR454" s="152">
        <f>IF(BU453&lt;=0.005,0,BU453*(1+BR$6))</f>
        <v/>
      </c>
      <c r="BS454" s="152">
        <f>MIN(BR454,BR$7)</f>
        <v/>
      </c>
      <c r="BT454" s="152">
        <f>MAX(0,MIN(BR454-BS454,CL454-(AZ454+BD454+BH454+BL454+BP454)))</f>
        <v/>
      </c>
      <c r="BU454" s="152">
        <f>BR454-BS454-BT454</f>
        <v/>
      </c>
      <c r="BV454" s="152">
        <f>IF(BY453&lt;=0.005,0,BY453*(1+BV$6))</f>
        <v/>
      </c>
      <c r="BW454" s="152">
        <f>MIN(BV454,BV$7)</f>
        <v/>
      </c>
      <c r="BX454" s="152">
        <f>MAX(0,MIN(BV454-BW454,CL454-(AZ454+BD454+BH454+BL454+BP454+BT454)))</f>
        <v/>
      </c>
      <c r="BY454" s="152">
        <f>BV454-BW454-BX454</f>
        <v/>
      </c>
      <c r="BZ454" s="152">
        <f>IF(CC453&lt;=0.005,0,CC453*(1+BZ$6))</f>
        <v/>
      </c>
      <c r="CA454" s="152">
        <f>MIN(BZ454,BZ$7)</f>
        <v/>
      </c>
      <c r="CB454" s="152">
        <f>MAX(0,MIN(BZ454-CA454,CL454-(AZ454+BD454+BH454+BL454+BP454+BT454+BX454)))</f>
        <v/>
      </c>
      <c r="CC454" s="152">
        <f>BZ454-CA454-CB454</f>
        <v/>
      </c>
      <c r="CD454" s="152">
        <f>IF(CG453&lt;=0.005,0,CG453*(1+CD$6))</f>
        <v/>
      </c>
      <c r="CE454" s="152">
        <f>MIN(CD454,CD$7)</f>
        <v/>
      </c>
      <c r="CF454" s="152">
        <f>MAX(0,MIN(CD454-CE454,CL454-(AZ454+BD454+BH454+BL454+BP454+BT454+BX454+CB454)))</f>
        <v/>
      </c>
      <c r="CG454" s="152">
        <f>CD454-CE454-CF454</f>
        <v/>
      </c>
      <c r="CH454" s="152">
        <f>IF(CK453&lt;=0.005,0,CK453*(1+CH$6))</f>
        <v/>
      </c>
      <c r="CI454" s="152">
        <f>MIN(CH454,CH$7)</f>
        <v/>
      </c>
      <c r="CJ454" s="152">
        <f>MAX(0,MIN(CH454-CI454,CL454-(AZ454+BD454+BH454+BL454+BP454+BT454+BX454+CB454+CF454)))</f>
        <v/>
      </c>
      <c r="CK454" s="152">
        <f>CH454-CI454-CJ454</f>
        <v/>
      </c>
      <c r="CL454" s="152">
        <f>'Debt Payoff'!$C$8-SUM(AY454,BC454,BG454,BK454,BO454,BS454,BW454,CA454,CE454,CI454)</f>
        <v/>
      </c>
      <c r="CM454" s="152">
        <f>SUM(AY454,BC454,BG454,BK454,BO454,BS454,BW454,CA454,CE454,CI454)+SUM(AZ454,BD454,BH454,BL454,BP454,BT454,BX454,CB454,CF454,CJ454)</f>
        <v/>
      </c>
      <c r="CN454" s="152">
        <f>SUM(BA454,BE454,BI454,BM454,BQ454,BU454,BY454,CC454,CG454,CK454)</f>
        <v/>
      </c>
      <c r="CO454" s="152">
        <f>IF(AW454&gt;CN$6,NA(),AW454)</f>
        <v/>
      </c>
      <c r="CP454" s="152">
        <f>IF(AW454&gt;CN$6,NA(),CN454)</f>
        <v/>
      </c>
    </row>
    <row r="455">
      <c r="B455" s="152" t="n">
        <v>444</v>
      </c>
      <c r="C455" s="152">
        <f>IF(F454&lt;=0.005,0,F454*(1+C$6))</f>
        <v/>
      </c>
      <c r="D455" s="152">
        <f>MIN(C455,C$7)</f>
        <v/>
      </c>
      <c r="E455" s="152">
        <f>MAX(0,MIN(C455-D455,AQ455))</f>
        <v/>
      </c>
      <c r="F455" s="152">
        <f>C455-D455-E455</f>
        <v/>
      </c>
      <c r="G455" s="152">
        <f>IF(J454&lt;=0.005,0,J454*(1+G$6))</f>
        <v/>
      </c>
      <c r="H455" s="152">
        <f>MIN(G455,G$7)</f>
        <v/>
      </c>
      <c r="I455" s="152">
        <f>MAX(0,MIN(G455-H455,AQ455-(E455)))</f>
        <v/>
      </c>
      <c r="J455" s="152">
        <f>G455-H455-I455</f>
        <v/>
      </c>
      <c r="K455" s="152">
        <f>IF(N454&lt;=0.005,0,N454*(1+K$6))</f>
        <v/>
      </c>
      <c r="L455" s="152">
        <f>MIN(K455,K$7)</f>
        <v/>
      </c>
      <c r="M455" s="152">
        <f>MAX(0,MIN(K455-L455,AQ455-(E455+I455)))</f>
        <v/>
      </c>
      <c r="N455" s="152">
        <f>K455-L455-M455</f>
        <v/>
      </c>
      <c r="O455" s="152">
        <f>IF(R454&lt;=0.005,0,R454*(1+O$6))</f>
        <v/>
      </c>
      <c r="P455" s="152">
        <f>MIN(O455,O$7)</f>
        <v/>
      </c>
      <c r="Q455" s="152">
        <f>MAX(0,MIN(O455-P455,AQ455-(E455+I455+M455)))</f>
        <v/>
      </c>
      <c r="R455" s="152">
        <f>O455-P455-Q455</f>
        <v/>
      </c>
      <c r="S455" s="152">
        <f>IF(V454&lt;=0.005,0,V454*(1+S$6))</f>
        <v/>
      </c>
      <c r="T455" s="152">
        <f>MIN(S455,S$7)</f>
        <v/>
      </c>
      <c r="U455" s="152">
        <f>MAX(0,MIN(S455-T455,AQ455-(E455+I455+M455+Q455)))</f>
        <v/>
      </c>
      <c r="V455" s="152">
        <f>S455-T455-U455</f>
        <v/>
      </c>
      <c r="W455" s="152">
        <f>IF(Z454&lt;=0.005,0,Z454*(1+W$6))</f>
        <v/>
      </c>
      <c r="X455" s="152">
        <f>MIN(W455,W$7)</f>
        <v/>
      </c>
      <c r="Y455" s="152">
        <f>MAX(0,MIN(W455-X455,AQ455-(E455+I455+M455+Q455+U455)))</f>
        <v/>
      </c>
      <c r="Z455" s="152">
        <f>W455-X455-Y455</f>
        <v/>
      </c>
      <c r="AA455" s="152">
        <f>IF(AD454&lt;=0.005,0,AD454*(1+AA$6))</f>
        <v/>
      </c>
      <c r="AB455" s="152">
        <f>MIN(AA455,AA$7)</f>
        <v/>
      </c>
      <c r="AC455" s="152">
        <f>MAX(0,MIN(AA455-AB455,AQ455-(E455+I455+M455+Q455+U455+Y455)))</f>
        <v/>
      </c>
      <c r="AD455" s="152">
        <f>AA455-AB455-AC455</f>
        <v/>
      </c>
      <c r="AE455" s="152">
        <f>IF(AH454&lt;=0.005,0,AH454*(1+AE$6))</f>
        <v/>
      </c>
      <c r="AF455" s="152">
        <f>MIN(AE455,AE$7)</f>
        <v/>
      </c>
      <c r="AG455" s="152">
        <f>MAX(0,MIN(AE455-AF455,AQ455-(E455+I455+M455+Q455+U455+Y455+AC455)))</f>
        <v/>
      </c>
      <c r="AH455" s="152">
        <f>AE455-AF455-AG455</f>
        <v/>
      </c>
      <c r="AI455" s="152">
        <f>IF(AL454&lt;=0.005,0,AL454*(1+AI$6))</f>
        <v/>
      </c>
      <c r="AJ455" s="152">
        <f>MIN(AI455,AI$7)</f>
        <v/>
      </c>
      <c r="AK455" s="152">
        <f>MAX(0,MIN(AI455-AJ455,AQ455-(E455+I455+M455+Q455+U455+Y455+AC455+AG455)))</f>
        <v/>
      </c>
      <c r="AL455" s="152">
        <f>AI455-AJ455-AK455</f>
        <v/>
      </c>
      <c r="AM455" s="152">
        <f>IF(AP454&lt;=0.005,0,AP454*(1+AM$6))</f>
        <v/>
      </c>
      <c r="AN455" s="152">
        <f>MIN(AM455,AM$7)</f>
        <v/>
      </c>
      <c r="AO455" s="152">
        <f>MAX(0,MIN(AM455-AN455,AQ455-(E455+I455+M455+Q455+U455+Y455+AC455+AG455+AK455)))</f>
        <v/>
      </c>
      <c r="AP455" s="152">
        <f>AM455-AN455-AO455</f>
        <v/>
      </c>
      <c r="AQ455" s="152">
        <f>'Debt Payoff'!$C$8-SUM(D455,H455,L455,P455,T455,X455,AB455,AF455,AJ455,AN455)</f>
        <v/>
      </c>
      <c r="AR455" s="152">
        <f>SUM(D455,H455,L455,P455,T455,X455,AB455,AF455,AJ455,AN455)+SUM(E455,I455,M455,Q455,U455,Y455,AC455,AG455,AK455,AO455)</f>
        <v/>
      </c>
      <c r="AS455" s="152">
        <f>SUM(F455,J455,N455,R455,V455,Z455,AD455,AH455,AL455,AP455)</f>
        <v/>
      </c>
      <c r="AT455" s="152">
        <f>IF(B455&gt;AS$6,NA(),B455)</f>
        <v/>
      </c>
      <c r="AU455" s="152">
        <f>IF(B455&gt;AS$6,NA(),AS455)</f>
        <v/>
      </c>
      <c r="AV455" s="152" t="n"/>
      <c r="AW455" s="152" t="n">
        <v>444</v>
      </c>
      <c r="AX455" s="152">
        <f>IF(BA454&lt;=0.005,0,BA454*(1+AX$6))</f>
        <v/>
      </c>
      <c r="AY455" s="152">
        <f>MIN(AX455,AX$7)</f>
        <v/>
      </c>
      <c r="AZ455" s="152">
        <f>MAX(0,MIN(AX455-AY455,CL455))</f>
        <v/>
      </c>
      <c r="BA455" s="152">
        <f>AX455-AY455-AZ455</f>
        <v/>
      </c>
      <c r="BB455" s="152">
        <f>IF(BE454&lt;=0.005,0,BE454*(1+BB$6))</f>
        <v/>
      </c>
      <c r="BC455" s="152">
        <f>MIN(BB455,BB$7)</f>
        <v/>
      </c>
      <c r="BD455" s="152">
        <f>MAX(0,MIN(BB455-BC455,CL455-(AZ455)))</f>
        <v/>
      </c>
      <c r="BE455" s="152">
        <f>BB455-BC455-BD455</f>
        <v/>
      </c>
      <c r="BF455" s="152">
        <f>IF(BI454&lt;=0.005,0,BI454*(1+BF$6))</f>
        <v/>
      </c>
      <c r="BG455" s="152">
        <f>MIN(BF455,BF$7)</f>
        <v/>
      </c>
      <c r="BH455" s="152">
        <f>MAX(0,MIN(BF455-BG455,CL455-(AZ455+BD455)))</f>
        <v/>
      </c>
      <c r="BI455" s="152">
        <f>BF455-BG455-BH455</f>
        <v/>
      </c>
      <c r="BJ455" s="152">
        <f>IF(BM454&lt;=0.005,0,BM454*(1+BJ$6))</f>
        <v/>
      </c>
      <c r="BK455" s="152">
        <f>MIN(BJ455,BJ$7)</f>
        <v/>
      </c>
      <c r="BL455" s="152">
        <f>MAX(0,MIN(BJ455-BK455,CL455-(AZ455+BD455+BH455)))</f>
        <v/>
      </c>
      <c r="BM455" s="152">
        <f>BJ455-BK455-BL455</f>
        <v/>
      </c>
      <c r="BN455" s="152">
        <f>IF(BQ454&lt;=0.005,0,BQ454*(1+BN$6))</f>
        <v/>
      </c>
      <c r="BO455" s="152">
        <f>MIN(BN455,BN$7)</f>
        <v/>
      </c>
      <c r="BP455" s="152">
        <f>MAX(0,MIN(BN455-BO455,CL455-(AZ455+BD455+BH455+BL455)))</f>
        <v/>
      </c>
      <c r="BQ455" s="152">
        <f>BN455-BO455-BP455</f>
        <v/>
      </c>
      <c r="BR455" s="152">
        <f>IF(BU454&lt;=0.005,0,BU454*(1+BR$6))</f>
        <v/>
      </c>
      <c r="BS455" s="152">
        <f>MIN(BR455,BR$7)</f>
        <v/>
      </c>
      <c r="BT455" s="152">
        <f>MAX(0,MIN(BR455-BS455,CL455-(AZ455+BD455+BH455+BL455+BP455)))</f>
        <v/>
      </c>
      <c r="BU455" s="152">
        <f>BR455-BS455-BT455</f>
        <v/>
      </c>
      <c r="BV455" s="152">
        <f>IF(BY454&lt;=0.005,0,BY454*(1+BV$6))</f>
        <v/>
      </c>
      <c r="BW455" s="152">
        <f>MIN(BV455,BV$7)</f>
        <v/>
      </c>
      <c r="BX455" s="152">
        <f>MAX(0,MIN(BV455-BW455,CL455-(AZ455+BD455+BH455+BL455+BP455+BT455)))</f>
        <v/>
      </c>
      <c r="BY455" s="152">
        <f>BV455-BW455-BX455</f>
        <v/>
      </c>
      <c r="BZ455" s="152">
        <f>IF(CC454&lt;=0.005,0,CC454*(1+BZ$6))</f>
        <v/>
      </c>
      <c r="CA455" s="152">
        <f>MIN(BZ455,BZ$7)</f>
        <v/>
      </c>
      <c r="CB455" s="152">
        <f>MAX(0,MIN(BZ455-CA455,CL455-(AZ455+BD455+BH455+BL455+BP455+BT455+BX455)))</f>
        <v/>
      </c>
      <c r="CC455" s="152">
        <f>BZ455-CA455-CB455</f>
        <v/>
      </c>
      <c r="CD455" s="152">
        <f>IF(CG454&lt;=0.005,0,CG454*(1+CD$6))</f>
        <v/>
      </c>
      <c r="CE455" s="152">
        <f>MIN(CD455,CD$7)</f>
        <v/>
      </c>
      <c r="CF455" s="152">
        <f>MAX(0,MIN(CD455-CE455,CL455-(AZ455+BD455+BH455+BL455+BP455+BT455+BX455+CB455)))</f>
        <v/>
      </c>
      <c r="CG455" s="152">
        <f>CD455-CE455-CF455</f>
        <v/>
      </c>
      <c r="CH455" s="152">
        <f>IF(CK454&lt;=0.005,0,CK454*(1+CH$6))</f>
        <v/>
      </c>
      <c r="CI455" s="152">
        <f>MIN(CH455,CH$7)</f>
        <v/>
      </c>
      <c r="CJ455" s="152">
        <f>MAX(0,MIN(CH455-CI455,CL455-(AZ455+BD455+BH455+BL455+BP455+BT455+BX455+CB455+CF455)))</f>
        <v/>
      </c>
      <c r="CK455" s="152">
        <f>CH455-CI455-CJ455</f>
        <v/>
      </c>
      <c r="CL455" s="152">
        <f>'Debt Payoff'!$C$8-SUM(AY455,BC455,BG455,BK455,BO455,BS455,BW455,CA455,CE455,CI455)</f>
        <v/>
      </c>
      <c r="CM455" s="152">
        <f>SUM(AY455,BC455,BG455,BK455,BO455,BS455,BW455,CA455,CE455,CI455)+SUM(AZ455,BD455,BH455,BL455,BP455,BT455,BX455,CB455,CF455,CJ455)</f>
        <v/>
      </c>
      <c r="CN455" s="152">
        <f>SUM(BA455,BE455,BI455,BM455,BQ455,BU455,BY455,CC455,CG455,CK455)</f>
        <v/>
      </c>
      <c r="CO455" s="152">
        <f>IF(AW455&gt;CN$6,NA(),AW455)</f>
        <v/>
      </c>
      <c r="CP455" s="152">
        <f>IF(AW455&gt;CN$6,NA(),CN455)</f>
        <v/>
      </c>
    </row>
    <row r="456">
      <c r="B456" s="152" t="n">
        <v>445</v>
      </c>
      <c r="C456" s="152">
        <f>IF(F455&lt;=0.005,0,F455*(1+C$6))</f>
        <v/>
      </c>
      <c r="D456" s="152">
        <f>MIN(C456,C$7)</f>
        <v/>
      </c>
      <c r="E456" s="152">
        <f>MAX(0,MIN(C456-D456,AQ456))</f>
        <v/>
      </c>
      <c r="F456" s="152">
        <f>C456-D456-E456</f>
        <v/>
      </c>
      <c r="G456" s="152">
        <f>IF(J455&lt;=0.005,0,J455*(1+G$6))</f>
        <v/>
      </c>
      <c r="H456" s="152">
        <f>MIN(G456,G$7)</f>
        <v/>
      </c>
      <c r="I456" s="152">
        <f>MAX(0,MIN(G456-H456,AQ456-(E456)))</f>
        <v/>
      </c>
      <c r="J456" s="152">
        <f>G456-H456-I456</f>
        <v/>
      </c>
      <c r="K456" s="152">
        <f>IF(N455&lt;=0.005,0,N455*(1+K$6))</f>
        <v/>
      </c>
      <c r="L456" s="152">
        <f>MIN(K456,K$7)</f>
        <v/>
      </c>
      <c r="M456" s="152">
        <f>MAX(0,MIN(K456-L456,AQ456-(E456+I456)))</f>
        <v/>
      </c>
      <c r="N456" s="152">
        <f>K456-L456-M456</f>
        <v/>
      </c>
      <c r="O456" s="152">
        <f>IF(R455&lt;=0.005,0,R455*(1+O$6))</f>
        <v/>
      </c>
      <c r="P456" s="152">
        <f>MIN(O456,O$7)</f>
        <v/>
      </c>
      <c r="Q456" s="152">
        <f>MAX(0,MIN(O456-P456,AQ456-(E456+I456+M456)))</f>
        <v/>
      </c>
      <c r="R456" s="152">
        <f>O456-P456-Q456</f>
        <v/>
      </c>
      <c r="S456" s="152">
        <f>IF(V455&lt;=0.005,0,V455*(1+S$6))</f>
        <v/>
      </c>
      <c r="T456" s="152">
        <f>MIN(S456,S$7)</f>
        <v/>
      </c>
      <c r="U456" s="152">
        <f>MAX(0,MIN(S456-T456,AQ456-(E456+I456+M456+Q456)))</f>
        <v/>
      </c>
      <c r="V456" s="152">
        <f>S456-T456-U456</f>
        <v/>
      </c>
      <c r="W456" s="152">
        <f>IF(Z455&lt;=0.005,0,Z455*(1+W$6))</f>
        <v/>
      </c>
      <c r="X456" s="152">
        <f>MIN(W456,W$7)</f>
        <v/>
      </c>
      <c r="Y456" s="152">
        <f>MAX(0,MIN(W456-X456,AQ456-(E456+I456+M456+Q456+U456)))</f>
        <v/>
      </c>
      <c r="Z456" s="152">
        <f>W456-X456-Y456</f>
        <v/>
      </c>
      <c r="AA456" s="152">
        <f>IF(AD455&lt;=0.005,0,AD455*(1+AA$6))</f>
        <v/>
      </c>
      <c r="AB456" s="152">
        <f>MIN(AA456,AA$7)</f>
        <v/>
      </c>
      <c r="AC456" s="152">
        <f>MAX(0,MIN(AA456-AB456,AQ456-(E456+I456+M456+Q456+U456+Y456)))</f>
        <v/>
      </c>
      <c r="AD456" s="152">
        <f>AA456-AB456-AC456</f>
        <v/>
      </c>
      <c r="AE456" s="152">
        <f>IF(AH455&lt;=0.005,0,AH455*(1+AE$6))</f>
        <v/>
      </c>
      <c r="AF456" s="152">
        <f>MIN(AE456,AE$7)</f>
        <v/>
      </c>
      <c r="AG456" s="152">
        <f>MAX(0,MIN(AE456-AF456,AQ456-(E456+I456+M456+Q456+U456+Y456+AC456)))</f>
        <v/>
      </c>
      <c r="AH456" s="152">
        <f>AE456-AF456-AG456</f>
        <v/>
      </c>
      <c r="AI456" s="152">
        <f>IF(AL455&lt;=0.005,0,AL455*(1+AI$6))</f>
        <v/>
      </c>
      <c r="AJ456" s="152">
        <f>MIN(AI456,AI$7)</f>
        <v/>
      </c>
      <c r="AK456" s="152">
        <f>MAX(0,MIN(AI456-AJ456,AQ456-(E456+I456+M456+Q456+U456+Y456+AC456+AG456)))</f>
        <v/>
      </c>
      <c r="AL456" s="152">
        <f>AI456-AJ456-AK456</f>
        <v/>
      </c>
      <c r="AM456" s="152">
        <f>IF(AP455&lt;=0.005,0,AP455*(1+AM$6))</f>
        <v/>
      </c>
      <c r="AN456" s="152">
        <f>MIN(AM456,AM$7)</f>
        <v/>
      </c>
      <c r="AO456" s="152">
        <f>MAX(0,MIN(AM456-AN456,AQ456-(E456+I456+M456+Q456+U456+Y456+AC456+AG456+AK456)))</f>
        <v/>
      </c>
      <c r="AP456" s="152">
        <f>AM456-AN456-AO456</f>
        <v/>
      </c>
      <c r="AQ456" s="152">
        <f>'Debt Payoff'!$C$8-SUM(D456,H456,L456,P456,T456,X456,AB456,AF456,AJ456,AN456)</f>
        <v/>
      </c>
      <c r="AR456" s="152">
        <f>SUM(D456,H456,L456,P456,T456,X456,AB456,AF456,AJ456,AN456)+SUM(E456,I456,M456,Q456,U456,Y456,AC456,AG456,AK456,AO456)</f>
        <v/>
      </c>
      <c r="AS456" s="152">
        <f>SUM(F456,J456,N456,R456,V456,Z456,AD456,AH456,AL456,AP456)</f>
        <v/>
      </c>
      <c r="AT456" s="152">
        <f>IF(B456&gt;AS$6,NA(),B456)</f>
        <v/>
      </c>
      <c r="AU456" s="152">
        <f>IF(B456&gt;AS$6,NA(),AS456)</f>
        <v/>
      </c>
      <c r="AV456" s="152" t="n"/>
      <c r="AW456" s="152" t="n">
        <v>445</v>
      </c>
      <c r="AX456" s="152">
        <f>IF(BA455&lt;=0.005,0,BA455*(1+AX$6))</f>
        <v/>
      </c>
      <c r="AY456" s="152">
        <f>MIN(AX456,AX$7)</f>
        <v/>
      </c>
      <c r="AZ456" s="152">
        <f>MAX(0,MIN(AX456-AY456,CL456))</f>
        <v/>
      </c>
      <c r="BA456" s="152">
        <f>AX456-AY456-AZ456</f>
        <v/>
      </c>
      <c r="BB456" s="152">
        <f>IF(BE455&lt;=0.005,0,BE455*(1+BB$6))</f>
        <v/>
      </c>
      <c r="BC456" s="152">
        <f>MIN(BB456,BB$7)</f>
        <v/>
      </c>
      <c r="BD456" s="152">
        <f>MAX(0,MIN(BB456-BC456,CL456-(AZ456)))</f>
        <v/>
      </c>
      <c r="BE456" s="152">
        <f>BB456-BC456-BD456</f>
        <v/>
      </c>
      <c r="BF456" s="152">
        <f>IF(BI455&lt;=0.005,0,BI455*(1+BF$6))</f>
        <v/>
      </c>
      <c r="BG456" s="152">
        <f>MIN(BF456,BF$7)</f>
        <v/>
      </c>
      <c r="BH456" s="152">
        <f>MAX(0,MIN(BF456-BG456,CL456-(AZ456+BD456)))</f>
        <v/>
      </c>
      <c r="BI456" s="152">
        <f>BF456-BG456-BH456</f>
        <v/>
      </c>
      <c r="BJ456" s="152">
        <f>IF(BM455&lt;=0.005,0,BM455*(1+BJ$6))</f>
        <v/>
      </c>
      <c r="BK456" s="152">
        <f>MIN(BJ456,BJ$7)</f>
        <v/>
      </c>
      <c r="BL456" s="152">
        <f>MAX(0,MIN(BJ456-BK456,CL456-(AZ456+BD456+BH456)))</f>
        <v/>
      </c>
      <c r="BM456" s="152">
        <f>BJ456-BK456-BL456</f>
        <v/>
      </c>
      <c r="BN456" s="152">
        <f>IF(BQ455&lt;=0.005,0,BQ455*(1+BN$6))</f>
        <v/>
      </c>
      <c r="BO456" s="152">
        <f>MIN(BN456,BN$7)</f>
        <v/>
      </c>
      <c r="BP456" s="152">
        <f>MAX(0,MIN(BN456-BO456,CL456-(AZ456+BD456+BH456+BL456)))</f>
        <v/>
      </c>
      <c r="BQ456" s="152">
        <f>BN456-BO456-BP456</f>
        <v/>
      </c>
      <c r="BR456" s="152">
        <f>IF(BU455&lt;=0.005,0,BU455*(1+BR$6))</f>
        <v/>
      </c>
      <c r="BS456" s="152">
        <f>MIN(BR456,BR$7)</f>
        <v/>
      </c>
      <c r="BT456" s="152">
        <f>MAX(0,MIN(BR456-BS456,CL456-(AZ456+BD456+BH456+BL456+BP456)))</f>
        <v/>
      </c>
      <c r="BU456" s="152">
        <f>BR456-BS456-BT456</f>
        <v/>
      </c>
      <c r="BV456" s="152">
        <f>IF(BY455&lt;=0.005,0,BY455*(1+BV$6))</f>
        <v/>
      </c>
      <c r="BW456" s="152">
        <f>MIN(BV456,BV$7)</f>
        <v/>
      </c>
      <c r="BX456" s="152">
        <f>MAX(0,MIN(BV456-BW456,CL456-(AZ456+BD456+BH456+BL456+BP456+BT456)))</f>
        <v/>
      </c>
      <c r="BY456" s="152">
        <f>BV456-BW456-BX456</f>
        <v/>
      </c>
      <c r="BZ456" s="152">
        <f>IF(CC455&lt;=0.005,0,CC455*(1+BZ$6))</f>
        <v/>
      </c>
      <c r="CA456" s="152">
        <f>MIN(BZ456,BZ$7)</f>
        <v/>
      </c>
      <c r="CB456" s="152">
        <f>MAX(0,MIN(BZ456-CA456,CL456-(AZ456+BD456+BH456+BL456+BP456+BT456+BX456)))</f>
        <v/>
      </c>
      <c r="CC456" s="152">
        <f>BZ456-CA456-CB456</f>
        <v/>
      </c>
      <c r="CD456" s="152">
        <f>IF(CG455&lt;=0.005,0,CG455*(1+CD$6))</f>
        <v/>
      </c>
      <c r="CE456" s="152">
        <f>MIN(CD456,CD$7)</f>
        <v/>
      </c>
      <c r="CF456" s="152">
        <f>MAX(0,MIN(CD456-CE456,CL456-(AZ456+BD456+BH456+BL456+BP456+BT456+BX456+CB456)))</f>
        <v/>
      </c>
      <c r="CG456" s="152">
        <f>CD456-CE456-CF456</f>
        <v/>
      </c>
      <c r="CH456" s="152">
        <f>IF(CK455&lt;=0.005,0,CK455*(1+CH$6))</f>
        <v/>
      </c>
      <c r="CI456" s="152">
        <f>MIN(CH456,CH$7)</f>
        <v/>
      </c>
      <c r="CJ456" s="152">
        <f>MAX(0,MIN(CH456-CI456,CL456-(AZ456+BD456+BH456+BL456+BP456+BT456+BX456+CB456+CF456)))</f>
        <v/>
      </c>
      <c r="CK456" s="152">
        <f>CH456-CI456-CJ456</f>
        <v/>
      </c>
      <c r="CL456" s="152">
        <f>'Debt Payoff'!$C$8-SUM(AY456,BC456,BG456,BK456,BO456,BS456,BW456,CA456,CE456,CI456)</f>
        <v/>
      </c>
      <c r="CM456" s="152">
        <f>SUM(AY456,BC456,BG456,BK456,BO456,BS456,BW456,CA456,CE456,CI456)+SUM(AZ456,BD456,BH456,BL456,BP456,BT456,BX456,CB456,CF456,CJ456)</f>
        <v/>
      </c>
      <c r="CN456" s="152">
        <f>SUM(BA456,BE456,BI456,BM456,BQ456,BU456,BY456,CC456,CG456,CK456)</f>
        <v/>
      </c>
      <c r="CO456" s="152">
        <f>IF(AW456&gt;CN$6,NA(),AW456)</f>
        <v/>
      </c>
      <c r="CP456" s="152">
        <f>IF(AW456&gt;CN$6,NA(),CN456)</f>
        <v/>
      </c>
    </row>
    <row r="457">
      <c r="B457" s="152" t="n">
        <v>446</v>
      </c>
      <c r="C457" s="152">
        <f>IF(F456&lt;=0.005,0,F456*(1+C$6))</f>
        <v/>
      </c>
      <c r="D457" s="152">
        <f>MIN(C457,C$7)</f>
        <v/>
      </c>
      <c r="E457" s="152">
        <f>MAX(0,MIN(C457-D457,AQ457))</f>
        <v/>
      </c>
      <c r="F457" s="152">
        <f>C457-D457-E457</f>
        <v/>
      </c>
      <c r="G457" s="152">
        <f>IF(J456&lt;=0.005,0,J456*(1+G$6))</f>
        <v/>
      </c>
      <c r="H457" s="152">
        <f>MIN(G457,G$7)</f>
        <v/>
      </c>
      <c r="I457" s="152">
        <f>MAX(0,MIN(G457-H457,AQ457-(E457)))</f>
        <v/>
      </c>
      <c r="J457" s="152">
        <f>G457-H457-I457</f>
        <v/>
      </c>
      <c r="K457" s="152">
        <f>IF(N456&lt;=0.005,0,N456*(1+K$6))</f>
        <v/>
      </c>
      <c r="L457" s="152">
        <f>MIN(K457,K$7)</f>
        <v/>
      </c>
      <c r="M457" s="152">
        <f>MAX(0,MIN(K457-L457,AQ457-(E457+I457)))</f>
        <v/>
      </c>
      <c r="N457" s="152">
        <f>K457-L457-M457</f>
        <v/>
      </c>
      <c r="O457" s="152">
        <f>IF(R456&lt;=0.005,0,R456*(1+O$6))</f>
        <v/>
      </c>
      <c r="P457" s="152">
        <f>MIN(O457,O$7)</f>
        <v/>
      </c>
      <c r="Q457" s="152">
        <f>MAX(0,MIN(O457-P457,AQ457-(E457+I457+M457)))</f>
        <v/>
      </c>
      <c r="R457" s="152">
        <f>O457-P457-Q457</f>
        <v/>
      </c>
      <c r="S457" s="152">
        <f>IF(V456&lt;=0.005,0,V456*(1+S$6))</f>
        <v/>
      </c>
      <c r="T457" s="152">
        <f>MIN(S457,S$7)</f>
        <v/>
      </c>
      <c r="U457" s="152">
        <f>MAX(0,MIN(S457-T457,AQ457-(E457+I457+M457+Q457)))</f>
        <v/>
      </c>
      <c r="V457" s="152">
        <f>S457-T457-U457</f>
        <v/>
      </c>
      <c r="W457" s="152">
        <f>IF(Z456&lt;=0.005,0,Z456*(1+W$6))</f>
        <v/>
      </c>
      <c r="X457" s="152">
        <f>MIN(W457,W$7)</f>
        <v/>
      </c>
      <c r="Y457" s="152">
        <f>MAX(0,MIN(W457-X457,AQ457-(E457+I457+M457+Q457+U457)))</f>
        <v/>
      </c>
      <c r="Z457" s="152">
        <f>W457-X457-Y457</f>
        <v/>
      </c>
      <c r="AA457" s="152">
        <f>IF(AD456&lt;=0.005,0,AD456*(1+AA$6))</f>
        <v/>
      </c>
      <c r="AB457" s="152">
        <f>MIN(AA457,AA$7)</f>
        <v/>
      </c>
      <c r="AC457" s="152">
        <f>MAX(0,MIN(AA457-AB457,AQ457-(E457+I457+M457+Q457+U457+Y457)))</f>
        <v/>
      </c>
      <c r="AD457" s="152">
        <f>AA457-AB457-AC457</f>
        <v/>
      </c>
      <c r="AE457" s="152">
        <f>IF(AH456&lt;=0.005,0,AH456*(1+AE$6))</f>
        <v/>
      </c>
      <c r="AF457" s="152">
        <f>MIN(AE457,AE$7)</f>
        <v/>
      </c>
      <c r="AG457" s="152">
        <f>MAX(0,MIN(AE457-AF457,AQ457-(E457+I457+M457+Q457+U457+Y457+AC457)))</f>
        <v/>
      </c>
      <c r="AH457" s="152">
        <f>AE457-AF457-AG457</f>
        <v/>
      </c>
      <c r="AI457" s="152">
        <f>IF(AL456&lt;=0.005,0,AL456*(1+AI$6))</f>
        <v/>
      </c>
      <c r="AJ457" s="152">
        <f>MIN(AI457,AI$7)</f>
        <v/>
      </c>
      <c r="AK457" s="152">
        <f>MAX(0,MIN(AI457-AJ457,AQ457-(E457+I457+M457+Q457+U457+Y457+AC457+AG457)))</f>
        <v/>
      </c>
      <c r="AL457" s="152">
        <f>AI457-AJ457-AK457</f>
        <v/>
      </c>
      <c r="AM457" s="152">
        <f>IF(AP456&lt;=0.005,0,AP456*(1+AM$6))</f>
        <v/>
      </c>
      <c r="AN457" s="152">
        <f>MIN(AM457,AM$7)</f>
        <v/>
      </c>
      <c r="AO457" s="152">
        <f>MAX(0,MIN(AM457-AN457,AQ457-(E457+I457+M457+Q457+U457+Y457+AC457+AG457+AK457)))</f>
        <v/>
      </c>
      <c r="AP457" s="152">
        <f>AM457-AN457-AO457</f>
        <v/>
      </c>
      <c r="AQ457" s="152">
        <f>'Debt Payoff'!$C$8-SUM(D457,H457,L457,P457,T457,X457,AB457,AF457,AJ457,AN457)</f>
        <v/>
      </c>
      <c r="AR457" s="152">
        <f>SUM(D457,H457,L457,P457,T457,X457,AB457,AF457,AJ457,AN457)+SUM(E457,I457,M457,Q457,U457,Y457,AC457,AG457,AK457,AO457)</f>
        <v/>
      </c>
      <c r="AS457" s="152">
        <f>SUM(F457,J457,N457,R457,V457,Z457,AD457,AH457,AL457,AP457)</f>
        <v/>
      </c>
      <c r="AT457" s="152">
        <f>IF(B457&gt;AS$6,NA(),B457)</f>
        <v/>
      </c>
      <c r="AU457" s="152">
        <f>IF(B457&gt;AS$6,NA(),AS457)</f>
        <v/>
      </c>
      <c r="AV457" s="152" t="n"/>
      <c r="AW457" s="152" t="n">
        <v>446</v>
      </c>
      <c r="AX457" s="152">
        <f>IF(BA456&lt;=0.005,0,BA456*(1+AX$6))</f>
        <v/>
      </c>
      <c r="AY457" s="152">
        <f>MIN(AX457,AX$7)</f>
        <v/>
      </c>
      <c r="AZ457" s="152">
        <f>MAX(0,MIN(AX457-AY457,CL457))</f>
        <v/>
      </c>
      <c r="BA457" s="152">
        <f>AX457-AY457-AZ457</f>
        <v/>
      </c>
      <c r="BB457" s="152">
        <f>IF(BE456&lt;=0.005,0,BE456*(1+BB$6))</f>
        <v/>
      </c>
      <c r="BC457" s="152">
        <f>MIN(BB457,BB$7)</f>
        <v/>
      </c>
      <c r="BD457" s="152">
        <f>MAX(0,MIN(BB457-BC457,CL457-(AZ457)))</f>
        <v/>
      </c>
      <c r="BE457" s="152">
        <f>BB457-BC457-BD457</f>
        <v/>
      </c>
      <c r="BF457" s="152">
        <f>IF(BI456&lt;=0.005,0,BI456*(1+BF$6))</f>
        <v/>
      </c>
      <c r="BG457" s="152">
        <f>MIN(BF457,BF$7)</f>
        <v/>
      </c>
      <c r="BH457" s="152">
        <f>MAX(0,MIN(BF457-BG457,CL457-(AZ457+BD457)))</f>
        <v/>
      </c>
      <c r="BI457" s="152">
        <f>BF457-BG457-BH457</f>
        <v/>
      </c>
      <c r="BJ457" s="152">
        <f>IF(BM456&lt;=0.005,0,BM456*(1+BJ$6))</f>
        <v/>
      </c>
      <c r="BK457" s="152">
        <f>MIN(BJ457,BJ$7)</f>
        <v/>
      </c>
      <c r="BL457" s="152">
        <f>MAX(0,MIN(BJ457-BK457,CL457-(AZ457+BD457+BH457)))</f>
        <v/>
      </c>
      <c r="BM457" s="152">
        <f>BJ457-BK457-BL457</f>
        <v/>
      </c>
      <c r="BN457" s="152">
        <f>IF(BQ456&lt;=0.005,0,BQ456*(1+BN$6))</f>
        <v/>
      </c>
      <c r="BO457" s="152">
        <f>MIN(BN457,BN$7)</f>
        <v/>
      </c>
      <c r="BP457" s="152">
        <f>MAX(0,MIN(BN457-BO457,CL457-(AZ457+BD457+BH457+BL457)))</f>
        <v/>
      </c>
      <c r="BQ457" s="152">
        <f>BN457-BO457-BP457</f>
        <v/>
      </c>
      <c r="BR457" s="152">
        <f>IF(BU456&lt;=0.005,0,BU456*(1+BR$6))</f>
        <v/>
      </c>
      <c r="BS457" s="152">
        <f>MIN(BR457,BR$7)</f>
        <v/>
      </c>
      <c r="BT457" s="152">
        <f>MAX(0,MIN(BR457-BS457,CL457-(AZ457+BD457+BH457+BL457+BP457)))</f>
        <v/>
      </c>
      <c r="BU457" s="152">
        <f>BR457-BS457-BT457</f>
        <v/>
      </c>
      <c r="BV457" s="152">
        <f>IF(BY456&lt;=0.005,0,BY456*(1+BV$6))</f>
        <v/>
      </c>
      <c r="BW457" s="152">
        <f>MIN(BV457,BV$7)</f>
        <v/>
      </c>
      <c r="BX457" s="152">
        <f>MAX(0,MIN(BV457-BW457,CL457-(AZ457+BD457+BH457+BL457+BP457+BT457)))</f>
        <v/>
      </c>
      <c r="BY457" s="152">
        <f>BV457-BW457-BX457</f>
        <v/>
      </c>
      <c r="BZ457" s="152">
        <f>IF(CC456&lt;=0.005,0,CC456*(1+BZ$6))</f>
        <v/>
      </c>
      <c r="CA457" s="152">
        <f>MIN(BZ457,BZ$7)</f>
        <v/>
      </c>
      <c r="CB457" s="152">
        <f>MAX(0,MIN(BZ457-CA457,CL457-(AZ457+BD457+BH457+BL457+BP457+BT457+BX457)))</f>
        <v/>
      </c>
      <c r="CC457" s="152">
        <f>BZ457-CA457-CB457</f>
        <v/>
      </c>
      <c r="CD457" s="152">
        <f>IF(CG456&lt;=0.005,0,CG456*(1+CD$6))</f>
        <v/>
      </c>
      <c r="CE457" s="152">
        <f>MIN(CD457,CD$7)</f>
        <v/>
      </c>
      <c r="CF457" s="152">
        <f>MAX(0,MIN(CD457-CE457,CL457-(AZ457+BD457+BH457+BL457+BP457+BT457+BX457+CB457)))</f>
        <v/>
      </c>
      <c r="CG457" s="152">
        <f>CD457-CE457-CF457</f>
        <v/>
      </c>
      <c r="CH457" s="152">
        <f>IF(CK456&lt;=0.005,0,CK456*(1+CH$6))</f>
        <v/>
      </c>
      <c r="CI457" s="152">
        <f>MIN(CH457,CH$7)</f>
        <v/>
      </c>
      <c r="CJ457" s="152">
        <f>MAX(0,MIN(CH457-CI457,CL457-(AZ457+BD457+BH457+BL457+BP457+BT457+BX457+CB457+CF457)))</f>
        <v/>
      </c>
      <c r="CK457" s="152">
        <f>CH457-CI457-CJ457</f>
        <v/>
      </c>
      <c r="CL457" s="152">
        <f>'Debt Payoff'!$C$8-SUM(AY457,BC457,BG457,BK457,BO457,BS457,BW457,CA457,CE457,CI457)</f>
        <v/>
      </c>
      <c r="CM457" s="152">
        <f>SUM(AY457,BC457,BG457,BK457,BO457,BS457,BW457,CA457,CE457,CI457)+SUM(AZ457,BD457,BH457,BL457,BP457,BT457,BX457,CB457,CF457,CJ457)</f>
        <v/>
      </c>
      <c r="CN457" s="152">
        <f>SUM(BA457,BE457,BI457,BM457,BQ457,BU457,BY457,CC457,CG457,CK457)</f>
        <v/>
      </c>
      <c r="CO457" s="152">
        <f>IF(AW457&gt;CN$6,NA(),AW457)</f>
        <v/>
      </c>
      <c r="CP457" s="152">
        <f>IF(AW457&gt;CN$6,NA(),CN457)</f>
        <v/>
      </c>
    </row>
    <row r="458">
      <c r="B458" s="152" t="n">
        <v>447</v>
      </c>
      <c r="C458" s="152">
        <f>IF(F457&lt;=0.005,0,F457*(1+C$6))</f>
        <v/>
      </c>
      <c r="D458" s="152">
        <f>MIN(C458,C$7)</f>
        <v/>
      </c>
      <c r="E458" s="152">
        <f>MAX(0,MIN(C458-D458,AQ458))</f>
        <v/>
      </c>
      <c r="F458" s="152">
        <f>C458-D458-E458</f>
        <v/>
      </c>
      <c r="G458" s="152">
        <f>IF(J457&lt;=0.005,0,J457*(1+G$6))</f>
        <v/>
      </c>
      <c r="H458" s="152">
        <f>MIN(G458,G$7)</f>
        <v/>
      </c>
      <c r="I458" s="152">
        <f>MAX(0,MIN(G458-H458,AQ458-(E458)))</f>
        <v/>
      </c>
      <c r="J458" s="152">
        <f>G458-H458-I458</f>
        <v/>
      </c>
      <c r="K458" s="152">
        <f>IF(N457&lt;=0.005,0,N457*(1+K$6))</f>
        <v/>
      </c>
      <c r="L458" s="152">
        <f>MIN(K458,K$7)</f>
        <v/>
      </c>
      <c r="M458" s="152">
        <f>MAX(0,MIN(K458-L458,AQ458-(E458+I458)))</f>
        <v/>
      </c>
      <c r="N458" s="152">
        <f>K458-L458-M458</f>
        <v/>
      </c>
      <c r="O458" s="152">
        <f>IF(R457&lt;=0.005,0,R457*(1+O$6))</f>
        <v/>
      </c>
      <c r="P458" s="152">
        <f>MIN(O458,O$7)</f>
        <v/>
      </c>
      <c r="Q458" s="152">
        <f>MAX(0,MIN(O458-P458,AQ458-(E458+I458+M458)))</f>
        <v/>
      </c>
      <c r="R458" s="152">
        <f>O458-P458-Q458</f>
        <v/>
      </c>
      <c r="S458" s="152">
        <f>IF(V457&lt;=0.005,0,V457*(1+S$6))</f>
        <v/>
      </c>
      <c r="T458" s="152">
        <f>MIN(S458,S$7)</f>
        <v/>
      </c>
      <c r="U458" s="152">
        <f>MAX(0,MIN(S458-T458,AQ458-(E458+I458+M458+Q458)))</f>
        <v/>
      </c>
      <c r="V458" s="152">
        <f>S458-T458-U458</f>
        <v/>
      </c>
      <c r="W458" s="152">
        <f>IF(Z457&lt;=0.005,0,Z457*(1+W$6))</f>
        <v/>
      </c>
      <c r="X458" s="152">
        <f>MIN(W458,W$7)</f>
        <v/>
      </c>
      <c r="Y458" s="152">
        <f>MAX(0,MIN(W458-X458,AQ458-(E458+I458+M458+Q458+U458)))</f>
        <v/>
      </c>
      <c r="Z458" s="152">
        <f>W458-X458-Y458</f>
        <v/>
      </c>
      <c r="AA458" s="152">
        <f>IF(AD457&lt;=0.005,0,AD457*(1+AA$6))</f>
        <v/>
      </c>
      <c r="AB458" s="152">
        <f>MIN(AA458,AA$7)</f>
        <v/>
      </c>
      <c r="AC458" s="152">
        <f>MAX(0,MIN(AA458-AB458,AQ458-(E458+I458+M458+Q458+U458+Y458)))</f>
        <v/>
      </c>
      <c r="AD458" s="152">
        <f>AA458-AB458-AC458</f>
        <v/>
      </c>
      <c r="AE458" s="152">
        <f>IF(AH457&lt;=0.005,0,AH457*(1+AE$6))</f>
        <v/>
      </c>
      <c r="AF458" s="152">
        <f>MIN(AE458,AE$7)</f>
        <v/>
      </c>
      <c r="AG458" s="152">
        <f>MAX(0,MIN(AE458-AF458,AQ458-(E458+I458+M458+Q458+U458+Y458+AC458)))</f>
        <v/>
      </c>
      <c r="AH458" s="152">
        <f>AE458-AF458-AG458</f>
        <v/>
      </c>
      <c r="AI458" s="152">
        <f>IF(AL457&lt;=0.005,0,AL457*(1+AI$6))</f>
        <v/>
      </c>
      <c r="AJ458" s="152">
        <f>MIN(AI458,AI$7)</f>
        <v/>
      </c>
      <c r="AK458" s="152">
        <f>MAX(0,MIN(AI458-AJ458,AQ458-(E458+I458+M458+Q458+U458+Y458+AC458+AG458)))</f>
        <v/>
      </c>
      <c r="AL458" s="152">
        <f>AI458-AJ458-AK458</f>
        <v/>
      </c>
      <c r="AM458" s="152">
        <f>IF(AP457&lt;=0.005,0,AP457*(1+AM$6))</f>
        <v/>
      </c>
      <c r="AN458" s="152">
        <f>MIN(AM458,AM$7)</f>
        <v/>
      </c>
      <c r="AO458" s="152">
        <f>MAX(0,MIN(AM458-AN458,AQ458-(E458+I458+M458+Q458+U458+Y458+AC458+AG458+AK458)))</f>
        <v/>
      </c>
      <c r="AP458" s="152">
        <f>AM458-AN458-AO458</f>
        <v/>
      </c>
      <c r="AQ458" s="152">
        <f>'Debt Payoff'!$C$8-SUM(D458,H458,L458,P458,T458,X458,AB458,AF458,AJ458,AN458)</f>
        <v/>
      </c>
      <c r="AR458" s="152">
        <f>SUM(D458,H458,L458,P458,T458,X458,AB458,AF458,AJ458,AN458)+SUM(E458,I458,M458,Q458,U458,Y458,AC458,AG458,AK458,AO458)</f>
        <v/>
      </c>
      <c r="AS458" s="152">
        <f>SUM(F458,J458,N458,R458,V458,Z458,AD458,AH458,AL458,AP458)</f>
        <v/>
      </c>
      <c r="AT458" s="152">
        <f>IF(B458&gt;AS$6,NA(),B458)</f>
        <v/>
      </c>
      <c r="AU458" s="152">
        <f>IF(B458&gt;AS$6,NA(),AS458)</f>
        <v/>
      </c>
      <c r="AV458" s="152" t="n"/>
      <c r="AW458" s="152" t="n">
        <v>447</v>
      </c>
      <c r="AX458" s="152">
        <f>IF(BA457&lt;=0.005,0,BA457*(1+AX$6))</f>
        <v/>
      </c>
      <c r="AY458" s="152">
        <f>MIN(AX458,AX$7)</f>
        <v/>
      </c>
      <c r="AZ458" s="152">
        <f>MAX(0,MIN(AX458-AY458,CL458))</f>
        <v/>
      </c>
      <c r="BA458" s="152">
        <f>AX458-AY458-AZ458</f>
        <v/>
      </c>
      <c r="BB458" s="152">
        <f>IF(BE457&lt;=0.005,0,BE457*(1+BB$6))</f>
        <v/>
      </c>
      <c r="BC458" s="152">
        <f>MIN(BB458,BB$7)</f>
        <v/>
      </c>
      <c r="BD458" s="152">
        <f>MAX(0,MIN(BB458-BC458,CL458-(AZ458)))</f>
        <v/>
      </c>
      <c r="BE458" s="152">
        <f>BB458-BC458-BD458</f>
        <v/>
      </c>
      <c r="BF458" s="152">
        <f>IF(BI457&lt;=0.005,0,BI457*(1+BF$6))</f>
        <v/>
      </c>
      <c r="BG458" s="152">
        <f>MIN(BF458,BF$7)</f>
        <v/>
      </c>
      <c r="BH458" s="152">
        <f>MAX(0,MIN(BF458-BG458,CL458-(AZ458+BD458)))</f>
        <v/>
      </c>
      <c r="BI458" s="152">
        <f>BF458-BG458-BH458</f>
        <v/>
      </c>
      <c r="BJ458" s="152">
        <f>IF(BM457&lt;=0.005,0,BM457*(1+BJ$6))</f>
        <v/>
      </c>
      <c r="BK458" s="152">
        <f>MIN(BJ458,BJ$7)</f>
        <v/>
      </c>
      <c r="BL458" s="152">
        <f>MAX(0,MIN(BJ458-BK458,CL458-(AZ458+BD458+BH458)))</f>
        <v/>
      </c>
      <c r="BM458" s="152">
        <f>BJ458-BK458-BL458</f>
        <v/>
      </c>
      <c r="BN458" s="152">
        <f>IF(BQ457&lt;=0.005,0,BQ457*(1+BN$6))</f>
        <v/>
      </c>
      <c r="BO458" s="152">
        <f>MIN(BN458,BN$7)</f>
        <v/>
      </c>
      <c r="BP458" s="152">
        <f>MAX(0,MIN(BN458-BO458,CL458-(AZ458+BD458+BH458+BL458)))</f>
        <v/>
      </c>
      <c r="BQ458" s="152">
        <f>BN458-BO458-BP458</f>
        <v/>
      </c>
      <c r="BR458" s="152">
        <f>IF(BU457&lt;=0.005,0,BU457*(1+BR$6))</f>
        <v/>
      </c>
      <c r="BS458" s="152">
        <f>MIN(BR458,BR$7)</f>
        <v/>
      </c>
      <c r="BT458" s="152">
        <f>MAX(0,MIN(BR458-BS458,CL458-(AZ458+BD458+BH458+BL458+BP458)))</f>
        <v/>
      </c>
      <c r="BU458" s="152">
        <f>BR458-BS458-BT458</f>
        <v/>
      </c>
      <c r="BV458" s="152">
        <f>IF(BY457&lt;=0.005,0,BY457*(1+BV$6))</f>
        <v/>
      </c>
      <c r="BW458" s="152">
        <f>MIN(BV458,BV$7)</f>
        <v/>
      </c>
      <c r="BX458" s="152">
        <f>MAX(0,MIN(BV458-BW458,CL458-(AZ458+BD458+BH458+BL458+BP458+BT458)))</f>
        <v/>
      </c>
      <c r="BY458" s="152">
        <f>BV458-BW458-BX458</f>
        <v/>
      </c>
      <c r="BZ458" s="152">
        <f>IF(CC457&lt;=0.005,0,CC457*(1+BZ$6))</f>
        <v/>
      </c>
      <c r="CA458" s="152">
        <f>MIN(BZ458,BZ$7)</f>
        <v/>
      </c>
      <c r="CB458" s="152">
        <f>MAX(0,MIN(BZ458-CA458,CL458-(AZ458+BD458+BH458+BL458+BP458+BT458+BX458)))</f>
        <v/>
      </c>
      <c r="CC458" s="152">
        <f>BZ458-CA458-CB458</f>
        <v/>
      </c>
      <c r="CD458" s="152">
        <f>IF(CG457&lt;=0.005,0,CG457*(1+CD$6))</f>
        <v/>
      </c>
      <c r="CE458" s="152">
        <f>MIN(CD458,CD$7)</f>
        <v/>
      </c>
      <c r="CF458" s="152">
        <f>MAX(0,MIN(CD458-CE458,CL458-(AZ458+BD458+BH458+BL458+BP458+BT458+BX458+CB458)))</f>
        <v/>
      </c>
      <c r="CG458" s="152">
        <f>CD458-CE458-CF458</f>
        <v/>
      </c>
      <c r="CH458" s="152">
        <f>IF(CK457&lt;=0.005,0,CK457*(1+CH$6))</f>
        <v/>
      </c>
      <c r="CI458" s="152">
        <f>MIN(CH458,CH$7)</f>
        <v/>
      </c>
      <c r="CJ458" s="152">
        <f>MAX(0,MIN(CH458-CI458,CL458-(AZ458+BD458+BH458+BL458+BP458+BT458+BX458+CB458+CF458)))</f>
        <v/>
      </c>
      <c r="CK458" s="152">
        <f>CH458-CI458-CJ458</f>
        <v/>
      </c>
      <c r="CL458" s="152">
        <f>'Debt Payoff'!$C$8-SUM(AY458,BC458,BG458,BK458,BO458,BS458,BW458,CA458,CE458,CI458)</f>
        <v/>
      </c>
      <c r="CM458" s="152">
        <f>SUM(AY458,BC458,BG458,BK458,BO458,BS458,BW458,CA458,CE458,CI458)+SUM(AZ458,BD458,BH458,BL458,BP458,BT458,BX458,CB458,CF458,CJ458)</f>
        <v/>
      </c>
      <c r="CN458" s="152">
        <f>SUM(BA458,BE458,BI458,BM458,BQ458,BU458,BY458,CC458,CG458,CK458)</f>
        <v/>
      </c>
      <c r="CO458" s="152">
        <f>IF(AW458&gt;CN$6,NA(),AW458)</f>
        <v/>
      </c>
      <c r="CP458" s="152">
        <f>IF(AW458&gt;CN$6,NA(),CN458)</f>
        <v/>
      </c>
    </row>
    <row r="459">
      <c r="B459" s="152" t="n">
        <v>448</v>
      </c>
      <c r="C459" s="152">
        <f>IF(F458&lt;=0.005,0,F458*(1+C$6))</f>
        <v/>
      </c>
      <c r="D459" s="152">
        <f>MIN(C459,C$7)</f>
        <v/>
      </c>
      <c r="E459" s="152">
        <f>MAX(0,MIN(C459-D459,AQ459))</f>
        <v/>
      </c>
      <c r="F459" s="152">
        <f>C459-D459-E459</f>
        <v/>
      </c>
      <c r="G459" s="152">
        <f>IF(J458&lt;=0.005,0,J458*(1+G$6))</f>
        <v/>
      </c>
      <c r="H459" s="152">
        <f>MIN(G459,G$7)</f>
        <v/>
      </c>
      <c r="I459" s="152">
        <f>MAX(0,MIN(G459-H459,AQ459-(E459)))</f>
        <v/>
      </c>
      <c r="J459" s="152">
        <f>G459-H459-I459</f>
        <v/>
      </c>
      <c r="K459" s="152">
        <f>IF(N458&lt;=0.005,0,N458*(1+K$6))</f>
        <v/>
      </c>
      <c r="L459" s="152">
        <f>MIN(K459,K$7)</f>
        <v/>
      </c>
      <c r="M459" s="152">
        <f>MAX(0,MIN(K459-L459,AQ459-(E459+I459)))</f>
        <v/>
      </c>
      <c r="N459" s="152">
        <f>K459-L459-M459</f>
        <v/>
      </c>
      <c r="O459" s="152">
        <f>IF(R458&lt;=0.005,0,R458*(1+O$6))</f>
        <v/>
      </c>
      <c r="P459" s="152">
        <f>MIN(O459,O$7)</f>
        <v/>
      </c>
      <c r="Q459" s="152">
        <f>MAX(0,MIN(O459-P459,AQ459-(E459+I459+M459)))</f>
        <v/>
      </c>
      <c r="R459" s="152">
        <f>O459-P459-Q459</f>
        <v/>
      </c>
      <c r="S459" s="152">
        <f>IF(V458&lt;=0.005,0,V458*(1+S$6))</f>
        <v/>
      </c>
      <c r="T459" s="152">
        <f>MIN(S459,S$7)</f>
        <v/>
      </c>
      <c r="U459" s="152">
        <f>MAX(0,MIN(S459-T459,AQ459-(E459+I459+M459+Q459)))</f>
        <v/>
      </c>
      <c r="V459" s="152">
        <f>S459-T459-U459</f>
        <v/>
      </c>
      <c r="W459" s="152">
        <f>IF(Z458&lt;=0.005,0,Z458*(1+W$6))</f>
        <v/>
      </c>
      <c r="X459" s="152">
        <f>MIN(W459,W$7)</f>
        <v/>
      </c>
      <c r="Y459" s="152">
        <f>MAX(0,MIN(W459-X459,AQ459-(E459+I459+M459+Q459+U459)))</f>
        <v/>
      </c>
      <c r="Z459" s="152">
        <f>W459-X459-Y459</f>
        <v/>
      </c>
      <c r="AA459" s="152">
        <f>IF(AD458&lt;=0.005,0,AD458*(1+AA$6))</f>
        <v/>
      </c>
      <c r="AB459" s="152">
        <f>MIN(AA459,AA$7)</f>
        <v/>
      </c>
      <c r="AC459" s="152">
        <f>MAX(0,MIN(AA459-AB459,AQ459-(E459+I459+M459+Q459+U459+Y459)))</f>
        <v/>
      </c>
      <c r="AD459" s="152">
        <f>AA459-AB459-AC459</f>
        <v/>
      </c>
      <c r="AE459" s="152">
        <f>IF(AH458&lt;=0.005,0,AH458*(1+AE$6))</f>
        <v/>
      </c>
      <c r="AF459" s="152">
        <f>MIN(AE459,AE$7)</f>
        <v/>
      </c>
      <c r="AG459" s="152">
        <f>MAX(0,MIN(AE459-AF459,AQ459-(E459+I459+M459+Q459+U459+Y459+AC459)))</f>
        <v/>
      </c>
      <c r="AH459" s="152">
        <f>AE459-AF459-AG459</f>
        <v/>
      </c>
      <c r="AI459" s="152">
        <f>IF(AL458&lt;=0.005,0,AL458*(1+AI$6))</f>
        <v/>
      </c>
      <c r="AJ459" s="152">
        <f>MIN(AI459,AI$7)</f>
        <v/>
      </c>
      <c r="AK459" s="152">
        <f>MAX(0,MIN(AI459-AJ459,AQ459-(E459+I459+M459+Q459+U459+Y459+AC459+AG459)))</f>
        <v/>
      </c>
      <c r="AL459" s="152">
        <f>AI459-AJ459-AK459</f>
        <v/>
      </c>
      <c r="AM459" s="152">
        <f>IF(AP458&lt;=0.005,0,AP458*(1+AM$6))</f>
        <v/>
      </c>
      <c r="AN459" s="152">
        <f>MIN(AM459,AM$7)</f>
        <v/>
      </c>
      <c r="AO459" s="152">
        <f>MAX(0,MIN(AM459-AN459,AQ459-(E459+I459+M459+Q459+U459+Y459+AC459+AG459+AK459)))</f>
        <v/>
      </c>
      <c r="AP459" s="152">
        <f>AM459-AN459-AO459</f>
        <v/>
      </c>
      <c r="AQ459" s="152">
        <f>'Debt Payoff'!$C$8-SUM(D459,H459,L459,P459,T459,X459,AB459,AF459,AJ459,AN459)</f>
        <v/>
      </c>
      <c r="AR459" s="152">
        <f>SUM(D459,H459,L459,P459,T459,X459,AB459,AF459,AJ459,AN459)+SUM(E459,I459,M459,Q459,U459,Y459,AC459,AG459,AK459,AO459)</f>
        <v/>
      </c>
      <c r="AS459" s="152">
        <f>SUM(F459,J459,N459,R459,V459,Z459,AD459,AH459,AL459,AP459)</f>
        <v/>
      </c>
      <c r="AT459" s="152">
        <f>IF(B459&gt;AS$6,NA(),B459)</f>
        <v/>
      </c>
      <c r="AU459" s="152">
        <f>IF(B459&gt;AS$6,NA(),AS459)</f>
        <v/>
      </c>
      <c r="AV459" s="152" t="n"/>
      <c r="AW459" s="152" t="n">
        <v>448</v>
      </c>
      <c r="AX459" s="152">
        <f>IF(BA458&lt;=0.005,0,BA458*(1+AX$6))</f>
        <v/>
      </c>
      <c r="AY459" s="152">
        <f>MIN(AX459,AX$7)</f>
        <v/>
      </c>
      <c r="AZ459" s="152">
        <f>MAX(0,MIN(AX459-AY459,CL459))</f>
        <v/>
      </c>
      <c r="BA459" s="152">
        <f>AX459-AY459-AZ459</f>
        <v/>
      </c>
      <c r="BB459" s="152">
        <f>IF(BE458&lt;=0.005,0,BE458*(1+BB$6))</f>
        <v/>
      </c>
      <c r="BC459" s="152">
        <f>MIN(BB459,BB$7)</f>
        <v/>
      </c>
      <c r="BD459" s="152">
        <f>MAX(0,MIN(BB459-BC459,CL459-(AZ459)))</f>
        <v/>
      </c>
      <c r="BE459" s="152">
        <f>BB459-BC459-BD459</f>
        <v/>
      </c>
      <c r="BF459" s="152">
        <f>IF(BI458&lt;=0.005,0,BI458*(1+BF$6))</f>
        <v/>
      </c>
      <c r="BG459" s="152">
        <f>MIN(BF459,BF$7)</f>
        <v/>
      </c>
      <c r="BH459" s="152">
        <f>MAX(0,MIN(BF459-BG459,CL459-(AZ459+BD459)))</f>
        <v/>
      </c>
      <c r="BI459" s="152">
        <f>BF459-BG459-BH459</f>
        <v/>
      </c>
      <c r="BJ459" s="152">
        <f>IF(BM458&lt;=0.005,0,BM458*(1+BJ$6))</f>
        <v/>
      </c>
      <c r="BK459" s="152">
        <f>MIN(BJ459,BJ$7)</f>
        <v/>
      </c>
      <c r="BL459" s="152">
        <f>MAX(0,MIN(BJ459-BK459,CL459-(AZ459+BD459+BH459)))</f>
        <v/>
      </c>
      <c r="BM459" s="152">
        <f>BJ459-BK459-BL459</f>
        <v/>
      </c>
      <c r="BN459" s="152">
        <f>IF(BQ458&lt;=0.005,0,BQ458*(1+BN$6))</f>
        <v/>
      </c>
      <c r="BO459" s="152">
        <f>MIN(BN459,BN$7)</f>
        <v/>
      </c>
      <c r="BP459" s="152">
        <f>MAX(0,MIN(BN459-BO459,CL459-(AZ459+BD459+BH459+BL459)))</f>
        <v/>
      </c>
      <c r="BQ459" s="152">
        <f>BN459-BO459-BP459</f>
        <v/>
      </c>
      <c r="BR459" s="152">
        <f>IF(BU458&lt;=0.005,0,BU458*(1+BR$6))</f>
        <v/>
      </c>
      <c r="BS459" s="152">
        <f>MIN(BR459,BR$7)</f>
        <v/>
      </c>
      <c r="BT459" s="152">
        <f>MAX(0,MIN(BR459-BS459,CL459-(AZ459+BD459+BH459+BL459+BP459)))</f>
        <v/>
      </c>
      <c r="BU459" s="152">
        <f>BR459-BS459-BT459</f>
        <v/>
      </c>
      <c r="BV459" s="152">
        <f>IF(BY458&lt;=0.005,0,BY458*(1+BV$6))</f>
        <v/>
      </c>
      <c r="BW459" s="152">
        <f>MIN(BV459,BV$7)</f>
        <v/>
      </c>
      <c r="BX459" s="152">
        <f>MAX(0,MIN(BV459-BW459,CL459-(AZ459+BD459+BH459+BL459+BP459+BT459)))</f>
        <v/>
      </c>
      <c r="BY459" s="152">
        <f>BV459-BW459-BX459</f>
        <v/>
      </c>
      <c r="BZ459" s="152">
        <f>IF(CC458&lt;=0.005,0,CC458*(1+BZ$6))</f>
        <v/>
      </c>
      <c r="CA459" s="152">
        <f>MIN(BZ459,BZ$7)</f>
        <v/>
      </c>
      <c r="CB459" s="152">
        <f>MAX(0,MIN(BZ459-CA459,CL459-(AZ459+BD459+BH459+BL459+BP459+BT459+BX459)))</f>
        <v/>
      </c>
      <c r="CC459" s="152">
        <f>BZ459-CA459-CB459</f>
        <v/>
      </c>
      <c r="CD459" s="152">
        <f>IF(CG458&lt;=0.005,0,CG458*(1+CD$6))</f>
        <v/>
      </c>
      <c r="CE459" s="152">
        <f>MIN(CD459,CD$7)</f>
        <v/>
      </c>
      <c r="CF459" s="152">
        <f>MAX(0,MIN(CD459-CE459,CL459-(AZ459+BD459+BH459+BL459+BP459+BT459+BX459+CB459)))</f>
        <v/>
      </c>
      <c r="CG459" s="152">
        <f>CD459-CE459-CF459</f>
        <v/>
      </c>
      <c r="CH459" s="152">
        <f>IF(CK458&lt;=0.005,0,CK458*(1+CH$6))</f>
        <v/>
      </c>
      <c r="CI459" s="152">
        <f>MIN(CH459,CH$7)</f>
        <v/>
      </c>
      <c r="CJ459" s="152">
        <f>MAX(0,MIN(CH459-CI459,CL459-(AZ459+BD459+BH459+BL459+BP459+BT459+BX459+CB459+CF459)))</f>
        <v/>
      </c>
      <c r="CK459" s="152">
        <f>CH459-CI459-CJ459</f>
        <v/>
      </c>
      <c r="CL459" s="152">
        <f>'Debt Payoff'!$C$8-SUM(AY459,BC459,BG459,BK459,BO459,BS459,BW459,CA459,CE459,CI459)</f>
        <v/>
      </c>
      <c r="CM459" s="152">
        <f>SUM(AY459,BC459,BG459,BK459,BO459,BS459,BW459,CA459,CE459,CI459)+SUM(AZ459,BD459,BH459,BL459,BP459,BT459,BX459,CB459,CF459,CJ459)</f>
        <v/>
      </c>
      <c r="CN459" s="152">
        <f>SUM(BA459,BE459,BI459,BM459,BQ459,BU459,BY459,CC459,CG459,CK459)</f>
        <v/>
      </c>
      <c r="CO459" s="152">
        <f>IF(AW459&gt;CN$6,NA(),AW459)</f>
        <v/>
      </c>
      <c r="CP459" s="152">
        <f>IF(AW459&gt;CN$6,NA(),CN459)</f>
        <v/>
      </c>
    </row>
    <row r="460">
      <c r="B460" s="152" t="n">
        <v>449</v>
      </c>
      <c r="C460" s="152">
        <f>IF(F459&lt;=0.005,0,F459*(1+C$6))</f>
        <v/>
      </c>
      <c r="D460" s="152">
        <f>MIN(C460,C$7)</f>
        <v/>
      </c>
      <c r="E460" s="152">
        <f>MAX(0,MIN(C460-D460,AQ460))</f>
        <v/>
      </c>
      <c r="F460" s="152">
        <f>C460-D460-E460</f>
        <v/>
      </c>
      <c r="G460" s="152">
        <f>IF(J459&lt;=0.005,0,J459*(1+G$6))</f>
        <v/>
      </c>
      <c r="H460" s="152">
        <f>MIN(G460,G$7)</f>
        <v/>
      </c>
      <c r="I460" s="152">
        <f>MAX(0,MIN(G460-H460,AQ460-(E460)))</f>
        <v/>
      </c>
      <c r="J460" s="152">
        <f>G460-H460-I460</f>
        <v/>
      </c>
      <c r="K460" s="152">
        <f>IF(N459&lt;=0.005,0,N459*(1+K$6))</f>
        <v/>
      </c>
      <c r="L460" s="152">
        <f>MIN(K460,K$7)</f>
        <v/>
      </c>
      <c r="M460" s="152">
        <f>MAX(0,MIN(K460-L460,AQ460-(E460+I460)))</f>
        <v/>
      </c>
      <c r="N460" s="152">
        <f>K460-L460-M460</f>
        <v/>
      </c>
      <c r="O460" s="152">
        <f>IF(R459&lt;=0.005,0,R459*(1+O$6))</f>
        <v/>
      </c>
      <c r="P460" s="152">
        <f>MIN(O460,O$7)</f>
        <v/>
      </c>
      <c r="Q460" s="152">
        <f>MAX(0,MIN(O460-P460,AQ460-(E460+I460+M460)))</f>
        <v/>
      </c>
      <c r="R460" s="152">
        <f>O460-P460-Q460</f>
        <v/>
      </c>
      <c r="S460" s="152">
        <f>IF(V459&lt;=0.005,0,V459*(1+S$6))</f>
        <v/>
      </c>
      <c r="T460" s="152">
        <f>MIN(S460,S$7)</f>
        <v/>
      </c>
      <c r="U460" s="152">
        <f>MAX(0,MIN(S460-T460,AQ460-(E460+I460+M460+Q460)))</f>
        <v/>
      </c>
      <c r="V460" s="152">
        <f>S460-T460-U460</f>
        <v/>
      </c>
      <c r="W460" s="152">
        <f>IF(Z459&lt;=0.005,0,Z459*(1+W$6))</f>
        <v/>
      </c>
      <c r="X460" s="152">
        <f>MIN(W460,W$7)</f>
        <v/>
      </c>
      <c r="Y460" s="152">
        <f>MAX(0,MIN(W460-X460,AQ460-(E460+I460+M460+Q460+U460)))</f>
        <v/>
      </c>
      <c r="Z460" s="152">
        <f>W460-X460-Y460</f>
        <v/>
      </c>
      <c r="AA460" s="152">
        <f>IF(AD459&lt;=0.005,0,AD459*(1+AA$6))</f>
        <v/>
      </c>
      <c r="AB460" s="152">
        <f>MIN(AA460,AA$7)</f>
        <v/>
      </c>
      <c r="AC460" s="152">
        <f>MAX(0,MIN(AA460-AB460,AQ460-(E460+I460+M460+Q460+U460+Y460)))</f>
        <v/>
      </c>
      <c r="AD460" s="152">
        <f>AA460-AB460-AC460</f>
        <v/>
      </c>
      <c r="AE460" s="152">
        <f>IF(AH459&lt;=0.005,0,AH459*(1+AE$6))</f>
        <v/>
      </c>
      <c r="AF460" s="152">
        <f>MIN(AE460,AE$7)</f>
        <v/>
      </c>
      <c r="AG460" s="152">
        <f>MAX(0,MIN(AE460-AF460,AQ460-(E460+I460+M460+Q460+U460+Y460+AC460)))</f>
        <v/>
      </c>
      <c r="AH460" s="152">
        <f>AE460-AF460-AG460</f>
        <v/>
      </c>
      <c r="AI460" s="152">
        <f>IF(AL459&lt;=0.005,0,AL459*(1+AI$6))</f>
        <v/>
      </c>
      <c r="AJ460" s="152">
        <f>MIN(AI460,AI$7)</f>
        <v/>
      </c>
      <c r="AK460" s="152">
        <f>MAX(0,MIN(AI460-AJ460,AQ460-(E460+I460+M460+Q460+U460+Y460+AC460+AG460)))</f>
        <v/>
      </c>
      <c r="AL460" s="152">
        <f>AI460-AJ460-AK460</f>
        <v/>
      </c>
      <c r="AM460" s="152">
        <f>IF(AP459&lt;=0.005,0,AP459*(1+AM$6))</f>
        <v/>
      </c>
      <c r="AN460" s="152">
        <f>MIN(AM460,AM$7)</f>
        <v/>
      </c>
      <c r="AO460" s="152">
        <f>MAX(0,MIN(AM460-AN460,AQ460-(E460+I460+M460+Q460+U460+Y460+AC460+AG460+AK460)))</f>
        <v/>
      </c>
      <c r="AP460" s="152">
        <f>AM460-AN460-AO460</f>
        <v/>
      </c>
      <c r="AQ460" s="152">
        <f>'Debt Payoff'!$C$8-SUM(D460,H460,L460,P460,T460,X460,AB460,AF460,AJ460,AN460)</f>
        <v/>
      </c>
      <c r="AR460" s="152">
        <f>SUM(D460,H460,L460,P460,T460,X460,AB460,AF460,AJ460,AN460)+SUM(E460,I460,M460,Q460,U460,Y460,AC460,AG460,AK460,AO460)</f>
        <v/>
      </c>
      <c r="AS460" s="152">
        <f>SUM(F460,J460,N460,R460,V460,Z460,AD460,AH460,AL460,AP460)</f>
        <v/>
      </c>
      <c r="AT460" s="152">
        <f>IF(B460&gt;AS$6,NA(),B460)</f>
        <v/>
      </c>
      <c r="AU460" s="152">
        <f>IF(B460&gt;AS$6,NA(),AS460)</f>
        <v/>
      </c>
      <c r="AV460" s="152" t="n"/>
      <c r="AW460" s="152" t="n">
        <v>449</v>
      </c>
      <c r="AX460" s="152">
        <f>IF(BA459&lt;=0.005,0,BA459*(1+AX$6))</f>
        <v/>
      </c>
      <c r="AY460" s="152">
        <f>MIN(AX460,AX$7)</f>
        <v/>
      </c>
      <c r="AZ460" s="152">
        <f>MAX(0,MIN(AX460-AY460,CL460))</f>
        <v/>
      </c>
      <c r="BA460" s="152">
        <f>AX460-AY460-AZ460</f>
        <v/>
      </c>
      <c r="BB460" s="152">
        <f>IF(BE459&lt;=0.005,0,BE459*(1+BB$6))</f>
        <v/>
      </c>
      <c r="BC460" s="152">
        <f>MIN(BB460,BB$7)</f>
        <v/>
      </c>
      <c r="BD460" s="152">
        <f>MAX(0,MIN(BB460-BC460,CL460-(AZ460)))</f>
        <v/>
      </c>
      <c r="BE460" s="152">
        <f>BB460-BC460-BD460</f>
        <v/>
      </c>
      <c r="BF460" s="152">
        <f>IF(BI459&lt;=0.005,0,BI459*(1+BF$6))</f>
        <v/>
      </c>
      <c r="BG460" s="152">
        <f>MIN(BF460,BF$7)</f>
        <v/>
      </c>
      <c r="BH460" s="152">
        <f>MAX(0,MIN(BF460-BG460,CL460-(AZ460+BD460)))</f>
        <v/>
      </c>
      <c r="BI460" s="152">
        <f>BF460-BG460-BH460</f>
        <v/>
      </c>
      <c r="BJ460" s="152">
        <f>IF(BM459&lt;=0.005,0,BM459*(1+BJ$6))</f>
        <v/>
      </c>
      <c r="BK460" s="152">
        <f>MIN(BJ460,BJ$7)</f>
        <v/>
      </c>
      <c r="BL460" s="152">
        <f>MAX(0,MIN(BJ460-BK460,CL460-(AZ460+BD460+BH460)))</f>
        <v/>
      </c>
      <c r="BM460" s="152">
        <f>BJ460-BK460-BL460</f>
        <v/>
      </c>
      <c r="BN460" s="152">
        <f>IF(BQ459&lt;=0.005,0,BQ459*(1+BN$6))</f>
        <v/>
      </c>
      <c r="BO460" s="152">
        <f>MIN(BN460,BN$7)</f>
        <v/>
      </c>
      <c r="BP460" s="152">
        <f>MAX(0,MIN(BN460-BO460,CL460-(AZ460+BD460+BH460+BL460)))</f>
        <v/>
      </c>
      <c r="BQ460" s="152">
        <f>BN460-BO460-BP460</f>
        <v/>
      </c>
      <c r="BR460" s="152">
        <f>IF(BU459&lt;=0.005,0,BU459*(1+BR$6))</f>
        <v/>
      </c>
      <c r="BS460" s="152">
        <f>MIN(BR460,BR$7)</f>
        <v/>
      </c>
      <c r="BT460" s="152">
        <f>MAX(0,MIN(BR460-BS460,CL460-(AZ460+BD460+BH460+BL460+BP460)))</f>
        <v/>
      </c>
      <c r="BU460" s="152">
        <f>BR460-BS460-BT460</f>
        <v/>
      </c>
      <c r="BV460" s="152">
        <f>IF(BY459&lt;=0.005,0,BY459*(1+BV$6))</f>
        <v/>
      </c>
      <c r="BW460" s="152">
        <f>MIN(BV460,BV$7)</f>
        <v/>
      </c>
      <c r="BX460" s="152">
        <f>MAX(0,MIN(BV460-BW460,CL460-(AZ460+BD460+BH460+BL460+BP460+BT460)))</f>
        <v/>
      </c>
      <c r="BY460" s="152">
        <f>BV460-BW460-BX460</f>
        <v/>
      </c>
      <c r="BZ460" s="152">
        <f>IF(CC459&lt;=0.005,0,CC459*(1+BZ$6))</f>
        <v/>
      </c>
      <c r="CA460" s="152">
        <f>MIN(BZ460,BZ$7)</f>
        <v/>
      </c>
      <c r="CB460" s="152">
        <f>MAX(0,MIN(BZ460-CA460,CL460-(AZ460+BD460+BH460+BL460+BP460+BT460+BX460)))</f>
        <v/>
      </c>
      <c r="CC460" s="152">
        <f>BZ460-CA460-CB460</f>
        <v/>
      </c>
      <c r="CD460" s="152">
        <f>IF(CG459&lt;=0.005,0,CG459*(1+CD$6))</f>
        <v/>
      </c>
      <c r="CE460" s="152">
        <f>MIN(CD460,CD$7)</f>
        <v/>
      </c>
      <c r="CF460" s="152">
        <f>MAX(0,MIN(CD460-CE460,CL460-(AZ460+BD460+BH460+BL460+BP460+BT460+BX460+CB460)))</f>
        <v/>
      </c>
      <c r="CG460" s="152">
        <f>CD460-CE460-CF460</f>
        <v/>
      </c>
      <c r="CH460" s="152">
        <f>IF(CK459&lt;=0.005,0,CK459*(1+CH$6))</f>
        <v/>
      </c>
      <c r="CI460" s="152">
        <f>MIN(CH460,CH$7)</f>
        <v/>
      </c>
      <c r="CJ460" s="152">
        <f>MAX(0,MIN(CH460-CI460,CL460-(AZ460+BD460+BH460+BL460+BP460+BT460+BX460+CB460+CF460)))</f>
        <v/>
      </c>
      <c r="CK460" s="152">
        <f>CH460-CI460-CJ460</f>
        <v/>
      </c>
      <c r="CL460" s="152">
        <f>'Debt Payoff'!$C$8-SUM(AY460,BC460,BG460,BK460,BO460,BS460,BW460,CA460,CE460,CI460)</f>
        <v/>
      </c>
      <c r="CM460" s="152">
        <f>SUM(AY460,BC460,BG460,BK460,BO460,BS460,BW460,CA460,CE460,CI460)+SUM(AZ460,BD460,BH460,BL460,BP460,BT460,BX460,CB460,CF460,CJ460)</f>
        <v/>
      </c>
      <c r="CN460" s="152">
        <f>SUM(BA460,BE460,BI460,BM460,BQ460,BU460,BY460,CC460,CG460,CK460)</f>
        <v/>
      </c>
      <c r="CO460" s="152">
        <f>IF(AW460&gt;CN$6,NA(),AW460)</f>
        <v/>
      </c>
      <c r="CP460" s="152">
        <f>IF(AW460&gt;CN$6,NA(),CN460)</f>
        <v/>
      </c>
    </row>
    <row r="461">
      <c r="B461" s="152" t="n">
        <v>450</v>
      </c>
      <c r="C461" s="152">
        <f>IF(F460&lt;=0.005,0,F460*(1+C$6))</f>
        <v/>
      </c>
      <c r="D461" s="152">
        <f>MIN(C461,C$7)</f>
        <v/>
      </c>
      <c r="E461" s="152">
        <f>MAX(0,MIN(C461-D461,AQ461))</f>
        <v/>
      </c>
      <c r="F461" s="152">
        <f>C461-D461-E461</f>
        <v/>
      </c>
      <c r="G461" s="152">
        <f>IF(J460&lt;=0.005,0,J460*(1+G$6))</f>
        <v/>
      </c>
      <c r="H461" s="152">
        <f>MIN(G461,G$7)</f>
        <v/>
      </c>
      <c r="I461" s="152">
        <f>MAX(0,MIN(G461-H461,AQ461-(E461)))</f>
        <v/>
      </c>
      <c r="J461" s="152">
        <f>G461-H461-I461</f>
        <v/>
      </c>
      <c r="K461" s="152">
        <f>IF(N460&lt;=0.005,0,N460*(1+K$6))</f>
        <v/>
      </c>
      <c r="L461" s="152">
        <f>MIN(K461,K$7)</f>
        <v/>
      </c>
      <c r="M461" s="152">
        <f>MAX(0,MIN(K461-L461,AQ461-(E461+I461)))</f>
        <v/>
      </c>
      <c r="N461" s="152">
        <f>K461-L461-M461</f>
        <v/>
      </c>
      <c r="O461" s="152">
        <f>IF(R460&lt;=0.005,0,R460*(1+O$6))</f>
        <v/>
      </c>
      <c r="P461" s="152">
        <f>MIN(O461,O$7)</f>
        <v/>
      </c>
      <c r="Q461" s="152">
        <f>MAX(0,MIN(O461-P461,AQ461-(E461+I461+M461)))</f>
        <v/>
      </c>
      <c r="R461" s="152">
        <f>O461-P461-Q461</f>
        <v/>
      </c>
      <c r="S461" s="152">
        <f>IF(V460&lt;=0.005,0,V460*(1+S$6))</f>
        <v/>
      </c>
      <c r="T461" s="152">
        <f>MIN(S461,S$7)</f>
        <v/>
      </c>
      <c r="U461" s="152">
        <f>MAX(0,MIN(S461-T461,AQ461-(E461+I461+M461+Q461)))</f>
        <v/>
      </c>
      <c r="V461" s="152">
        <f>S461-T461-U461</f>
        <v/>
      </c>
      <c r="W461" s="152">
        <f>IF(Z460&lt;=0.005,0,Z460*(1+W$6))</f>
        <v/>
      </c>
      <c r="X461" s="152">
        <f>MIN(W461,W$7)</f>
        <v/>
      </c>
      <c r="Y461" s="152">
        <f>MAX(0,MIN(W461-X461,AQ461-(E461+I461+M461+Q461+U461)))</f>
        <v/>
      </c>
      <c r="Z461" s="152">
        <f>W461-X461-Y461</f>
        <v/>
      </c>
      <c r="AA461" s="152">
        <f>IF(AD460&lt;=0.005,0,AD460*(1+AA$6))</f>
        <v/>
      </c>
      <c r="AB461" s="152">
        <f>MIN(AA461,AA$7)</f>
        <v/>
      </c>
      <c r="AC461" s="152">
        <f>MAX(0,MIN(AA461-AB461,AQ461-(E461+I461+M461+Q461+U461+Y461)))</f>
        <v/>
      </c>
      <c r="AD461" s="152">
        <f>AA461-AB461-AC461</f>
        <v/>
      </c>
      <c r="AE461" s="152">
        <f>IF(AH460&lt;=0.005,0,AH460*(1+AE$6))</f>
        <v/>
      </c>
      <c r="AF461" s="152">
        <f>MIN(AE461,AE$7)</f>
        <v/>
      </c>
      <c r="AG461" s="152">
        <f>MAX(0,MIN(AE461-AF461,AQ461-(E461+I461+M461+Q461+U461+Y461+AC461)))</f>
        <v/>
      </c>
      <c r="AH461" s="152">
        <f>AE461-AF461-AG461</f>
        <v/>
      </c>
      <c r="AI461" s="152">
        <f>IF(AL460&lt;=0.005,0,AL460*(1+AI$6))</f>
        <v/>
      </c>
      <c r="AJ461" s="152">
        <f>MIN(AI461,AI$7)</f>
        <v/>
      </c>
      <c r="AK461" s="152">
        <f>MAX(0,MIN(AI461-AJ461,AQ461-(E461+I461+M461+Q461+U461+Y461+AC461+AG461)))</f>
        <v/>
      </c>
      <c r="AL461" s="152">
        <f>AI461-AJ461-AK461</f>
        <v/>
      </c>
      <c r="AM461" s="152">
        <f>IF(AP460&lt;=0.005,0,AP460*(1+AM$6))</f>
        <v/>
      </c>
      <c r="AN461" s="152">
        <f>MIN(AM461,AM$7)</f>
        <v/>
      </c>
      <c r="AO461" s="152">
        <f>MAX(0,MIN(AM461-AN461,AQ461-(E461+I461+M461+Q461+U461+Y461+AC461+AG461+AK461)))</f>
        <v/>
      </c>
      <c r="AP461" s="152">
        <f>AM461-AN461-AO461</f>
        <v/>
      </c>
      <c r="AQ461" s="152">
        <f>'Debt Payoff'!$C$8-SUM(D461,H461,L461,P461,T461,X461,AB461,AF461,AJ461,AN461)</f>
        <v/>
      </c>
      <c r="AR461" s="152">
        <f>SUM(D461,H461,L461,P461,T461,X461,AB461,AF461,AJ461,AN461)+SUM(E461,I461,M461,Q461,U461,Y461,AC461,AG461,AK461,AO461)</f>
        <v/>
      </c>
      <c r="AS461" s="152">
        <f>SUM(F461,J461,N461,R461,V461,Z461,AD461,AH461,AL461,AP461)</f>
        <v/>
      </c>
      <c r="AT461" s="152">
        <f>IF(B461&gt;AS$6,NA(),B461)</f>
        <v/>
      </c>
      <c r="AU461" s="152">
        <f>IF(B461&gt;AS$6,NA(),AS461)</f>
        <v/>
      </c>
      <c r="AV461" s="152" t="n"/>
      <c r="AW461" s="152" t="n">
        <v>450</v>
      </c>
      <c r="AX461" s="152">
        <f>IF(BA460&lt;=0.005,0,BA460*(1+AX$6))</f>
        <v/>
      </c>
      <c r="AY461" s="152">
        <f>MIN(AX461,AX$7)</f>
        <v/>
      </c>
      <c r="AZ461" s="152">
        <f>MAX(0,MIN(AX461-AY461,CL461))</f>
        <v/>
      </c>
      <c r="BA461" s="152">
        <f>AX461-AY461-AZ461</f>
        <v/>
      </c>
      <c r="BB461" s="152">
        <f>IF(BE460&lt;=0.005,0,BE460*(1+BB$6))</f>
        <v/>
      </c>
      <c r="BC461" s="152">
        <f>MIN(BB461,BB$7)</f>
        <v/>
      </c>
      <c r="BD461" s="152">
        <f>MAX(0,MIN(BB461-BC461,CL461-(AZ461)))</f>
        <v/>
      </c>
      <c r="BE461" s="152">
        <f>BB461-BC461-BD461</f>
        <v/>
      </c>
      <c r="BF461" s="152">
        <f>IF(BI460&lt;=0.005,0,BI460*(1+BF$6))</f>
        <v/>
      </c>
      <c r="BG461" s="152">
        <f>MIN(BF461,BF$7)</f>
        <v/>
      </c>
      <c r="BH461" s="152">
        <f>MAX(0,MIN(BF461-BG461,CL461-(AZ461+BD461)))</f>
        <v/>
      </c>
      <c r="BI461" s="152">
        <f>BF461-BG461-BH461</f>
        <v/>
      </c>
      <c r="BJ461" s="152">
        <f>IF(BM460&lt;=0.005,0,BM460*(1+BJ$6))</f>
        <v/>
      </c>
      <c r="BK461" s="152">
        <f>MIN(BJ461,BJ$7)</f>
        <v/>
      </c>
      <c r="BL461" s="152">
        <f>MAX(0,MIN(BJ461-BK461,CL461-(AZ461+BD461+BH461)))</f>
        <v/>
      </c>
      <c r="BM461" s="152">
        <f>BJ461-BK461-BL461</f>
        <v/>
      </c>
      <c r="BN461" s="152">
        <f>IF(BQ460&lt;=0.005,0,BQ460*(1+BN$6))</f>
        <v/>
      </c>
      <c r="BO461" s="152">
        <f>MIN(BN461,BN$7)</f>
        <v/>
      </c>
      <c r="BP461" s="152">
        <f>MAX(0,MIN(BN461-BO461,CL461-(AZ461+BD461+BH461+BL461)))</f>
        <v/>
      </c>
      <c r="BQ461" s="152">
        <f>BN461-BO461-BP461</f>
        <v/>
      </c>
      <c r="BR461" s="152">
        <f>IF(BU460&lt;=0.005,0,BU460*(1+BR$6))</f>
        <v/>
      </c>
      <c r="BS461" s="152">
        <f>MIN(BR461,BR$7)</f>
        <v/>
      </c>
      <c r="BT461" s="152">
        <f>MAX(0,MIN(BR461-BS461,CL461-(AZ461+BD461+BH461+BL461+BP461)))</f>
        <v/>
      </c>
      <c r="BU461" s="152">
        <f>BR461-BS461-BT461</f>
        <v/>
      </c>
      <c r="BV461" s="152">
        <f>IF(BY460&lt;=0.005,0,BY460*(1+BV$6))</f>
        <v/>
      </c>
      <c r="BW461" s="152">
        <f>MIN(BV461,BV$7)</f>
        <v/>
      </c>
      <c r="BX461" s="152">
        <f>MAX(0,MIN(BV461-BW461,CL461-(AZ461+BD461+BH461+BL461+BP461+BT461)))</f>
        <v/>
      </c>
      <c r="BY461" s="152">
        <f>BV461-BW461-BX461</f>
        <v/>
      </c>
      <c r="BZ461" s="152">
        <f>IF(CC460&lt;=0.005,0,CC460*(1+BZ$6))</f>
        <v/>
      </c>
      <c r="CA461" s="152">
        <f>MIN(BZ461,BZ$7)</f>
        <v/>
      </c>
      <c r="CB461" s="152">
        <f>MAX(0,MIN(BZ461-CA461,CL461-(AZ461+BD461+BH461+BL461+BP461+BT461+BX461)))</f>
        <v/>
      </c>
      <c r="CC461" s="152">
        <f>BZ461-CA461-CB461</f>
        <v/>
      </c>
      <c r="CD461" s="152">
        <f>IF(CG460&lt;=0.005,0,CG460*(1+CD$6))</f>
        <v/>
      </c>
      <c r="CE461" s="152">
        <f>MIN(CD461,CD$7)</f>
        <v/>
      </c>
      <c r="CF461" s="152">
        <f>MAX(0,MIN(CD461-CE461,CL461-(AZ461+BD461+BH461+BL461+BP461+BT461+BX461+CB461)))</f>
        <v/>
      </c>
      <c r="CG461" s="152">
        <f>CD461-CE461-CF461</f>
        <v/>
      </c>
      <c r="CH461" s="152">
        <f>IF(CK460&lt;=0.005,0,CK460*(1+CH$6))</f>
        <v/>
      </c>
      <c r="CI461" s="152">
        <f>MIN(CH461,CH$7)</f>
        <v/>
      </c>
      <c r="CJ461" s="152">
        <f>MAX(0,MIN(CH461-CI461,CL461-(AZ461+BD461+BH461+BL461+BP461+BT461+BX461+CB461+CF461)))</f>
        <v/>
      </c>
      <c r="CK461" s="152">
        <f>CH461-CI461-CJ461</f>
        <v/>
      </c>
      <c r="CL461" s="152">
        <f>'Debt Payoff'!$C$8-SUM(AY461,BC461,BG461,BK461,BO461,BS461,BW461,CA461,CE461,CI461)</f>
        <v/>
      </c>
      <c r="CM461" s="152">
        <f>SUM(AY461,BC461,BG461,BK461,BO461,BS461,BW461,CA461,CE461,CI461)+SUM(AZ461,BD461,BH461,BL461,BP461,BT461,BX461,CB461,CF461,CJ461)</f>
        <v/>
      </c>
      <c r="CN461" s="152">
        <f>SUM(BA461,BE461,BI461,BM461,BQ461,BU461,BY461,CC461,CG461,CK461)</f>
        <v/>
      </c>
      <c r="CO461" s="152">
        <f>IF(AW461&gt;CN$6,NA(),AW461)</f>
        <v/>
      </c>
      <c r="CP461" s="152">
        <f>IF(AW461&gt;CN$6,NA(),CN461)</f>
        <v/>
      </c>
    </row>
    <row r="462">
      <c r="B462" s="152" t="n">
        <v>451</v>
      </c>
      <c r="C462" s="152">
        <f>IF(F461&lt;=0.005,0,F461*(1+C$6))</f>
        <v/>
      </c>
      <c r="D462" s="152">
        <f>MIN(C462,C$7)</f>
        <v/>
      </c>
      <c r="E462" s="152">
        <f>MAX(0,MIN(C462-D462,AQ462))</f>
        <v/>
      </c>
      <c r="F462" s="152">
        <f>C462-D462-E462</f>
        <v/>
      </c>
      <c r="G462" s="152">
        <f>IF(J461&lt;=0.005,0,J461*(1+G$6))</f>
        <v/>
      </c>
      <c r="H462" s="152">
        <f>MIN(G462,G$7)</f>
        <v/>
      </c>
      <c r="I462" s="152">
        <f>MAX(0,MIN(G462-H462,AQ462-(E462)))</f>
        <v/>
      </c>
      <c r="J462" s="152">
        <f>G462-H462-I462</f>
        <v/>
      </c>
      <c r="K462" s="152">
        <f>IF(N461&lt;=0.005,0,N461*(1+K$6))</f>
        <v/>
      </c>
      <c r="L462" s="152">
        <f>MIN(K462,K$7)</f>
        <v/>
      </c>
      <c r="M462" s="152">
        <f>MAX(0,MIN(K462-L462,AQ462-(E462+I462)))</f>
        <v/>
      </c>
      <c r="N462" s="152">
        <f>K462-L462-M462</f>
        <v/>
      </c>
      <c r="O462" s="152">
        <f>IF(R461&lt;=0.005,0,R461*(1+O$6))</f>
        <v/>
      </c>
      <c r="P462" s="152">
        <f>MIN(O462,O$7)</f>
        <v/>
      </c>
      <c r="Q462" s="152">
        <f>MAX(0,MIN(O462-P462,AQ462-(E462+I462+M462)))</f>
        <v/>
      </c>
      <c r="R462" s="152">
        <f>O462-P462-Q462</f>
        <v/>
      </c>
      <c r="S462" s="152">
        <f>IF(V461&lt;=0.005,0,V461*(1+S$6))</f>
        <v/>
      </c>
      <c r="T462" s="152">
        <f>MIN(S462,S$7)</f>
        <v/>
      </c>
      <c r="U462" s="152">
        <f>MAX(0,MIN(S462-T462,AQ462-(E462+I462+M462+Q462)))</f>
        <v/>
      </c>
      <c r="V462" s="152">
        <f>S462-T462-U462</f>
        <v/>
      </c>
      <c r="W462" s="152">
        <f>IF(Z461&lt;=0.005,0,Z461*(1+W$6))</f>
        <v/>
      </c>
      <c r="X462" s="152">
        <f>MIN(W462,W$7)</f>
        <v/>
      </c>
      <c r="Y462" s="152">
        <f>MAX(0,MIN(W462-X462,AQ462-(E462+I462+M462+Q462+U462)))</f>
        <v/>
      </c>
      <c r="Z462" s="152">
        <f>W462-X462-Y462</f>
        <v/>
      </c>
      <c r="AA462" s="152">
        <f>IF(AD461&lt;=0.005,0,AD461*(1+AA$6))</f>
        <v/>
      </c>
      <c r="AB462" s="152">
        <f>MIN(AA462,AA$7)</f>
        <v/>
      </c>
      <c r="AC462" s="152">
        <f>MAX(0,MIN(AA462-AB462,AQ462-(E462+I462+M462+Q462+U462+Y462)))</f>
        <v/>
      </c>
      <c r="AD462" s="152">
        <f>AA462-AB462-AC462</f>
        <v/>
      </c>
      <c r="AE462" s="152">
        <f>IF(AH461&lt;=0.005,0,AH461*(1+AE$6))</f>
        <v/>
      </c>
      <c r="AF462" s="152">
        <f>MIN(AE462,AE$7)</f>
        <v/>
      </c>
      <c r="AG462" s="152">
        <f>MAX(0,MIN(AE462-AF462,AQ462-(E462+I462+M462+Q462+U462+Y462+AC462)))</f>
        <v/>
      </c>
      <c r="AH462" s="152">
        <f>AE462-AF462-AG462</f>
        <v/>
      </c>
      <c r="AI462" s="152">
        <f>IF(AL461&lt;=0.005,0,AL461*(1+AI$6))</f>
        <v/>
      </c>
      <c r="AJ462" s="152">
        <f>MIN(AI462,AI$7)</f>
        <v/>
      </c>
      <c r="AK462" s="152">
        <f>MAX(0,MIN(AI462-AJ462,AQ462-(E462+I462+M462+Q462+U462+Y462+AC462+AG462)))</f>
        <v/>
      </c>
      <c r="AL462" s="152">
        <f>AI462-AJ462-AK462</f>
        <v/>
      </c>
      <c r="AM462" s="152">
        <f>IF(AP461&lt;=0.005,0,AP461*(1+AM$6))</f>
        <v/>
      </c>
      <c r="AN462" s="152">
        <f>MIN(AM462,AM$7)</f>
        <v/>
      </c>
      <c r="AO462" s="152">
        <f>MAX(0,MIN(AM462-AN462,AQ462-(E462+I462+M462+Q462+U462+Y462+AC462+AG462+AK462)))</f>
        <v/>
      </c>
      <c r="AP462" s="152">
        <f>AM462-AN462-AO462</f>
        <v/>
      </c>
      <c r="AQ462" s="152">
        <f>'Debt Payoff'!$C$8-SUM(D462,H462,L462,P462,T462,X462,AB462,AF462,AJ462,AN462)</f>
        <v/>
      </c>
      <c r="AR462" s="152">
        <f>SUM(D462,H462,L462,P462,T462,X462,AB462,AF462,AJ462,AN462)+SUM(E462,I462,M462,Q462,U462,Y462,AC462,AG462,AK462,AO462)</f>
        <v/>
      </c>
      <c r="AS462" s="152">
        <f>SUM(F462,J462,N462,R462,V462,Z462,AD462,AH462,AL462,AP462)</f>
        <v/>
      </c>
      <c r="AT462" s="152">
        <f>IF(B462&gt;AS$6,NA(),B462)</f>
        <v/>
      </c>
      <c r="AU462" s="152">
        <f>IF(B462&gt;AS$6,NA(),AS462)</f>
        <v/>
      </c>
      <c r="AV462" s="152" t="n"/>
      <c r="AW462" s="152" t="n">
        <v>451</v>
      </c>
      <c r="AX462" s="152">
        <f>IF(BA461&lt;=0.005,0,BA461*(1+AX$6))</f>
        <v/>
      </c>
      <c r="AY462" s="152">
        <f>MIN(AX462,AX$7)</f>
        <v/>
      </c>
      <c r="AZ462" s="152">
        <f>MAX(0,MIN(AX462-AY462,CL462))</f>
        <v/>
      </c>
      <c r="BA462" s="152">
        <f>AX462-AY462-AZ462</f>
        <v/>
      </c>
      <c r="BB462" s="152">
        <f>IF(BE461&lt;=0.005,0,BE461*(1+BB$6))</f>
        <v/>
      </c>
      <c r="BC462" s="152">
        <f>MIN(BB462,BB$7)</f>
        <v/>
      </c>
      <c r="BD462" s="152">
        <f>MAX(0,MIN(BB462-BC462,CL462-(AZ462)))</f>
        <v/>
      </c>
      <c r="BE462" s="152">
        <f>BB462-BC462-BD462</f>
        <v/>
      </c>
      <c r="BF462" s="152">
        <f>IF(BI461&lt;=0.005,0,BI461*(1+BF$6))</f>
        <v/>
      </c>
      <c r="BG462" s="152">
        <f>MIN(BF462,BF$7)</f>
        <v/>
      </c>
      <c r="BH462" s="152">
        <f>MAX(0,MIN(BF462-BG462,CL462-(AZ462+BD462)))</f>
        <v/>
      </c>
      <c r="BI462" s="152">
        <f>BF462-BG462-BH462</f>
        <v/>
      </c>
      <c r="BJ462" s="152">
        <f>IF(BM461&lt;=0.005,0,BM461*(1+BJ$6))</f>
        <v/>
      </c>
      <c r="BK462" s="152">
        <f>MIN(BJ462,BJ$7)</f>
        <v/>
      </c>
      <c r="BL462" s="152">
        <f>MAX(0,MIN(BJ462-BK462,CL462-(AZ462+BD462+BH462)))</f>
        <v/>
      </c>
      <c r="BM462" s="152">
        <f>BJ462-BK462-BL462</f>
        <v/>
      </c>
      <c r="BN462" s="152">
        <f>IF(BQ461&lt;=0.005,0,BQ461*(1+BN$6))</f>
        <v/>
      </c>
      <c r="BO462" s="152">
        <f>MIN(BN462,BN$7)</f>
        <v/>
      </c>
      <c r="BP462" s="152">
        <f>MAX(0,MIN(BN462-BO462,CL462-(AZ462+BD462+BH462+BL462)))</f>
        <v/>
      </c>
      <c r="BQ462" s="152">
        <f>BN462-BO462-BP462</f>
        <v/>
      </c>
      <c r="BR462" s="152">
        <f>IF(BU461&lt;=0.005,0,BU461*(1+BR$6))</f>
        <v/>
      </c>
      <c r="BS462" s="152">
        <f>MIN(BR462,BR$7)</f>
        <v/>
      </c>
      <c r="BT462" s="152">
        <f>MAX(0,MIN(BR462-BS462,CL462-(AZ462+BD462+BH462+BL462+BP462)))</f>
        <v/>
      </c>
      <c r="BU462" s="152">
        <f>BR462-BS462-BT462</f>
        <v/>
      </c>
      <c r="BV462" s="152">
        <f>IF(BY461&lt;=0.005,0,BY461*(1+BV$6))</f>
        <v/>
      </c>
      <c r="BW462" s="152">
        <f>MIN(BV462,BV$7)</f>
        <v/>
      </c>
      <c r="BX462" s="152">
        <f>MAX(0,MIN(BV462-BW462,CL462-(AZ462+BD462+BH462+BL462+BP462+BT462)))</f>
        <v/>
      </c>
      <c r="BY462" s="152">
        <f>BV462-BW462-BX462</f>
        <v/>
      </c>
      <c r="BZ462" s="152">
        <f>IF(CC461&lt;=0.005,0,CC461*(1+BZ$6))</f>
        <v/>
      </c>
      <c r="CA462" s="152">
        <f>MIN(BZ462,BZ$7)</f>
        <v/>
      </c>
      <c r="CB462" s="152">
        <f>MAX(0,MIN(BZ462-CA462,CL462-(AZ462+BD462+BH462+BL462+BP462+BT462+BX462)))</f>
        <v/>
      </c>
      <c r="CC462" s="152">
        <f>BZ462-CA462-CB462</f>
        <v/>
      </c>
      <c r="CD462" s="152">
        <f>IF(CG461&lt;=0.005,0,CG461*(1+CD$6))</f>
        <v/>
      </c>
      <c r="CE462" s="152">
        <f>MIN(CD462,CD$7)</f>
        <v/>
      </c>
      <c r="CF462" s="152">
        <f>MAX(0,MIN(CD462-CE462,CL462-(AZ462+BD462+BH462+BL462+BP462+BT462+BX462+CB462)))</f>
        <v/>
      </c>
      <c r="CG462" s="152">
        <f>CD462-CE462-CF462</f>
        <v/>
      </c>
      <c r="CH462" s="152">
        <f>IF(CK461&lt;=0.005,0,CK461*(1+CH$6))</f>
        <v/>
      </c>
      <c r="CI462" s="152">
        <f>MIN(CH462,CH$7)</f>
        <v/>
      </c>
      <c r="CJ462" s="152">
        <f>MAX(0,MIN(CH462-CI462,CL462-(AZ462+BD462+BH462+BL462+BP462+BT462+BX462+CB462+CF462)))</f>
        <v/>
      </c>
      <c r="CK462" s="152">
        <f>CH462-CI462-CJ462</f>
        <v/>
      </c>
      <c r="CL462" s="152">
        <f>'Debt Payoff'!$C$8-SUM(AY462,BC462,BG462,BK462,BO462,BS462,BW462,CA462,CE462,CI462)</f>
        <v/>
      </c>
      <c r="CM462" s="152">
        <f>SUM(AY462,BC462,BG462,BK462,BO462,BS462,BW462,CA462,CE462,CI462)+SUM(AZ462,BD462,BH462,BL462,BP462,BT462,BX462,CB462,CF462,CJ462)</f>
        <v/>
      </c>
      <c r="CN462" s="152">
        <f>SUM(BA462,BE462,BI462,BM462,BQ462,BU462,BY462,CC462,CG462,CK462)</f>
        <v/>
      </c>
      <c r="CO462" s="152">
        <f>IF(AW462&gt;CN$6,NA(),AW462)</f>
        <v/>
      </c>
      <c r="CP462" s="152">
        <f>IF(AW462&gt;CN$6,NA(),CN462)</f>
        <v/>
      </c>
    </row>
    <row r="463">
      <c r="B463" s="152" t="n">
        <v>452</v>
      </c>
      <c r="C463" s="152">
        <f>IF(F462&lt;=0.005,0,F462*(1+C$6))</f>
        <v/>
      </c>
      <c r="D463" s="152">
        <f>MIN(C463,C$7)</f>
        <v/>
      </c>
      <c r="E463" s="152">
        <f>MAX(0,MIN(C463-D463,AQ463))</f>
        <v/>
      </c>
      <c r="F463" s="152">
        <f>C463-D463-E463</f>
        <v/>
      </c>
      <c r="G463" s="152">
        <f>IF(J462&lt;=0.005,0,J462*(1+G$6))</f>
        <v/>
      </c>
      <c r="H463" s="152">
        <f>MIN(G463,G$7)</f>
        <v/>
      </c>
      <c r="I463" s="152">
        <f>MAX(0,MIN(G463-H463,AQ463-(E463)))</f>
        <v/>
      </c>
      <c r="J463" s="152">
        <f>G463-H463-I463</f>
        <v/>
      </c>
      <c r="K463" s="152">
        <f>IF(N462&lt;=0.005,0,N462*(1+K$6))</f>
        <v/>
      </c>
      <c r="L463" s="152">
        <f>MIN(K463,K$7)</f>
        <v/>
      </c>
      <c r="M463" s="152">
        <f>MAX(0,MIN(K463-L463,AQ463-(E463+I463)))</f>
        <v/>
      </c>
      <c r="N463" s="152">
        <f>K463-L463-M463</f>
        <v/>
      </c>
      <c r="O463" s="152">
        <f>IF(R462&lt;=0.005,0,R462*(1+O$6))</f>
        <v/>
      </c>
      <c r="P463" s="152">
        <f>MIN(O463,O$7)</f>
        <v/>
      </c>
      <c r="Q463" s="152">
        <f>MAX(0,MIN(O463-P463,AQ463-(E463+I463+M463)))</f>
        <v/>
      </c>
      <c r="R463" s="152">
        <f>O463-P463-Q463</f>
        <v/>
      </c>
      <c r="S463" s="152">
        <f>IF(V462&lt;=0.005,0,V462*(1+S$6))</f>
        <v/>
      </c>
      <c r="T463" s="152">
        <f>MIN(S463,S$7)</f>
        <v/>
      </c>
      <c r="U463" s="152">
        <f>MAX(0,MIN(S463-T463,AQ463-(E463+I463+M463+Q463)))</f>
        <v/>
      </c>
      <c r="V463" s="152">
        <f>S463-T463-U463</f>
        <v/>
      </c>
      <c r="W463" s="152">
        <f>IF(Z462&lt;=0.005,0,Z462*(1+W$6))</f>
        <v/>
      </c>
      <c r="X463" s="152">
        <f>MIN(W463,W$7)</f>
        <v/>
      </c>
      <c r="Y463" s="152">
        <f>MAX(0,MIN(W463-X463,AQ463-(E463+I463+M463+Q463+U463)))</f>
        <v/>
      </c>
      <c r="Z463" s="152">
        <f>W463-X463-Y463</f>
        <v/>
      </c>
      <c r="AA463" s="152">
        <f>IF(AD462&lt;=0.005,0,AD462*(1+AA$6))</f>
        <v/>
      </c>
      <c r="AB463" s="152">
        <f>MIN(AA463,AA$7)</f>
        <v/>
      </c>
      <c r="AC463" s="152">
        <f>MAX(0,MIN(AA463-AB463,AQ463-(E463+I463+M463+Q463+U463+Y463)))</f>
        <v/>
      </c>
      <c r="AD463" s="152">
        <f>AA463-AB463-AC463</f>
        <v/>
      </c>
      <c r="AE463" s="152">
        <f>IF(AH462&lt;=0.005,0,AH462*(1+AE$6))</f>
        <v/>
      </c>
      <c r="AF463" s="152">
        <f>MIN(AE463,AE$7)</f>
        <v/>
      </c>
      <c r="AG463" s="152">
        <f>MAX(0,MIN(AE463-AF463,AQ463-(E463+I463+M463+Q463+U463+Y463+AC463)))</f>
        <v/>
      </c>
      <c r="AH463" s="152">
        <f>AE463-AF463-AG463</f>
        <v/>
      </c>
      <c r="AI463" s="152">
        <f>IF(AL462&lt;=0.005,0,AL462*(1+AI$6))</f>
        <v/>
      </c>
      <c r="AJ463" s="152">
        <f>MIN(AI463,AI$7)</f>
        <v/>
      </c>
      <c r="AK463" s="152">
        <f>MAX(0,MIN(AI463-AJ463,AQ463-(E463+I463+M463+Q463+U463+Y463+AC463+AG463)))</f>
        <v/>
      </c>
      <c r="AL463" s="152">
        <f>AI463-AJ463-AK463</f>
        <v/>
      </c>
      <c r="AM463" s="152">
        <f>IF(AP462&lt;=0.005,0,AP462*(1+AM$6))</f>
        <v/>
      </c>
      <c r="AN463" s="152">
        <f>MIN(AM463,AM$7)</f>
        <v/>
      </c>
      <c r="AO463" s="152">
        <f>MAX(0,MIN(AM463-AN463,AQ463-(E463+I463+M463+Q463+U463+Y463+AC463+AG463+AK463)))</f>
        <v/>
      </c>
      <c r="AP463" s="152">
        <f>AM463-AN463-AO463</f>
        <v/>
      </c>
      <c r="AQ463" s="152">
        <f>'Debt Payoff'!$C$8-SUM(D463,H463,L463,P463,T463,X463,AB463,AF463,AJ463,AN463)</f>
        <v/>
      </c>
      <c r="AR463" s="152">
        <f>SUM(D463,H463,L463,P463,T463,X463,AB463,AF463,AJ463,AN463)+SUM(E463,I463,M463,Q463,U463,Y463,AC463,AG463,AK463,AO463)</f>
        <v/>
      </c>
      <c r="AS463" s="152">
        <f>SUM(F463,J463,N463,R463,V463,Z463,AD463,AH463,AL463,AP463)</f>
        <v/>
      </c>
      <c r="AT463" s="152">
        <f>IF(B463&gt;AS$6,NA(),B463)</f>
        <v/>
      </c>
      <c r="AU463" s="152">
        <f>IF(B463&gt;AS$6,NA(),AS463)</f>
        <v/>
      </c>
      <c r="AV463" s="152" t="n"/>
      <c r="AW463" s="152" t="n">
        <v>452</v>
      </c>
      <c r="AX463" s="152">
        <f>IF(BA462&lt;=0.005,0,BA462*(1+AX$6))</f>
        <v/>
      </c>
      <c r="AY463" s="152">
        <f>MIN(AX463,AX$7)</f>
        <v/>
      </c>
      <c r="AZ463" s="152">
        <f>MAX(0,MIN(AX463-AY463,CL463))</f>
        <v/>
      </c>
      <c r="BA463" s="152">
        <f>AX463-AY463-AZ463</f>
        <v/>
      </c>
      <c r="BB463" s="152">
        <f>IF(BE462&lt;=0.005,0,BE462*(1+BB$6))</f>
        <v/>
      </c>
      <c r="BC463" s="152">
        <f>MIN(BB463,BB$7)</f>
        <v/>
      </c>
      <c r="BD463" s="152">
        <f>MAX(0,MIN(BB463-BC463,CL463-(AZ463)))</f>
        <v/>
      </c>
      <c r="BE463" s="152">
        <f>BB463-BC463-BD463</f>
        <v/>
      </c>
      <c r="BF463" s="152">
        <f>IF(BI462&lt;=0.005,0,BI462*(1+BF$6))</f>
        <v/>
      </c>
      <c r="BG463" s="152">
        <f>MIN(BF463,BF$7)</f>
        <v/>
      </c>
      <c r="BH463" s="152">
        <f>MAX(0,MIN(BF463-BG463,CL463-(AZ463+BD463)))</f>
        <v/>
      </c>
      <c r="BI463" s="152">
        <f>BF463-BG463-BH463</f>
        <v/>
      </c>
      <c r="BJ463" s="152">
        <f>IF(BM462&lt;=0.005,0,BM462*(1+BJ$6))</f>
        <v/>
      </c>
      <c r="BK463" s="152">
        <f>MIN(BJ463,BJ$7)</f>
        <v/>
      </c>
      <c r="BL463" s="152">
        <f>MAX(0,MIN(BJ463-BK463,CL463-(AZ463+BD463+BH463)))</f>
        <v/>
      </c>
      <c r="BM463" s="152">
        <f>BJ463-BK463-BL463</f>
        <v/>
      </c>
      <c r="BN463" s="152">
        <f>IF(BQ462&lt;=0.005,0,BQ462*(1+BN$6))</f>
        <v/>
      </c>
      <c r="BO463" s="152">
        <f>MIN(BN463,BN$7)</f>
        <v/>
      </c>
      <c r="BP463" s="152">
        <f>MAX(0,MIN(BN463-BO463,CL463-(AZ463+BD463+BH463+BL463)))</f>
        <v/>
      </c>
      <c r="BQ463" s="152">
        <f>BN463-BO463-BP463</f>
        <v/>
      </c>
      <c r="BR463" s="152">
        <f>IF(BU462&lt;=0.005,0,BU462*(1+BR$6))</f>
        <v/>
      </c>
      <c r="BS463" s="152">
        <f>MIN(BR463,BR$7)</f>
        <v/>
      </c>
      <c r="BT463" s="152">
        <f>MAX(0,MIN(BR463-BS463,CL463-(AZ463+BD463+BH463+BL463+BP463)))</f>
        <v/>
      </c>
      <c r="BU463" s="152">
        <f>BR463-BS463-BT463</f>
        <v/>
      </c>
      <c r="BV463" s="152">
        <f>IF(BY462&lt;=0.005,0,BY462*(1+BV$6))</f>
        <v/>
      </c>
      <c r="BW463" s="152">
        <f>MIN(BV463,BV$7)</f>
        <v/>
      </c>
      <c r="BX463" s="152">
        <f>MAX(0,MIN(BV463-BW463,CL463-(AZ463+BD463+BH463+BL463+BP463+BT463)))</f>
        <v/>
      </c>
      <c r="BY463" s="152">
        <f>BV463-BW463-BX463</f>
        <v/>
      </c>
      <c r="BZ463" s="152">
        <f>IF(CC462&lt;=0.005,0,CC462*(1+BZ$6))</f>
        <v/>
      </c>
      <c r="CA463" s="152">
        <f>MIN(BZ463,BZ$7)</f>
        <v/>
      </c>
      <c r="CB463" s="152">
        <f>MAX(0,MIN(BZ463-CA463,CL463-(AZ463+BD463+BH463+BL463+BP463+BT463+BX463)))</f>
        <v/>
      </c>
      <c r="CC463" s="152">
        <f>BZ463-CA463-CB463</f>
        <v/>
      </c>
      <c r="CD463" s="152">
        <f>IF(CG462&lt;=0.005,0,CG462*(1+CD$6))</f>
        <v/>
      </c>
      <c r="CE463" s="152">
        <f>MIN(CD463,CD$7)</f>
        <v/>
      </c>
      <c r="CF463" s="152">
        <f>MAX(0,MIN(CD463-CE463,CL463-(AZ463+BD463+BH463+BL463+BP463+BT463+BX463+CB463)))</f>
        <v/>
      </c>
      <c r="CG463" s="152">
        <f>CD463-CE463-CF463</f>
        <v/>
      </c>
      <c r="CH463" s="152">
        <f>IF(CK462&lt;=0.005,0,CK462*(1+CH$6))</f>
        <v/>
      </c>
      <c r="CI463" s="152">
        <f>MIN(CH463,CH$7)</f>
        <v/>
      </c>
      <c r="CJ463" s="152">
        <f>MAX(0,MIN(CH463-CI463,CL463-(AZ463+BD463+BH463+BL463+BP463+BT463+BX463+CB463+CF463)))</f>
        <v/>
      </c>
      <c r="CK463" s="152">
        <f>CH463-CI463-CJ463</f>
        <v/>
      </c>
      <c r="CL463" s="152">
        <f>'Debt Payoff'!$C$8-SUM(AY463,BC463,BG463,BK463,BO463,BS463,BW463,CA463,CE463,CI463)</f>
        <v/>
      </c>
      <c r="CM463" s="152">
        <f>SUM(AY463,BC463,BG463,BK463,BO463,BS463,BW463,CA463,CE463,CI463)+SUM(AZ463,BD463,BH463,BL463,BP463,BT463,BX463,CB463,CF463,CJ463)</f>
        <v/>
      </c>
      <c r="CN463" s="152">
        <f>SUM(BA463,BE463,BI463,BM463,BQ463,BU463,BY463,CC463,CG463,CK463)</f>
        <v/>
      </c>
      <c r="CO463" s="152">
        <f>IF(AW463&gt;CN$6,NA(),AW463)</f>
        <v/>
      </c>
      <c r="CP463" s="152">
        <f>IF(AW463&gt;CN$6,NA(),CN463)</f>
        <v/>
      </c>
    </row>
    <row r="464">
      <c r="B464" s="152" t="n">
        <v>453</v>
      </c>
      <c r="C464" s="152">
        <f>IF(F463&lt;=0.005,0,F463*(1+C$6))</f>
        <v/>
      </c>
      <c r="D464" s="152">
        <f>MIN(C464,C$7)</f>
        <v/>
      </c>
      <c r="E464" s="152">
        <f>MAX(0,MIN(C464-D464,AQ464))</f>
        <v/>
      </c>
      <c r="F464" s="152">
        <f>C464-D464-E464</f>
        <v/>
      </c>
      <c r="G464" s="152">
        <f>IF(J463&lt;=0.005,0,J463*(1+G$6))</f>
        <v/>
      </c>
      <c r="H464" s="152">
        <f>MIN(G464,G$7)</f>
        <v/>
      </c>
      <c r="I464" s="152">
        <f>MAX(0,MIN(G464-H464,AQ464-(E464)))</f>
        <v/>
      </c>
      <c r="J464" s="152">
        <f>G464-H464-I464</f>
        <v/>
      </c>
      <c r="K464" s="152">
        <f>IF(N463&lt;=0.005,0,N463*(1+K$6))</f>
        <v/>
      </c>
      <c r="L464" s="152">
        <f>MIN(K464,K$7)</f>
        <v/>
      </c>
      <c r="M464" s="152">
        <f>MAX(0,MIN(K464-L464,AQ464-(E464+I464)))</f>
        <v/>
      </c>
      <c r="N464" s="152">
        <f>K464-L464-M464</f>
        <v/>
      </c>
      <c r="O464" s="152">
        <f>IF(R463&lt;=0.005,0,R463*(1+O$6))</f>
        <v/>
      </c>
      <c r="P464" s="152">
        <f>MIN(O464,O$7)</f>
        <v/>
      </c>
      <c r="Q464" s="152">
        <f>MAX(0,MIN(O464-P464,AQ464-(E464+I464+M464)))</f>
        <v/>
      </c>
      <c r="R464" s="152">
        <f>O464-P464-Q464</f>
        <v/>
      </c>
      <c r="S464" s="152">
        <f>IF(V463&lt;=0.005,0,V463*(1+S$6))</f>
        <v/>
      </c>
      <c r="T464" s="152">
        <f>MIN(S464,S$7)</f>
        <v/>
      </c>
      <c r="U464" s="152">
        <f>MAX(0,MIN(S464-T464,AQ464-(E464+I464+M464+Q464)))</f>
        <v/>
      </c>
      <c r="V464" s="152">
        <f>S464-T464-U464</f>
        <v/>
      </c>
      <c r="W464" s="152">
        <f>IF(Z463&lt;=0.005,0,Z463*(1+W$6))</f>
        <v/>
      </c>
      <c r="X464" s="152">
        <f>MIN(W464,W$7)</f>
        <v/>
      </c>
      <c r="Y464" s="152">
        <f>MAX(0,MIN(W464-X464,AQ464-(E464+I464+M464+Q464+U464)))</f>
        <v/>
      </c>
      <c r="Z464" s="152">
        <f>W464-X464-Y464</f>
        <v/>
      </c>
      <c r="AA464" s="152">
        <f>IF(AD463&lt;=0.005,0,AD463*(1+AA$6))</f>
        <v/>
      </c>
      <c r="AB464" s="152">
        <f>MIN(AA464,AA$7)</f>
        <v/>
      </c>
      <c r="AC464" s="152">
        <f>MAX(0,MIN(AA464-AB464,AQ464-(E464+I464+M464+Q464+U464+Y464)))</f>
        <v/>
      </c>
      <c r="AD464" s="152">
        <f>AA464-AB464-AC464</f>
        <v/>
      </c>
      <c r="AE464" s="152">
        <f>IF(AH463&lt;=0.005,0,AH463*(1+AE$6))</f>
        <v/>
      </c>
      <c r="AF464" s="152">
        <f>MIN(AE464,AE$7)</f>
        <v/>
      </c>
      <c r="AG464" s="152">
        <f>MAX(0,MIN(AE464-AF464,AQ464-(E464+I464+M464+Q464+U464+Y464+AC464)))</f>
        <v/>
      </c>
      <c r="AH464" s="152">
        <f>AE464-AF464-AG464</f>
        <v/>
      </c>
      <c r="AI464" s="152">
        <f>IF(AL463&lt;=0.005,0,AL463*(1+AI$6))</f>
        <v/>
      </c>
      <c r="AJ464" s="152">
        <f>MIN(AI464,AI$7)</f>
        <v/>
      </c>
      <c r="AK464" s="152">
        <f>MAX(0,MIN(AI464-AJ464,AQ464-(E464+I464+M464+Q464+U464+Y464+AC464+AG464)))</f>
        <v/>
      </c>
      <c r="AL464" s="152">
        <f>AI464-AJ464-AK464</f>
        <v/>
      </c>
      <c r="AM464" s="152">
        <f>IF(AP463&lt;=0.005,0,AP463*(1+AM$6))</f>
        <v/>
      </c>
      <c r="AN464" s="152">
        <f>MIN(AM464,AM$7)</f>
        <v/>
      </c>
      <c r="AO464" s="152">
        <f>MAX(0,MIN(AM464-AN464,AQ464-(E464+I464+M464+Q464+U464+Y464+AC464+AG464+AK464)))</f>
        <v/>
      </c>
      <c r="AP464" s="152">
        <f>AM464-AN464-AO464</f>
        <v/>
      </c>
      <c r="AQ464" s="152">
        <f>'Debt Payoff'!$C$8-SUM(D464,H464,L464,P464,T464,X464,AB464,AF464,AJ464,AN464)</f>
        <v/>
      </c>
      <c r="AR464" s="152">
        <f>SUM(D464,H464,L464,P464,T464,X464,AB464,AF464,AJ464,AN464)+SUM(E464,I464,M464,Q464,U464,Y464,AC464,AG464,AK464,AO464)</f>
        <v/>
      </c>
      <c r="AS464" s="152">
        <f>SUM(F464,J464,N464,R464,V464,Z464,AD464,AH464,AL464,AP464)</f>
        <v/>
      </c>
      <c r="AT464" s="152">
        <f>IF(B464&gt;AS$6,NA(),B464)</f>
        <v/>
      </c>
      <c r="AU464" s="152">
        <f>IF(B464&gt;AS$6,NA(),AS464)</f>
        <v/>
      </c>
      <c r="AV464" s="152" t="n"/>
      <c r="AW464" s="152" t="n">
        <v>453</v>
      </c>
      <c r="AX464" s="152">
        <f>IF(BA463&lt;=0.005,0,BA463*(1+AX$6))</f>
        <v/>
      </c>
      <c r="AY464" s="152">
        <f>MIN(AX464,AX$7)</f>
        <v/>
      </c>
      <c r="AZ464" s="152">
        <f>MAX(0,MIN(AX464-AY464,CL464))</f>
        <v/>
      </c>
      <c r="BA464" s="152">
        <f>AX464-AY464-AZ464</f>
        <v/>
      </c>
      <c r="BB464" s="152">
        <f>IF(BE463&lt;=0.005,0,BE463*(1+BB$6))</f>
        <v/>
      </c>
      <c r="BC464" s="152">
        <f>MIN(BB464,BB$7)</f>
        <v/>
      </c>
      <c r="BD464" s="152">
        <f>MAX(0,MIN(BB464-BC464,CL464-(AZ464)))</f>
        <v/>
      </c>
      <c r="BE464" s="152">
        <f>BB464-BC464-BD464</f>
        <v/>
      </c>
      <c r="BF464" s="152">
        <f>IF(BI463&lt;=0.005,0,BI463*(1+BF$6))</f>
        <v/>
      </c>
      <c r="BG464" s="152">
        <f>MIN(BF464,BF$7)</f>
        <v/>
      </c>
      <c r="BH464" s="152">
        <f>MAX(0,MIN(BF464-BG464,CL464-(AZ464+BD464)))</f>
        <v/>
      </c>
      <c r="BI464" s="152">
        <f>BF464-BG464-BH464</f>
        <v/>
      </c>
      <c r="BJ464" s="152">
        <f>IF(BM463&lt;=0.005,0,BM463*(1+BJ$6))</f>
        <v/>
      </c>
      <c r="BK464" s="152">
        <f>MIN(BJ464,BJ$7)</f>
        <v/>
      </c>
      <c r="BL464" s="152">
        <f>MAX(0,MIN(BJ464-BK464,CL464-(AZ464+BD464+BH464)))</f>
        <v/>
      </c>
      <c r="BM464" s="152">
        <f>BJ464-BK464-BL464</f>
        <v/>
      </c>
      <c r="BN464" s="152">
        <f>IF(BQ463&lt;=0.005,0,BQ463*(1+BN$6))</f>
        <v/>
      </c>
      <c r="BO464" s="152">
        <f>MIN(BN464,BN$7)</f>
        <v/>
      </c>
      <c r="BP464" s="152">
        <f>MAX(0,MIN(BN464-BO464,CL464-(AZ464+BD464+BH464+BL464)))</f>
        <v/>
      </c>
      <c r="BQ464" s="152">
        <f>BN464-BO464-BP464</f>
        <v/>
      </c>
      <c r="BR464" s="152">
        <f>IF(BU463&lt;=0.005,0,BU463*(1+BR$6))</f>
        <v/>
      </c>
      <c r="BS464" s="152">
        <f>MIN(BR464,BR$7)</f>
        <v/>
      </c>
      <c r="BT464" s="152">
        <f>MAX(0,MIN(BR464-BS464,CL464-(AZ464+BD464+BH464+BL464+BP464)))</f>
        <v/>
      </c>
      <c r="BU464" s="152">
        <f>BR464-BS464-BT464</f>
        <v/>
      </c>
      <c r="BV464" s="152">
        <f>IF(BY463&lt;=0.005,0,BY463*(1+BV$6))</f>
        <v/>
      </c>
      <c r="BW464" s="152">
        <f>MIN(BV464,BV$7)</f>
        <v/>
      </c>
      <c r="BX464" s="152">
        <f>MAX(0,MIN(BV464-BW464,CL464-(AZ464+BD464+BH464+BL464+BP464+BT464)))</f>
        <v/>
      </c>
      <c r="BY464" s="152">
        <f>BV464-BW464-BX464</f>
        <v/>
      </c>
      <c r="BZ464" s="152">
        <f>IF(CC463&lt;=0.005,0,CC463*(1+BZ$6))</f>
        <v/>
      </c>
      <c r="CA464" s="152">
        <f>MIN(BZ464,BZ$7)</f>
        <v/>
      </c>
      <c r="CB464" s="152">
        <f>MAX(0,MIN(BZ464-CA464,CL464-(AZ464+BD464+BH464+BL464+BP464+BT464+BX464)))</f>
        <v/>
      </c>
      <c r="CC464" s="152">
        <f>BZ464-CA464-CB464</f>
        <v/>
      </c>
      <c r="CD464" s="152">
        <f>IF(CG463&lt;=0.005,0,CG463*(1+CD$6))</f>
        <v/>
      </c>
      <c r="CE464" s="152">
        <f>MIN(CD464,CD$7)</f>
        <v/>
      </c>
      <c r="CF464" s="152">
        <f>MAX(0,MIN(CD464-CE464,CL464-(AZ464+BD464+BH464+BL464+BP464+BT464+BX464+CB464)))</f>
        <v/>
      </c>
      <c r="CG464" s="152">
        <f>CD464-CE464-CF464</f>
        <v/>
      </c>
      <c r="CH464" s="152">
        <f>IF(CK463&lt;=0.005,0,CK463*(1+CH$6))</f>
        <v/>
      </c>
      <c r="CI464" s="152">
        <f>MIN(CH464,CH$7)</f>
        <v/>
      </c>
      <c r="CJ464" s="152">
        <f>MAX(0,MIN(CH464-CI464,CL464-(AZ464+BD464+BH464+BL464+BP464+BT464+BX464+CB464+CF464)))</f>
        <v/>
      </c>
      <c r="CK464" s="152">
        <f>CH464-CI464-CJ464</f>
        <v/>
      </c>
      <c r="CL464" s="152">
        <f>'Debt Payoff'!$C$8-SUM(AY464,BC464,BG464,BK464,BO464,BS464,BW464,CA464,CE464,CI464)</f>
        <v/>
      </c>
      <c r="CM464" s="152">
        <f>SUM(AY464,BC464,BG464,BK464,BO464,BS464,BW464,CA464,CE464,CI464)+SUM(AZ464,BD464,BH464,BL464,BP464,BT464,BX464,CB464,CF464,CJ464)</f>
        <v/>
      </c>
      <c r="CN464" s="152">
        <f>SUM(BA464,BE464,BI464,BM464,BQ464,BU464,BY464,CC464,CG464,CK464)</f>
        <v/>
      </c>
      <c r="CO464" s="152">
        <f>IF(AW464&gt;CN$6,NA(),AW464)</f>
        <v/>
      </c>
      <c r="CP464" s="152">
        <f>IF(AW464&gt;CN$6,NA(),CN464)</f>
        <v/>
      </c>
    </row>
    <row r="465">
      <c r="B465" s="152" t="n">
        <v>454</v>
      </c>
      <c r="C465" s="152">
        <f>IF(F464&lt;=0.005,0,F464*(1+C$6))</f>
        <v/>
      </c>
      <c r="D465" s="152">
        <f>MIN(C465,C$7)</f>
        <v/>
      </c>
      <c r="E465" s="152">
        <f>MAX(0,MIN(C465-D465,AQ465))</f>
        <v/>
      </c>
      <c r="F465" s="152">
        <f>C465-D465-E465</f>
        <v/>
      </c>
      <c r="G465" s="152">
        <f>IF(J464&lt;=0.005,0,J464*(1+G$6))</f>
        <v/>
      </c>
      <c r="H465" s="152">
        <f>MIN(G465,G$7)</f>
        <v/>
      </c>
      <c r="I465" s="152">
        <f>MAX(0,MIN(G465-H465,AQ465-(E465)))</f>
        <v/>
      </c>
      <c r="J465" s="152">
        <f>G465-H465-I465</f>
        <v/>
      </c>
      <c r="K465" s="152">
        <f>IF(N464&lt;=0.005,0,N464*(1+K$6))</f>
        <v/>
      </c>
      <c r="L465" s="152">
        <f>MIN(K465,K$7)</f>
        <v/>
      </c>
      <c r="M465" s="152">
        <f>MAX(0,MIN(K465-L465,AQ465-(E465+I465)))</f>
        <v/>
      </c>
      <c r="N465" s="152">
        <f>K465-L465-M465</f>
        <v/>
      </c>
      <c r="O465" s="152">
        <f>IF(R464&lt;=0.005,0,R464*(1+O$6))</f>
        <v/>
      </c>
      <c r="P465" s="152">
        <f>MIN(O465,O$7)</f>
        <v/>
      </c>
      <c r="Q465" s="152">
        <f>MAX(0,MIN(O465-P465,AQ465-(E465+I465+M465)))</f>
        <v/>
      </c>
      <c r="R465" s="152">
        <f>O465-P465-Q465</f>
        <v/>
      </c>
      <c r="S465" s="152">
        <f>IF(V464&lt;=0.005,0,V464*(1+S$6))</f>
        <v/>
      </c>
      <c r="T465" s="152">
        <f>MIN(S465,S$7)</f>
        <v/>
      </c>
      <c r="U465" s="152">
        <f>MAX(0,MIN(S465-T465,AQ465-(E465+I465+M465+Q465)))</f>
        <v/>
      </c>
      <c r="V465" s="152">
        <f>S465-T465-U465</f>
        <v/>
      </c>
      <c r="W465" s="152">
        <f>IF(Z464&lt;=0.005,0,Z464*(1+W$6))</f>
        <v/>
      </c>
      <c r="X465" s="152">
        <f>MIN(W465,W$7)</f>
        <v/>
      </c>
      <c r="Y465" s="152">
        <f>MAX(0,MIN(W465-X465,AQ465-(E465+I465+M465+Q465+U465)))</f>
        <v/>
      </c>
      <c r="Z465" s="152">
        <f>W465-X465-Y465</f>
        <v/>
      </c>
      <c r="AA465" s="152">
        <f>IF(AD464&lt;=0.005,0,AD464*(1+AA$6))</f>
        <v/>
      </c>
      <c r="AB465" s="152">
        <f>MIN(AA465,AA$7)</f>
        <v/>
      </c>
      <c r="AC465" s="152">
        <f>MAX(0,MIN(AA465-AB465,AQ465-(E465+I465+M465+Q465+U465+Y465)))</f>
        <v/>
      </c>
      <c r="AD465" s="152">
        <f>AA465-AB465-AC465</f>
        <v/>
      </c>
      <c r="AE465" s="152">
        <f>IF(AH464&lt;=0.005,0,AH464*(1+AE$6))</f>
        <v/>
      </c>
      <c r="AF465" s="152">
        <f>MIN(AE465,AE$7)</f>
        <v/>
      </c>
      <c r="AG465" s="152">
        <f>MAX(0,MIN(AE465-AF465,AQ465-(E465+I465+M465+Q465+U465+Y465+AC465)))</f>
        <v/>
      </c>
      <c r="AH465" s="152">
        <f>AE465-AF465-AG465</f>
        <v/>
      </c>
      <c r="AI465" s="152">
        <f>IF(AL464&lt;=0.005,0,AL464*(1+AI$6))</f>
        <v/>
      </c>
      <c r="AJ465" s="152">
        <f>MIN(AI465,AI$7)</f>
        <v/>
      </c>
      <c r="AK465" s="152">
        <f>MAX(0,MIN(AI465-AJ465,AQ465-(E465+I465+M465+Q465+U465+Y465+AC465+AG465)))</f>
        <v/>
      </c>
      <c r="AL465" s="152">
        <f>AI465-AJ465-AK465</f>
        <v/>
      </c>
      <c r="AM465" s="152">
        <f>IF(AP464&lt;=0.005,0,AP464*(1+AM$6))</f>
        <v/>
      </c>
      <c r="AN465" s="152">
        <f>MIN(AM465,AM$7)</f>
        <v/>
      </c>
      <c r="AO465" s="152">
        <f>MAX(0,MIN(AM465-AN465,AQ465-(E465+I465+M465+Q465+U465+Y465+AC465+AG465+AK465)))</f>
        <v/>
      </c>
      <c r="AP465" s="152">
        <f>AM465-AN465-AO465</f>
        <v/>
      </c>
      <c r="AQ465" s="152">
        <f>'Debt Payoff'!$C$8-SUM(D465,H465,L465,P465,T465,X465,AB465,AF465,AJ465,AN465)</f>
        <v/>
      </c>
      <c r="AR465" s="152">
        <f>SUM(D465,H465,L465,P465,T465,X465,AB465,AF465,AJ465,AN465)+SUM(E465,I465,M465,Q465,U465,Y465,AC465,AG465,AK465,AO465)</f>
        <v/>
      </c>
      <c r="AS465" s="152">
        <f>SUM(F465,J465,N465,R465,V465,Z465,AD465,AH465,AL465,AP465)</f>
        <v/>
      </c>
      <c r="AT465" s="152">
        <f>IF(B465&gt;AS$6,NA(),B465)</f>
        <v/>
      </c>
      <c r="AU465" s="152">
        <f>IF(B465&gt;AS$6,NA(),AS465)</f>
        <v/>
      </c>
      <c r="AV465" s="152" t="n"/>
      <c r="AW465" s="152" t="n">
        <v>454</v>
      </c>
      <c r="AX465" s="152">
        <f>IF(BA464&lt;=0.005,0,BA464*(1+AX$6))</f>
        <v/>
      </c>
      <c r="AY465" s="152">
        <f>MIN(AX465,AX$7)</f>
        <v/>
      </c>
      <c r="AZ465" s="152">
        <f>MAX(0,MIN(AX465-AY465,CL465))</f>
        <v/>
      </c>
      <c r="BA465" s="152">
        <f>AX465-AY465-AZ465</f>
        <v/>
      </c>
      <c r="BB465" s="152">
        <f>IF(BE464&lt;=0.005,0,BE464*(1+BB$6))</f>
        <v/>
      </c>
      <c r="BC465" s="152">
        <f>MIN(BB465,BB$7)</f>
        <v/>
      </c>
      <c r="BD465" s="152">
        <f>MAX(0,MIN(BB465-BC465,CL465-(AZ465)))</f>
        <v/>
      </c>
      <c r="BE465" s="152">
        <f>BB465-BC465-BD465</f>
        <v/>
      </c>
      <c r="BF465" s="152">
        <f>IF(BI464&lt;=0.005,0,BI464*(1+BF$6))</f>
        <v/>
      </c>
      <c r="BG465" s="152">
        <f>MIN(BF465,BF$7)</f>
        <v/>
      </c>
      <c r="BH465" s="152">
        <f>MAX(0,MIN(BF465-BG465,CL465-(AZ465+BD465)))</f>
        <v/>
      </c>
      <c r="BI465" s="152">
        <f>BF465-BG465-BH465</f>
        <v/>
      </c>
      <c r="BJ465" s="152">
        <f>IF(BM464&lt;=0.005,0,BM464*(1+BJ$6))</f>
        <v/>
      </c>
      <c r="BK465" s="152">
        <f>MIN(BJ465,BJ$7)</f>
        <v/>
      </c>
      <c r="BL465" s="152">
        <f>MAX(0,MIN(BJ465-BK465,CL465-(AZ465+BD465+BH465)))</f>
        <v/>
      </c>
      <c r="BM465" s="152">
        <f>BJ465-BK465-BL465</f>
        <v/>
      </c>
      <c r="BN465" s="152">
        <f>IF(BQ464&lt;=0.005,0,BQ464*(1+BN$6))</f>
        <v/>
      </c>
      <c r="BO465" s="152">
        <f>MIN(BN465,BN$7)</f>
        <v/>
      </c>
      <c r="BP465" s="152">
        <f>MAX(0,MIN(BN465-BO465,CL465-(AZ465+BD465+BH465+BL465)))</f>
        <v/>
      </c>
      <c r="BQ465" s="152">
        <f>BN465-BO465-BP465</f>
        <v/>
      </c>
      <c r="BR465" s="152">
        <f>IF(BU464&lt;=0.005,0,BU464*(1+BR$6))</f>
        <v/>
      </c>
      <c r="BS465" s="152">
        <f>MIN(BR465,BR$7)</f>
        <v/>
      </c>
      <c r="BT465" s="152">
        <f>MAX(0,MIN(BR465-BS465,CL465-(AZ465+BD465+BH465+BL465+BP465)))</f>
        <v/>
      </c>
      <c r="BU465" s="152">
        <f>BR465-BS465-BT465</f>
        <v/>
      </c>
      <c r="BV465" s="152">
        <f>IF(BY464&lt;=0.005,0,BY464*(1+BV$6))</f>
        <v/>
      </c>
      <c r="BW465" s="152">
        <f>MIN(BV465,BV$7)</f>
        <v/>
      </c>
      <c r="BX465" s="152">
        <f>MAX(0,MIN(BV465-BW465,CL465-(AZ465+BD465+BH465+BL465+BP465+BT465)))</f>
        <v/>
      </c>
      <c r="BY465" s="152">
        <f>BV465-BW465-BX465</f>
        <v/>
      </c>
      <c r="BZ465" s="152">
        <f>IF(CC464&lt;=0.005,0,CC464*(1+BZ$6))</f>
        <v/>
      </c>
      <c r="CA465" s="152">
        <f>MIN(BZ465,BZ$7)</f>
        <v/>
      </c>
      <c r="CB465" s="152">
        <f>MAX(0,MIN(BZ465-CA465,CL465-(AZ465+BD465+BH465+BL465+BP465+BT465+BX465)))</f>
        <v/>
      </c>
      <c r="CC465" s="152">
        <f>BZ465-CA465-CB465</f>
        <v/>
      </c>
      <c r="CD465" s="152">
        <f>IF(CG464&lt;=0.005,0,CG464*(1+CD$6))</f>
        <v/>
      </c>
      <c r="CE465" s="152">
        <f>MIN(CD465,CD$7)</f>
        <v/>
      </c>
      <c r="CF465" s="152">
        <f>MAX(0,MIN(CD465-CE465,CL465-(AZ465+BD465+BH465+BL465+BP465+BT465+BX465+CB465)))</f>
        <v/>
      </c>
      <c r="CG465" s="152">
        <f>CD465-CE465-CF465</f>
        <v/>
      </c>
      <c r="CH465" s="152">
        <f>IF(CK464&lt;=0.005,0,CK464*(1+CH$6))</f>
        <v/>
      </c>
      <c r="CI465" s="152">
        <f>MIN(CH465,CH$7)</f>
        <v/>
      </c>
      <c r="CJ465" s="152">
        <f>MAX(0,MIN(CH465-CI465,CL465-(AZ465+BD465+BH465+BL465+BP465+BT465+BX465+CB465+CF465)))</f>
        <v/>
      </c>
      <c r="CK465" s="152">
        <f>CH465-CI465-CJ465</f>
        <v/>
      </c>
      <c r="CL465" s="152">
        <f>'Debt Payoff'!$C$8-SUM(AY465,BC465,BG465,BK465,BO465,BS465,BW465,CA465,CE465,CI465)</f>
        <v/>
      </c>
      <c r="CM465" s="152">
        <f>SUM(AY465,BC465,BG465,BK465,BO465,BS465,BW465,CA465,CE465,CI465)+SUM(AZ465,BD465,BH465,BL465,BP465,BT465,BX465,CB465,CF465,CJ465)</f>
        <v/>
      </c>
      <c r="CN465" s="152">
        <f>SUM(BA465,BE465,BI465,BM465,BQ465,BU465,BY465,CC465,CG465,CK465)</f>
        <v/>
      </c>
      <c r="CO465" s="152">
        <f>IF(AW465&gt;CN$6,NA(),AW465)</f>
        <v/>
      </c>
      <c r="CP465" s="152">
        <f>IF(AW465&gt;CN$6,NA(),CN465)</f>
        <v/>
      </c>
    </row>
    <row r="466">
      <c r="B466" s="152" t="n">
        <v>455</v>
      </c>
      <c r="C466" s="152">
        <f>IF(F465&lt;=0.005,0,F465*(1+C$6))</f>
        <v/>
      </c>
      <c r="D466" s="152">
        <f>MIN(C466,C$7)</f>
        <v/>
      </c>
      <c r="E466" s="152">
        <f>MAX(0,MIN(C466-D466,AQ466))</f>
        <v/>
      </c>
      <c r="F466" s="152">
        <f>C466-D466-E466</f>
        <v/>
      </c>
      <c r="G466" s="152">
        <f>IF(J465&lt;=0.005,0,J465*(1+G$6))</f>
        <v/>
      </c>
      <c r="H466" s="152">
        <f>MIN(G466,G$7)</f>
        <v/>
      </c>
      <c r="I466" s="152">
        <f>MAX(0,MIN(G466-H466,AQ466-(E466)))</f>
        <v/>
      </c>
      <c r="J466" s="152">
        <f>G466-H466-I466</f>
        <v/>
      </c>
      <c r="K466" s="152">
        <f>IF(N465&lt;=0.005,0,N465*(1+K$6))</f>
        <v/>
      </c>
      <c r="L466" s="152">
        <f>MIN(K466,K$7)</f>
        <v/>
      </c>
      <c r="M466" s="152">
        <f>MAX(0,MIN(K466-L466,AQ466-(E466+I466)))</f>
        <v/>
      </c>
      <c r="N466" s="152">
        <f>K466-L466-M466</f>
        <v/>
      </c>
      <c r="O466" s="152">
        <f>IF(R465&lt;=0.005,0,R465*(1+O$6))</f>
        <v/>
      </c>
      <c r="P466" s="152">
        <f>MIN(O466,O$7)</f>
        <v/>
      </c>
      <c r="Q466" s="152">
        <f>MAX(0,MIN(O466-P466,AQ466-(E466+I466+M466)))</f>
        <v/>
      </c>
      <c r="R466" s="152">
        <f>O466-P466-Q466</f>
        <v/>
      </c>
      <c r="S466" s="152">
        <f>IF(V465&lt;=0.005,0,V465*(1+S$6))</f>
        <v/>
      </c>
      <c r="T466" s="152">
        <f>MIN(S466,S$7)</f>
        <v/>
      </c>
      <c r="U466" s="152">
        <f>MAX(0,MIN(S466-T466,AQ466-(E466+I466+M466+Q466)))</f>
        <v/>
      </c>
      <c r="V466" s="152">
        <f>S466-T466-U466</f>
        <v/>
      </c>
      <c r="W466" s="152">
        <f>IF(Z465&lt;=0.005,0,Z465*(1+W$6))</f>
        <v/>
      </c>
      <c r="X466" s="152">
        <f>MIN(W466,W$7)</f>
        <v/>
      </c>
      <c r="Y466" s="152">
        <f>MAX(0,MIN(W466-X466,AQ466-(E466+I466+M466+Q466+U466)))</f>
        <v/>
      </c>
      <c r="Z466" s="152">
        <f>W466-X466-Y466</f>
        <v/>
      </c>
      <c r="AA466" s="152">
        <f>IF(AD465&lt;=0.005,0,AD465*(1+AA$6))</f>
        <v/>
      </c>
      <c r="AB466" s="152">
        <f>MIN(AA466,AA$7)</f>
        <v/>
      </c>
      <c r="AC466" s="152">
        <f>MAX(0,MIN(AA466-AB466,AQ466-(E466+I466+M466+Q466+U466+Y466)))</f>
        <v/>
      </c>
      <c r="AD466" s="152">
        <f>AA466-AB466-AC466</f>
        <v/>
      </c>
      <c r="AE466" s="152">
        <f>IF(AH465&lt;=0.005,0,AH465*(1+AE$6))</f>
        <v/>
      </c>
      <c r="AF466" s="152">
        <f>MIN(AE466,AE$7)</f>
        <v/>
      </c>
      <c r="AG466" s="152">
        <f>MAX(0,MIN(AE466-AF466,AQ466-(E466+I466+M466+Q466+U466+Y466+AC466)))</f>
        <v/>
      </c>
      <c r="AH466" s="152">
        <f>AE466-AF466-AG466</f>
        <v/>
      </c>
      <c r="AI466" s="152">
        <f>IF(AL465&lt;=0.005,0,AL465*(1+AI$6))</f>
        <v/>
      </c>
      <c r="AJ466" s="152">
        <f>MIN(AI466,AI$7)</f>
        <v/>
      </c>
      <c r="AK466" s="152">
        <f>MAX(0,MIN(AI466-AJ466,AQ466-(E466+I466+M466+Q466+U466+Y466+AC466+AG466)))</f>
        <v/>
      </c>
      <c r="AL466" s="152">
        <f>AI466-AJ466-AK466</f>
        <v/>
      </c>
      <c r="AM466" s="152">
        <f>IF(AP465&lt;=0.005,0,AP465*(1+AM$6))</f>
        <v/>
      </c>
      <c r="AN466" s="152">
        <f>MIN(AM466,AM$7)</f>
        <v/>
      </c>
      <c r="AO466" s="152">
        <f>MAX(0,MIN(AM466-AN466,AQ466-(E466+I466+M466+Q466+U466+Y466+AC466+AG466+AK466)))</f>
        <v/>
      </c>
      <c r="AP466" s="152">
        <f>AM466-AN466-AO466</f>
        <v/>
      </c>
      <c r="AQ466" s="152">
        <f>'Debt Payoff'!$C$8-SUM(D466,H466,L466,P466,T466,X466,AB466,AF466,AJ466,AN466)</f>
        <v/>
      </c>
      <c r="AR466" s="152">
        <f>SUM(D466,H466,L466,P466,T466,X466,AB466,AF466,AJ466,AN466)+SUM(E466,I466,M466,Q466,U466,Y466,AC466,AG466,AK466,AO466)</f>
        <v/>
      </c>
      <c r="AS466" s="152">
        <f>SUM(F466,J466,N466,R466,V466,Z466,AD466,AH466,AL466,AP466)</f>
        <v/>
      </c>
      <c r="AT466" s="152">
        <f>IF(B466&gt;AS$6,NA(),B466)</f>
        <v/>
      </c>
      <c r="AU466" s="152">
        <f>IF(B466&gt;AS$6,NA(),AS466)</f>
        <v/>
      </c>
      <c r="AV466" s="152" t="n"/>
      <c r="AW466" s="152" t="n">
        <v>455</v>
      </c>
      <c r="AX466" s="152">
        <f>IF(BA465&lt;=0.005,0,BA465*(1+AX$6))</f>
        <v/>
      </c>
      <c r="AY466" s="152">
        <f>MIN(AX466,AX$7)</f>
        <v/>
      </c>
      <c r="AZ466" s="152">
        <f>MAX(0,MIN(AX466-AY466,CL466))</f>
        <v/>
      </c>
      <c r="BA466" s="152">
        <f>AX466-AY466-AZ466</f>
        <v/>
      </c>
      <c r="BB466" s="152">
        <f>IF(BE465&lt;=0.005,0,BE465*(1+BB$6))</f>
        <v/>
      </c>
      <c r="BC466" s="152">
        <f>MIN(BB466,BB$7)</f>
        <v/>
      </c>
      <c r="BD466" s="152">
        <f>MAX(0,MIN(BB466-BC466,CL466-(AZ466)))</f>
        <v/>
      </c>
      <c r="BE466" s="152">
        <f>BB466-BC466-BD466</f>
        <v/>
      </c>
      <c r="BF466" s="152">
        <f>IF(BI465&lt;=0.005,0,BI465*(1+BF$6))</f>
        <v/>
      </c>
      <c r="BG466" s="152">
        <f>MIN(BF466,BF$7)</f>
        <v/>
      </c>
      <c r="BH466" s="152">
        <f>MAX(0,MIN(BF466-BG466,CL466-(AZ466+BD466)))</f>
        <v/>
      </c>
      <c r="BI466" s="152">
        <f>BF466-BG466-BH466</f>
        <v/>
      </c>
      <c r="BJ466" s="152">
        <f>IF(BM465&lt;=0.005,0,BM465*(1+BJ$6))</f>
        <v/>
      </c>
      <c r="BK466" s="152">
        <f>MIN(BJ466,BJ$7)</f>
        <v/>
      </c>
      <c r="BL466" s="152">
        <f>MAX(0,MIN(BJ466-BK466,CL466-(AZ466+BD466+BH466)))</f>
        <v/>
      </c>
      <c r="BM466" s="152">
        <f>BJ466-BK466-BL466</f>
        <v/>
      </c>
      <c r="BN466" s="152">
        <f>IF(BQ465&lt;=0.005,0,BQ465*(1+BN$6))</f>
        <v/>
      </c>
      <c r="BO466" s="152">
        <f>MIN(BN466,BN$7)</f>
        <v/>
      </c>
      <c r="BP466" s="152">
        <f>MAX(0,MIN(BN466-BO466,CL466-(AZ466+BD466+BH466+BL466)))</f>
        <v/>
      </c>
      <c r="BQ466" s="152">
        <f>BN466-BO466-BP466</f>
        <v/>
      </c>
      <c r="BR466" s="152">
        <f>IF(BU465&lt;=0.005,0,BU465*(1+BR$6))</f>
        <v/>
      </c>
      <c r="BS466" s="152">
        <f>MIN(BR466,BR$7)</f>
        <v/>
      </c>
      <c r="BT466" s="152">
        <f>MAX(0,MIN(BR466-BS466,CL466-(AZ466+BD466+BH466+BL466+BP466)))</f>
        <v/>
      </c>
      <c r="BU466" s="152">
        <f>BR466-BS466-BT466</f>
        <v/>
      </c>
      <c r="BV466" s="152">
        <f>IF(BY465&lt;=0.005,0,BY465*(1+BV$6))</f>
        <v/>
      </c>
      <c r="BW466" s="152">
        <f>MIN(BV466,BV$7)</f>
        <v/>
      </c>
      <c r="BX466" s="152">
        <f>MAX(0,MIN(BV466-BW466,CL466-(AZ466+BD466+BH466+BL466+BP466+BT466)))</f>
        <v/>
      </c>
      <c r="BY466" s="152">
        <f>BV466-BW466-BX466</f>
        <v/>
      </c>
      <c r="BZ466" s="152">
        <f>IF(CC465&lt;=0.005,0,CC465*(1+BZ$6))</f>
        <v/>
      </c>
      <c r="CA466" s="152">
        <f>MIN(BZ466,BZ$7)</f>
        <v/>
      </c>
      <c r="CB466" s="152">
        <f>MAX(0,MIN(BZ466-CA466,CL466-(AZ466+BD466+BH466+BL466+BP466+BT466+BX466)))</f>
        <v/>
      </c>
      <c r="CC466" s="152">
        <f>BZ466-CA466-CB466</f>
        <v/>
      </c>
      <c r="CD466" s="152">
        <f>IF(CG465&lt;=0.005,0,CG465*(1+CD$6))</f>
        <v/>
      </c>
      <c r="CE466" s="152">
        <f>MIN(CD466,CD$7)</f>
        <v/>
      </c>
      <c r="CF466" s="152">
        <f>MAX(0,MIN(CD466-CE466,CL466-(AZ466+BD466+BH466+BL466+BP466+BT466+BX466+CB466)))</f>
        <v/>
      </c>
      <c r="CG466" s="152">
        <f>CD466-CE466-CF466</f>
        <v/>
      </c>
      <c r="CH466" s="152">
        <f>IF(CK465&lt;=0.005,0,CK465*(1+CH$6))</f>
        <v/>
      </c>
      <c r="CI466" s="152">
        <f>MIN(CH466,CH$7)</f>
        <v/>
      </c>
      <c r="CJ466" s="152">
        <f>MAX(0,MIN(CH466-CI466,CL466-(AZ466+BD466+BH466+BL466+BP466+BT466+BX466+CB466+CF466)))</f>
        <v/>
      </c>
      <c r="CK466" s="152">
        <f>CH466-CI466-CJ466</f>
        <v/>
      </c>
      <c r="CL466" s="152">
        <f>'Debt Payoff'!$C$8-SUM(AY466,BC466,BG466,BK466,BO466,BS466,BW466,CA466,CE466,CI466)</f>
        <v/>
      </c>
      <c r="CM466" s="152">
        <f>SUM(AY466,BC466,BG466,BK466,BO466,BS466,BW466,CA466,CE466,CI466)+SUM(AZ466,BD466,BH466,BL466,BP466,BT466,BX466,CB466,CF466,CJ466)</f>
        <v/>
      </c>
      <c r="CN466" s="152">
        <f>SUM(BA466,BE466,BI466,BM466,BQ466,BU466,BY466,CC466,CG466,CK466)</f>
        <v/>
      </c>
      <c r="CO466" s="152">
        <f>IF(AW466&gt;CN$6,NA(),AW466)</f>
        <v/>
      </c>
      <c r="CP466" s="152">
        <f>IF(AW466&gt;CN$6,NA(),CN466)</f>
        <v/>
      </c>
    </row>
    <row r="467">
      <c r="B467" s="152" t="n">
        <v>456</v>
      </c>
      <c r="C467" s="152">
        <f>IF(F466&lt;=0.005,0,F466*(1+C$6))</f>
        <v/>
      </c>
      <c r="D467" s="152">
        <f>MIN(C467,C$7)</f>
        <v/>
      </c>
      <c r="E467" s="152">
        <f>MAX(0,MIN(C467-D467,AQ467))</f>
        <v/>
      </c>
      <c r="F467" s="152">
        <f>C467-D467-E467</f>
        <v/>
      </c>
      <c r="G467" s="152">
        <f>IF(J466&lt;=0.005,0,J466*(1+G$6))</f>
        <v/>
      </c>
      <c r="H467" s="152">
        <f>MIN(G467,G$7)</f>
        <v/>
      </c>
      <c r="I467" s="152">
        <f>MAX(0,MIN(G467-H467,AQ467-(E467)))</f>
        <v/>
      </c>
      <c r="J467" s="152">
        <f>G467-H467-I467</f>
        <v/>
      </c>
      <c r="K467" s="152">
        <f>IF(N466&lt;=0.005,0,N466*(1+K$6))</f>
        <v/>
      </c>
      <c r="L467" s="152">
        <f>MIN(K467,K$7)</f>
        <v/>
      </c>
      <c r="M467" s="152">
        <f>MAX(0,MIN(K467-L467,AQ467-(E467+I467)))</f>
        <v/>
      </c>
      <c r="N467" s="152">
        <f>K467-L467-M467</f>
        <v/>
      </c>
      <c r="O467" s="152">
        <f>IF(R466&lt;=0.005,0,R466*(1+O$6))</f>
        <v/>
      </c>
      <c r="P467" s="152">
        <f>MIN(O467,O$7)</f>
        <v/>
      </c>
      <c r="Q467" s="152">
        <f>MAX(0,MIN(O467-P467,AQ467-(E467+I467+M467)))</f>
        <v/>
      </c>
      <c r="R467" s="152">
        <f>O467-P467-Q467</f>
        <v/>
      </c>
      <c r="S467" s="152">
        <f>IF(V466&lt;=0.005,0,V466*(1+S$6))</f>
        <v/>
      </c>
      <c r="T467" s="152">
        <f>MIN(S467,S$7)</f>
        <v/>
      </c>
      <c r="U467" s="152">
        <f>MAX(0,MIN(S467-T467,AQ467-(E467+I467+M467+Q467)))</f>
        <v/>
      </c>
      <c r="V467" s="152">
        <f>S467-T467-U467</f>
        <v/>
      </c>
      <c r="W467" s="152">
        <f>IF(Z466&lt;=0.005,0,Z466*(1+W$6))</f>
        <v/>
      </c>
      <c r="X467" s="152">
        <f>MIN(W467,W$7)</f>
        <v/>
      </c>
      <c r="Y467" s="152">
        <f>MAX(0,MIN(W467-X467,AQ467-(E467+I467+M467+Q467+U467)))</f>
        <v/>
      </c>
      <c r="Z467" s="152">
        <f>W467-X467-Y467</f>
        <v/>
      </c>
      <c r="AA467" s="152">
        <f>IF(AD466&lt;=0.005,0,AD466*(1+AA$6))</f>
        <v/>
      </c>
      <c r="AB467" s="152">
        <f>MIN(AA467,AA$7)</f>
        <v/>
      </c>
      <c r="AC467" s="152">
        <f>MAX(0,MIN(AA467-AB467,AQ467-(E467+I467+M467+Q467+U467+Y467)))</f>
        <v/>
      </c>
      <c r="AD467" s="152">
        <f>AA467-AB467-AC467</f>
        <v/>
      </c>
      <c r="AE467" s="152">
        <f>IF(AH466&lt;=0.005,0,AH466*(1+AE$6))</f>
        <v/>
      </c>
      <c r="AF467" s="152">
        <f>MIN(AE467,AE$7)</f>
        <v/>
      </c>
      <c r="AG467" s="152">
        <f>MAX(0,MIN(AE467-AF467,AQ467-(E467+I467+M467+Q467+U467+Y467+AC467)))</f>
        <v/>
      </c>
      <c r="AH467" s="152">
        <f>AE467-AF467-AG467</f>
        <v/>
      </c>
      <c r="AI467" s="152">
        <f>IF(AL466&lt;=0.005,0,AL466*(1+AI$6))</f>
        <v/>
      </c>
      <c r="AJ467" s="152">
        <f>MIN(AI467,AI$7)</f>
        <v/>
      </c>
      <c r="AK467" s="152">
        <f>MAX(0,MIN(AI467-AJ467,AQ467-(E467+I467+M467+Q467+U467+Y467+AC467+AG467)))</f>
        <v/>
      </c>
      <c r="AL467" s="152">
        <f>AI467-AJ467-AK467</f>
        <v/>
      </c>
      <c r="AM467" s="152">
        <f>IF(AP466&lt;=0.005,0,AP466*(1+AM$6))</f>
        <v/>
      </c>
      <c r="AN467" s="152">
        <f>MIN(AM467,AM$7)</f>
        <v/>
      </c>
      <c r="AO467" s="152">
        <f>MAX(0,MIN(AM467-AN467,AQ467-(E467+I467+M467+Q467+U467+Y467+AC467+AG467+AK467)))</f>
        <v/>
      </c>
      <c r="AP467" s="152">
        <f>AM467-AN467-AO467</f>
        <v/>
      </c>
      <c r="AQ467" s="152">
        <f>'Debt Payoff'!$C$8-SUM(D467,H467,L467,P467,T467,X467,AB467,AF467,AJ467,AN467)</f>
        <v/>
      </c>
      <c r="AR467" s="152">
        <f>SUM(D467,H467,L467,P467,T467,X467,AB467,AF467,AJ467,AN467)+SUM(E467,I467,M467,Q467,U467,Y467,AC467,AG467,AK467,AO467)</f>
        <v/>
      </c>
      <c r="AS467" s="152">
        <f>SUM(F467,J467,N467,R467,V467,Z467,AD467,AH467,AL467,AP467)</f>
        <v/>
      </c>
      <c r="AT467" s="152">
        <f>IF(B467&gt;AS$6,NA(),B467)</f>
        <v/>
      </c>
      <c r="AU467" s="152">
        <f>IF(B467&gt;AS$6,NA(),AS467)</f>
        <v/>
      </c>
      <c r="AV467" s="152" t="n"/>
      <c r="AW467" s="152" t="n">
        <v>456</v>
      </c>
      <c r="AX467" s="152">
        <f>IF(BA466&lt;=0.005,0,BA466*(1+AX$6))</f>
        <v/>
      </c>
      <c r="AY467" s="152">
        <f>MIN(AX467,AX$7)</f>
        <v/>
      </c>
      <c r="AZ467" s="152">
        <f>MAX(0,MIN(AX467-AY467,CL467))</f>
        <v/>
      </c>
      <c r="BA467" s="152">
        <f>AX467-AY467-AZ467</f>
        <v/>
      </c>
      <c r="BB467" s="152">
        <f>IF(BE466&lt;=0.005,0,BE466*(1+BB$6))</f>
        <v/>
      </c>
      <c r="BC467" s="152">
        <f>MIN(BB467,BB$7)</f>
        <v/>
      </c>
      <c r="BD467" s="152">
        <f>MAX(0,MIN(BB467-BC467,CL467-(AZ467)))</f>
        <v/>
      </c>
      <c r="BE467" s="152">
        <f>BB467-BC467-BD467</f>
        <v/>
      </c>
      <c r="BF467" s="152">
        <f>IF(BI466&lt;=0.005,0,BI466*(1+BF$6))</f>
        <v/>
      </c>
      <c r="BG467" s="152">
        <f>MIN(BF467,BF$7)</f>
        <v/>
      </c>
      <c r="BH467" s="152">
        <f>MAX(0,MIN(BF467-BG467,CL467-(AZ467+BD467)))</f>
        <v/>
      </c>
      <c r="BI467" s="152">
        <f>BF467-BG467-BH467</f>
        <v/>
      </c>
      <c r="BJ467" s="152">
        <f>IF(BM466&lt;=0.005,0,BM466*(1+BJ$6))</f>
        <v/>
      </c>
      <c r="BK467" s="152">
        <f>MIN(BJ467,BJ$7)</f>
        <v/>
      </c>
      <c r="BL467" s="152">
        <f>MAX(0,MIN(BJ467-BK467,CL467-(AZ467+BD467+BH467)))</f>
        <v/>
      </c>
      <c r="BM467" s="152">
        <f>BJ467-BK467-BL467</f>
        <v/>
      </c>
      <c r="BN467" s="152">
        <f>IF(BQ466&lt;=0.005,0,BQ466*(1+BN$6))</f>
        <v/>
      </c>
      <c r="BO467" s="152">
        <f>MIN(BN467,BN$7)</f>
        <v/>
      </c>
      <c r="BP467" s="152">
        <f>MAX(0,MIN(BN467-BO467,CL467-(AZ467+BD467+BH467+BL467)))</f>
        <v/>
      </c>
      <c r="BQ467" s="152">
        <f>BN467-BO467-BP467</f>
        <v/>
      </c>
      <c r="BR467" s="152">
        <f>IF(BU466&lt;=0.005,0,BU466*(1+BR$6))</f>
        <v/>
      </c>
      <c r="BS467" s="152">
        <f>MIN(BR467,BR$7)</f>
        <v/>
      </c>
      <c r="BT467" s="152">
        <f>MAX(0,MIN(BR467-BS467,CL467-(AZ467+BD467+BH467+BL467+BP467)))</f>
        <v/>
      </c>
      <c r="BU467" s="152">
        <f>BR467-BS467-BT467</f>
        <v/>
      </c>
      <c r="BV467" s="152">
        <f>IF(BY466&lt;=0.005,0,BY466*(1+BV$6))</f>
        <v/>
      </c>
      <c r="BW467" s="152">
        <f>MIN(BV467,BV$7)</f>
        <v/>
      </c>
      <c r="BX467" s="152">
        <f>MAX(0,MIN(BV467-BW467,CL467-(AZ467+BD467+BH467+BL467+BP467+BT467)))</f>
        <v/>
      </c>
      <c r="BY467" s="152">
        <f>BV467-BW467-BX467</f>
        <v/>
      </c>
      <c r="BZ467" s="152">
        <f>IF(CC466&lt;=0.005,0,CC466*(1+BZ$6))</f>
        <v/>
      </c>
      <c r="CA467" s="152">
        <f>MIN(BZ467,BZ$7)</f>
        <v/>
      </c>
      <c r="CB467" s="152">
        <f>MAX(0,MIN(BZ467-CA467,CL467-(AZ467+BD467+BH467+BL467+BP467+BT467+BX467)))</f>
        <v/>
      </c>
      <c r="CC467" s="152">
        <f>BZ467-CA467-CB467</f>
        <v/>
      </c>
      <c r="CD467" s="152">
        <f>IF(CG466&lt;=0.005,0,CG466*(1+CD$6))</f>
        <v/>
      </c>
      <c r="CE467" s="152">
        <f>MIN(CD467,CD$7)</f>
        <v/>
      </c>
      <c r="CF467" s="152">
        <f>MAX(0,MIN(CD467-CE467,CL467-(AZ467+BD467+BH467+BL467+BP467+BT467+BX467+CB467)))</f>
        <v/>
      </c>
      <c r="CG467" s="152">
        <f>CD467-CE467-CF467</f>
        <v/>
      </c>
      <c r="CH467" s="152">
        <f>IF(CK466&lt;=0.005,0,CK466*(1+CH$6))</f>
        <v/>
      </c>
      <c r="CI467" s="152">
        <f>MIN(CH467,CH$7)</f>
        <v/>
      </c>
      <c r="CJ467" s="152">
        <f>MAX(0,MIN(CH467-CI467,CL467-(AZ467+BD467+BH467+BL467+BP467+BT467+BX467+CB467+CF467)))</f>
        <v/>
      </c>
      <c r="CK467" s="152">
        <f>CH467-CI467-CJ467</f>
        <v/>
      </c>
      <c r="CL467" s="152">
        <f>'Debt Payoff'!$C$8-SUM(AY467,BC467,BG467,BK467,BO467,BS467,BW467,CA467,CE467,CI467)</f>
        <v/>
      </c>
      <c r="CM467" s="152">
        <f>SUM(AY467,BC467,BG467,BK467,BO467,BS467,BW467,CA467,CE467,CI467)+SUM(AZ467,BD467,BH467,BL467,BP467,BT467,BX467,CB467,CF467,CJ467)</f>
        <v/>
      </c>
      <c r="CN467" s="152">
        <f>SUM(BA467,BE467,BI467,BM467,BQ467,BU467,BY467,CC467,CG467,CK467)</f>
        <v/>
      </c>
      <c r="CO467" s="152">
        <f>IF(AW467&gt;CN$6,NA(),AW467)</f>
        <v/>
      </c>
      <c r="CP467" s="152">
        <f>IF(AW467&gt;CN$6,NA(),CN467)</f>
        <v/>
      </c>
    </row>
    <row r="468">
      <c r="B468" s="152" t="n">
        <v>457</v>
      </c>
      <c r="C468" s="152">
        <f>IF(F467&lt;=0.005,0,F467*(1+C$6))</f>
        <v/>
      </c>
      <c r="D468" s="152">
        <f>MIN(C468,C$7)</f>
        <v/>
      </c>
      <c r="E468" s="152">
        <f>MAX(0,MIN(C468-D468,AQ468))</f>
        <v/>
      </c>
      <c r="F468" s="152">
        <f>C468-D468-E468</f>
        <v/>
      </c>
      <c r="G468" s="152">
        <f>IF(J467&lt;=0.005,0,J467*(1+G$6))</f>
        <v/>
      </c>
      <c r="H468" s="152">
        <f>MIN(G468,G$7)</f>
        <v/>
      </c>
      <c r="I468" s="152">
        <f>MAX(0,MIN(G468-H468,AQ468-(E468)))</f>
        <v/>
      </c>
      <c r="J468" s="152">
        <f>G468-H468-I468</f>
        <v/>
      </c>
      <c r="K468" s="152">
        <f>IF(N467&lt;=0.005,0,N467*(1+K$6))</f>
        <v/>
      </c>
      <c r="L468" s="152">
        <f>MIN(K468,K$7)</f>
        <v/>
      </c>
      <c r="M468" s="152">
        <f>MAX(0,MIN(K468-L468,AQ468-(E468+I468)))</f>
        <v/>
      </c>
      <c r="N468" s="152">
        <f>K468-L468-M468</f>
        <v/>
      </c>
      <c r="O468" s="152">
        <f>IF(R467&lt;=0.005,0,R467*(1+O$6))</f>
        <v/>
      </c>
      <c r="P468" s="152">
        <f>MIN(O468,O$7)</f>
        <v/>
      </c>
      <c r="Q468" s="152">
        <f>MAX(0,MIN(O468-P468,AQ468-(E468+I468+M468)))</f>
        <v/>
      </c>
      <c r="R468" s="152">
        <f>O468-P468-Q468</f>
        <v/>
      </c>
      <c r="S468" s="152">
        <f>IF(V467&lt;=0.005,0,V467*(1+S$6))</f>
        <v/>
      </c>
      <c r="T468" s="152">
        <f>MIN(S468,S$7)</f>
        <v/>
      </c>
      <c r="U468" s="152">
        <f>MAX(0,MIN(S468-T468,AQ468-(E468+I468+M468+Q468)))</f>
        <v/>
      </c>
      <c r="V468" s="152">
        <f>S468-T468-U468</f>
        <v/>
      </c>
      <c r="W468" s="152">
        <f>IF(Z467&lt;=0.005,0,Z467*(1+W$6))</f>
        <v/>
      </c>
      <c r="X468" s="152">
        <f>MIN(W468,W$7)</f>
        <v/>
      </c>
      <c r="Y468" s="152">
        <f>MAX(0,MIN(W468-X468,AQ468-(E468+I468+M468+Q468+U468)))</f>
        <v/>
      </c>
      <c r="Z468" s="152">
        <f>W468-X468-Y468</f>
        <v/>
      </c>
      <c r="AA468" s="152">
        <f>IF(AD467&lt;=0.005,0,AD467*(1+AA$6))</f>
        <v/>
      </c>
      <c r="AB468" s="152">
        <f>MIN(AA468,AA$7)</f>
        <v/>
      </c>
      <c r="AC468" s="152">
        <f>MAX(0,MIN(AA468-AB468,AQ468-(E468+I468+M468+Q468+U468+Y468)))</f>
        <v/>
      </c>
      <c r="AD468" s="152">
        <f>AA468-AB468-AC468</f>
        <v/>
      </c>
      <c r="AE468" s="152">
        <f>IF(AH467&lt;=0.005,0,AH467*(1+AE$6))</f>
        <v/>
      </c>
      <c r="AF468" s="152">
        <f>MIN(AE468,AE$7)</f>
        <v/>
      </c>
      <c r="AG468" s="152">
        <f>MAX(0,MIN(AE468-AF468,AQ468-(E468+I468+M468+Q468+U468+Y468+AC468)))</f>
        <v/>
      </c>
      <c r="AH468" s="152">
        <f>AE468-AF468-AG468</f>
        <v/>
      </c>
      <c r="AI468" s="152">
        <f>IF(AL467&lt;=0.005,0,AL467*(1+AI$6))</f>
        <v/>
      </c>
      <c r="AJ468" s="152">
        <f>MIN(AI468,AI$7)</f>
        <v/>
      </c>
      <c r="AK468" s="152">
        <f>MAX(0,MIN(AI468-AJ468,AQ468-(E468+I468+M468+Q468+U468+Y468+AC468+AG468)))</f>
        <v/>
      </c>
      <c r="AL468" s="152">
        <f>AI468-AJ468-AK468</f>
        <v/>
      </c>
      <c r="AM468" s="152">
        <f>IF(AP467&lt;=0.005,0,AP467*(1+AM$6))</f>
        <v/>
      </c>
      <c r="AN468" s="152">
        <f>MIN(AM468,AM$7)</f>
        <v/>
      </c>
      <c r="AO468" s="152">
        <f>MAX(0,MIN(AM468-AN468,AQ468-(E468+I468+M468+Q468+U468+Y468+AC468+AG468+AK468)))</f>
        <v/>
      </c>
      <c r="AP468" s="152">
        <f>AM468-AN468-AO468</f>
        <v/>
      </c>
      <c r="AQ468" s="152">
        <f>'Debt Payoff'!$C$8-SUM(D468,H468,L468,P468,T468,X468,AB468,AF468,AJ468,AN468)</f>
        <v/>
      </c>
      <c r="AR468" s="152">
        <f>SUM(D468,H468,L468,P468,T468,X468,AB468,AF468,AJ468,AN468)+SUM(E468,I468,M468,Q468,U468,Y468,AC468,AG468,AK468,AO468)</f>
        <v/>
      </c>
      <c r="AS468" s="152">
        <f>SUM(F468,J468,N468,R468,V468,Z468,AD468,AH468,AL468,AP468)</f>
        <v/>
      </c>
      <c r="AT468" s="152">
        <f>IF(B468&gt;AS$6,NA(),B468)</f>
        <v/>
      </c>
      <c r="AU468" s="152">
        <f>IF(B468&gt;AS$6,NA(),AS468)</f>
        <v/>
      </c>
      <c r="AV468" s="152" t="n"/>
      <c r="AW468" s="152" t="n">
        <v>457</v>
      </c>
      <c r="AX468" s="152">
        <f>IF(BA467&lt;=0.005,0,BA467*(1+AX$6))</f>
        <v/>
      </c>
      <c r="AY468" s="152">
        <f>MIN(AX468,AX$7)</f>
        <v/>
      </c>
      <c r="AZ468" s="152">
        <f>MAX(0,MIN(AX468-AY468,CL468))</f>
        <v/>
      </c>
      <c r="BA468" s="152">
        <f>AX468-AY468-AZ468</f>
        <v/>
      </c>
      <c r="BB468" s="152">
        <f>IF(BE467&lt;=0.005,0,BE467*(1+BB$6))</f>
        <v/>
      </c>
      <c r="BC468" s="152">
        <f>MIN(BB468,BB$7)</f>
        <v/>
      </c>
      <c r="BD468" s="152">
        <f>MAX(0,MIN(BB468-BC468,CL468-(AZ468)))</f>
        <v/>
      </c>
      <c r="BE468" s="152">
        <f>BB468-BC468-BD468</f>
        <v/>
      </c>
      <c r="BF468" s="152">
        <f>IF(BI467&lt;=0.005,0,BI467*(1+BF$6))</f>
        <v/>
      </c>
      <c r="BG468" s="152">
        <f>MIN(BF468,BF$7)</f>
        <v/>
      </c>
      <c r="BH468" s="152">
        <f>MAX(0,MIN(BF468-BG468,CL468-(AZ468+BD468)))</f>
        <v/>
      </c>
      <c r="BI468" s="152">
        <f>BF468-BG468-BH468</f>
        <v/>
      </c>
      <c r="BJ468" s="152">
        <f>IF(BM467&lt;=0.005,0,BM467*(1+BJ$6))</f>
        <v/>
      </c>
      <c r="BK468" s="152">
        <f>MIN(BJ468,BJ$7)</f>
        <v/>
      </c>
      <c r="BL468" s="152">
        <f>MAX(0,MIN(BJ468-BK468,CL468-(AZ468+BD468+BH468)))</f>
        <v/>
      </c>
      <c r="BM468" s="152">
        <f>BJ468-BK468-BL468</f>
        <v/>
      </c>
      <c r="BN468" s="152">
        <f>IF(BQ467&lt;=0.005,0,BQ467*(1+BN$6))</f>
        <v/>
      </c>
      <c r="BO468" s="152">
        <f>MIN(BN468,BN$7)</f>
        <v/>
      </c>
      <c r="BP468" s="152">
        <f>MAX(0,MIN(BN468-BO468,CL468-(AZ468+BD468+BH468+BL468)))</f>
        <v/>
      </c>
      <c r="BQ468" s="152">
        <f>BN468-BO468-BP468</f>
        <v/>
      </c>
      <c r="BR468" s="152">
        <f>IF(BU467&lt;=0.005,0,BU467*(1+BR$6))</f>
        <v/>
      </c>
      <c r="BS468" s="152">
        <f>MIN(BR468,BR$7)</f>
        <v/>
      </c>
      <c r="BT468" s="152">
        <f>MAX(0,MIN(BR468-BS468,CL468-(AZ468+BD468+BH468+BL468+BP468)))</f>
        <v/>
      </c>
      <c r="BU468" s="152">
        <f>BR468-BS468-BT468</f>
        <v/>
      </c>
      <c r="BV468" s="152">
        <f>IF(BY467&lt;=0.005,0,BY467*(1+BV$6))</f>
        <v/>
      </c>
      <c r="BW468" s="152">
        <f>MIN(BV468,BV$7)</f>
        <v/>
      </c>
      <c r="BX468" s="152">
        <f>MAX(0,MIN(BV468-BW468,CL468-(AZ468+BD468+BH468+BL468+BP468+BT468)))</f>
        <v/>
      </c>
      <c r="BY468" s="152">
        <f>BV468-BW468-BX468</f>
        <v/>
      </c>
      <c r="BZ468" s="152">
        <f>IF(CC467&lt;=0.005,0,CC467*(1+BZ$6))</f>
        <v/>
      </c>
      <c r="CA468" s="152">
        <f>MIN(BZ468,BZ$7)</f>
        <v/>
      </c>
      <c r="CB468" s="152">
        <f>MAX(0,MIN(BZ468-CA468,CL468-(AZ468+BD468+BH468+BL468+BP468+BT468+BX468)))</f>
        <v/>
      </c>
      <c r="CC468" s="152">
        <f>BZ468-CA468-CB468</f>
        <v/>
      </c>
      <c r="CD468" s="152">
        <f>IF(CG467&lt;=0.005,0,CG467*(1+CD$6))</f>
        <v/>
      </c>
      <c r="CE468" s="152">
        <f>MIN(CD468,CD$7)</f>
        <v/>
      </c>
      <c r="CF468" s="152">
        <f>MAX(0,MIN(CD468-CE468,CL468-(AZ468+BD468+BH468+BL468+BP468+BT468+BX468+CB468)))</f>
        <v/>
      </c>
      <c r="CG468" s="152">
        <f>CD468-CE468-CF468</f>
        <v/>
      </c>
      <c r="CH468" s="152">
        <f>IF(CK467&lt;=0.005,0,CK467*(1+CH$6))</f>
        <v/>
      </c>
      <c r="CI468" s="152">
        <f>MIN(CH468,CH$7)</f>
        <v/>
      </c>
      <c r="CJ468" s="152">
        <f>MAX(0,MIN(CH468-CI468,CL468-(AZ468+BD468+BH468+BL468+BP468+BT468+BX468+CB468+CF468)))</f>
        <v/>
      </c>
      <c r="CK468" s="152">
        <f>CH468-CI468-CJ468</f>
        <v/>
      </c>
      <c r="CL468" s="152">
        <f>'Debt Payoff'!$C$8-SUM(AY468,BC468,BG468,BK468,BO468,BS468,BW468,CA468,CE468,CI468)</f>
        <v/>
      </c>
      <c r="CM468" s="152">
        <f>SUM(AY468,BC468,BG468,BK468,BO468,BS468,BW468,CA468,CE468,CI468)+SUM(AZ468,BD468,BH468,BL468,BP468,BT468,BX468,CB468,CF468,CJ468)</f>
        <v/>
      </c>
      <c r="CN468" s="152">
        <f>SUM(BA468,BE468,BI468,BM468,BQ468,BU468,BY468,CC468,CG468,CK468)</f>
        <v/>
      </c>
      <c r="CO468" s="152">
        <f>IF(AW468&gt;CN$6,NA(),AW468)</f>
        <v/>
      </c>
      <c r="CP468" s="152">
        <f>IF(AW468&gt;CN$6,NA(),CN468)</f>
        <v/>
      </c>
    </row>
    <row r="469">
      <c r="B469" s="152" t="n">
        <v>458</v>
      </c>
      <c r="C469" s="152">
        <f>IF(F468&lt;=0.005,0,F468*(1+C$6))</f>
        <v/>
      </c>
      <c r="D469" s="152">
        <f>MIN(C469,C$7)</f>
        <v/>
      </c>
      <c r="E469" s="152">
        <f>MAX(0,MIN(C469-D469,AQ469))</f>
        <v/>
      </c>
      <c r="F469" s="152">
        <f>C469-D469-E469</f>
        <v/>
      </c>
      <c r="G469" s="152">
        <f>IF(J468&lt;=0.005,0,J468*(1+G$6))</f>
        <v/>
      </c>
      <c r="H469" s="152">
        <f>MIN(G469,G$7)</f>
        <v/>
      </c>
      <c r="I469" s="152">
        <f>MAX(0,MIN(G469-H469,AQ469-(E469)))</f>
        <v/>
      </c>
      <c r="J469" s="152">
        <f>G469-H469-I469</f>
        <v/>
      </c>
      <c r="K469" s="152">
        <f>IF(N468&lt;=0.005,0,N468*(1+K$6))</f>
        <v/>
      </c>
      <c r="L469" s="152">
        <f>MIN(K469,K$7)</f>
        <v/>
      </c>
      <c r="M469" s="152">
        <f>MAX(0,MIN(K469-L469,AQ469-(E469+I469)))</f>
        <v/>
      </c>
      <c r="N469" s="152">
        <f>K469-L469-M469</f>
        <v/>
      </c>
      <c r="O469" s="152">
        <f>IF(R468&lt;=0.005,0,R468*(1+O$6))</f>
        <v/>
      </c>
      <c r="P469" s="152">
        <f>MIN(O469,O$7)</f>
        <v/>
      </c>
      <c r="Q469" s="152">
        <f>MAX(0,MIN(O469-P469,AQ469-(E469+I469+M469)))</f>
        <v/>
      </c>
      <c r="R469" s="152">
        <f>O469-P469-Q469</f>
        <v/>
      </c>
      <c r="S469" s="152">
        <f>IF(V468&lt;=0.005,0,V468*(1+S$6))</f>
        <v/>
      </c>
      <c r="T469" s="152">
        <f>MIN(S469,S$7)</f>
        <v/>
      </c>
      <c r="U469" s="152">
        <f>MAX(0,MIN(S469-T469,AQ469-(E469+I469+M469+Q469)))</f>
        <v/>
      </c>
      <c r="V469" s="152">
        <f>S469-T469-U469</f>
        <v/>
      </c>
      <c r="W469" s="152">
        <f>IF(Z468&lt;=0.005,0,Z468*(1+W$6))</f>
        <v/>
      </c>
      <c r="X469" s="152">
        <f>MIN(W469,W$7)</f>
        <v/>
      </c>
      <c r="Y469" s="152">
        <f>MAX(0,MIN(W469-X469,AQ469-(E469+I469+M469+Q469+U469)))</f>
        <v/>
      </c>
      <c r="Z469" s="152">
        <f>W469-X469-Y469</f>
        <v/>
      </c>
      <c r="AA469" s="152">
        <f>IF(AD468&lt;=0.005,0,AD468*(1+AA$6))</f>
        <v/>
      </c>
      <c r="AB469" s="152">
        <f>MIN(AA469,AA$7)</f>
        <v/>
      </c>
      <c r="AC469" s="152">
        <f>MAX(0,MIN(AA469-AB469,AQ469-(E469+I469+M469+Q469+U469+Y469)))</f>
        <v/>
      </c>
      <c r="AD469" s="152">
        <f>AA469-AB469-AC469</f>
        <v/>
      </c>
      <c r="AE469" s="152">
        <f>IF(AH468&lt;=0.005,0,AH468*(1+AE$6))</f>
        <v/>
      </c>
      <c r="AF469" s="152">
        <f>MIN(AE469,AE$7)</f>
        <v/>
      </c>
      <c r="AG469" s="152">
        <f>MAX(0,MIN(AE469-AF469,AQ469-(E469+I469+M469+Q469+U469+Y469+AC469)))</f>
        <v/>
      </c>
      <c r="AH469" s="152">
        <f>AE469-AF469-AG469</f>
        <v/>
      </c>
      <c r="AI469" s="152">
        <f>IF(AL468&lt;=0.005,0,AL468*(1+AI$6))</f>
        <v/>
      </c>
      <c r="AJ469" s="152">
        <f>MIN(AI469,AI$7)</f>
        <v/>
      </c>
      <c r="AK469" s="152">
        <f>MAX(0,MIN(AI469-AJ469,AQ469-(E469+I469+M469+Q469+U469+Y469+AC469+AG469)))</f>
        <v/>
      </c>
      <c r="AL469" s="152">
        <f>AI469-AJ469-AK469</f>
        <v/>
      </c>
      <c r="AM469" s="152">
        <f>IF(AP468&lt;=0.005,0,AP468*(1+AM$6))</f>
        <v/>
      </c>
      <c r="AN469" s="152">
        <f>MIN(AM469,AM$7)</f>
        <v/>
      </c>
      <c r="AO469" s="152">
        <f>MAX(0,MIN(AM469-AN469,AQ469-(E469+I469+M469+Q469+U469+Y469+AC469+AG469+AK469)))</f>
        <v/>
      </c>
      <c r="AP469" s="152">
        <f>AM469-AN469-AO469</f>
        <v/>
      </c>
      <c r="AQ469" s="152">
        <f>'Debt Payoff'!$C$8-SUM(D469,H469,L469,P469,T469,X469,AB469,AF469,AJ469,AN469)</f>
        <v/>
      </c>
      <c r="AR469" s="152">
        <f>SUM(D469,H469,L469,P469,T469,X469,AB469,AF469,AJ469,AN469)+SUM(E469,I469,M469,Q469,U469,Y469,AC469,AG469,AK469,AO469)</f>
        <v/>
      </c>
      <c r="AS469" s="152">
        <f>SUM(F469,J469,N469,R469,V469,Z469,AD469,AH469,AL469,AP469)</f>
        <v/>
      </c>
      <c r="AT469" s="152">
        <f>IF(B469&gt;AS$6,NA(),B469)</f>
        <v/>
      </c>
      <c r="AU469" s="152">
        <f>IF(B469&gt;AS$6,NA(),AS469)</f>
        <v/>
      </c>
      <c r="AV469" s="152" t="n"/>
      <c r="AW469" s="152" t="n">
        <v>458</v>
      </c>
      <c r="AX469" s="152">
        <f>IF(BA468&lt;=0.005,0,BA468*(1+AX$6))</f>
        <v/>
      </c>
      <c r="AY469" s="152">
        <f>MIN(AX469,AX$7)</f>
        <v/>
      </c>
      <c r="AZ469" s="152">
        <f>MAX(0,MIN(AX469-AY469,CL469))</f>
        <v/>
      </c>
      <c r="BA469" s="152">
        <f>AX469-AY469-AZ469</f>
        <v/>
      </c>
      <c r="BB469" s="152">
        <f>IF(BE468&lt;=0.005,0,BE468*(1+BB$6))</f>
        <v/>
      </c>
      <c r="BC469" s="152">
        <f>MIN(BB469,BB$7)</f>
        <v/>
      </c>
      <c r="BD469" s="152">
        <f>MAX(0,MIN(BB469-BC469,CL469-(AZ469)))</f>
        <v/>
      </c>
      <c r="BE469" s="152">
        <f>BB469-BC469-BD469</f>
        <v/>
      </c>
      <c r="BF469" s="152">
        <f>IF(BI468&lt;=0.005,0,BI468*(1+BF$6))</f>
        <v/>
      </c>
      <c r="BG469" s="152">
        <f>MIN(BF469,BF$7)</f>
        <v/>
      </c>
      <c r="BH469" s="152">
        <f>MAX(0,MIN(BF469-BG469,CL469-(AZ469+BD469)))</f>
        <v/>
      </c>
      <c r="BI469" s="152">
        <f>BF469-BG469-BH469</f>
        <v/>
      </c>
      <c r="BJ469" s="152">
        <f>IF(BM468&lt;=0.005,0,BM468*(1+BJ$6))</f>
        <v/>
      </c>
      <c r="BK469" s="152">
        <f>MIN(BJ469,BJ$7)</f>
        <v/>
      </c>
      <c r="BL469" s="152">
        <f>MAX(0,MIN(BJ469-BK469,CL469-(AZ469+BD469+BH469)))</f>
        <v/>
      </c>
      <c r="BM469" s="152">
        <f>BJ469-BK469-BL469</f>
        <v/>
      </c>
      <c r="BN469" s="152">
        <f>IF(BQ468&lt;=0.005,0,BQ468*(1+BN$6))</f>
        <v/>
      </c>
      <c r="BO469" s="152">
        <f>MIN(BN469,BN$7)</f>
        <v/>
      </c>
      <c r="BP469" s="152">
        <f>MAX(0,MIN(BN469-BO469,CL469-(AZ469+BD469+BH469+BL469)))</f>
        <v/>
      </c>
      <c r="BQ469" s="152">
        <f>BN469-BO469-BP469</f>
        <v/>
      </c>
      <c r="BR469" s="152">
        <f>IF(BU468&lt;=0.005,0,BU468*(1+BR$6))</f>
        <v/>
      </c>
      <c r="BS469" s="152">
        <f>MIN(BR469,BR$7)</f>
        <v/>
      </c>
      <c r="BT469" s="152">
        <f>MAX(0,MIN(BR469-BS469,CL469-(AZ469+BD469+BH469+BL469+BP469)))</f>
        <v/>
      </c>
      <c r="BU469" s="152">
        <f>BR469-BS469-BT469</f>
        <v/>
      </c>
      <c r="BV469" s="152">
        <f>IF(BY468&lt;=0.005,0,BY468*(1+BV$6))</f>
        <v/>
      </c>
      <c r="BW469" s="152">
        <f>MIN(BV469,BV$7)</f>
        <v/>
      </c>
      <c r="BX469" s="152">
        <f>MAX(0,MIN(BV469-BW469,CL469-(AZ469+BD469+BH469+BL469+BP469+BT469)))</f>
        <v/>
      </c>
      <c r="BY469" s="152">
        <f>BV469-BW469-BX469</f>
        <v/>
      </c>
      <c r="BZ469" s="152">
        <f>IF(CC468&lt;=0.005,0,CC468*(1+BZ$6))</f>
        <v/>
      </c>
      <c r="CA469" s="152">
        <f>MIN(BZ469,BZ$7)</f>
        <v/>
      </c>
      <c r="CB469" s="152">
        <f>MAX(0,MIN(BZ469-CA469,CL469-(AZ469+BD469+BH469+BL469+BP469+BT469+BX469)))</f>
        <v/>
      </c>
      <c r="CC469" s="152">
        <f>BZ469-CA469-CB469</f>
        <v/>
      </c>
      <c r="CD469" s="152">
        <f>IF(CG468&lt;=0.005,0,CG468*(1+CD$6))</f>
        <v/>
      </c>
      <c r="CE469" s="152">
        <f>MIN(CD469,CD$7)</f>
        <v/>
      </c>
      <c r="CF469" s="152">
        <f>MAX(0,MIN(CD469-CE469,CL469-(AZ469+BD469+BH469+BL469+BP469+BT469+BX469+CB469)))</f>
        <v/>
      </c>
      <c r="CG469" s="152">
        <f>CD469-CE469-CF469</f>
        <v/>
      </c>
      <c r="CH469" s="152">
        <f>IF(CK468&lt;=0.005,0,CK468*(1+CH$6))</f>
        <v/>
      </c>
      <c r="CI469" s="152">
        <f>MIN(CH469,CH$7)</f>
        <v/>
      </c>
      <c r="CJ469" s="152">
        <f>MAX(0,MIN(CH469-CI469,CL469-(AZ469+BD469+BH469+BL469+BP469+BT469+BX469+CB469+CF469)))</f>
        <v/>
      </c>
      <c r="CK469" s="152">
        <f>CH469-CI469-CJ469</f>
        <v/>
      </c>
      <c r="CL469" s="152">
        <f>'Debt Payoff'!$C$8-SUM(AY469,BC469,BG469,BK469,BO469,BS469,BW469,CA469,CE469,CI469)</f>
        <v/>
      </c>
      <c r="CM469" s="152">
        <f>SUM(AY469,BC469,BG469,BK469,BO469,BS469,BW469,CA469,CE469,CI469)+SUM(AZ469,BD469,BH469,BL469,BP469,BT469,BX469,CB469,CF469,CJ469)</f>
        <v/>
      </c>
      <c r="CN469" s="152">
        <f>SUM(BA469,BE469,BI469,BM469,BQ469,BU469,BY469,CC469,CG469,CK469)</f>
        <v/>
      </c>
      <c r="CO469" s="152">
        <f>IF(AW469&gt;CN$6,NA(),AW469)</f>
        <v/>
      </c>
      <c r="CP469" s="152">
        <f>IF(AW469&gt;CN$6,NA(),CN469)</f>
        <v/>
      </c>
    </row>
    <row r="470">
      <c r="B470" s="152" t="n">
        <v>459</v>
      </c>
      <c r="C470" s="152">
        <f>IF(F469&lt;=0.005,0,F469*(1+C$6))</f>
        <v/>
      </c>
      <c r="D470" s="152">
        <f>MIN(C470,C$7)</f>
        <v/>
      </c>
      <c r="E470" s="152">
        <f>MAX(0,MIN(C470-D470,AQ470))</f>
        <v/>
      </c>
      <c r="F470" s="152">
        <f>C470-D470-E470</f>
        <v/>
      </c>
      <c r="G470" s="152">
        <f>IF(J469&lt;=0.005,0,J469*(1+G$6))</f>
        <v/>
      </c>
      <c r="H470" s="152">
        <f>MIN(G470,G$7)</f>
        <v/>
      </c>
      <c r="I470" s="152">
        <f>MAX(0,MIN(G470-H470,AQ470-(E470)))</f>
        <v/>
      </c>
      <c r="J470" s="152">
        <f>G470-H470-I470</f>
        <v/>
      </c>
      <c r="K470" s="152">
        <f>IF(N469&lt;=0.005,0,N469*(1+K$6))</f>
        <v/>
      </c>
      <c r="L470" s="152">
        <f>MIN(K470,K$7)</f>
        <v/>
      </c>
      <c r="M470" s="152">
        <f>MAX(0,MIN(K470-L470,AQ470-(E470+I470)))</f>
        <v/>
      </c>
      <c r="N470" s="152">
        <f>K470-L470-M470</f>
        <v/>
      </c>
      <c r="O470" s="152">
        <f>IF(R469&lt;=0.005,0,R469*(1+O$6))</f>
        <v/>
      </c>
      <c r="P470" s="152">
        <f>MIN(O470,O$7)</f>
        <v/>
      </c>
      <c r="Q470" s="152">
        <f>MAX(0,MIN(O470-P470,AQ470-(E470+I470+M470)))</f>
        <v/>
      </c>
      <c r="R470" s="152">
        <f>O470-P470-Q470</f>
        <v/>
      </c>
      <c r="S470" s="152">
        <f>IF(V469&lt;=0.005,0,V469*(1+S$6))</f>
        <v/>
      </c>
      <c r="T470" s="152">
        <f>MIN(S470,S$7)</f>
        <v/>
      </c>
      <c r="U470" s="152">
        <f>MAX(0,MIN(S470-T470,AQ470-(E470+I470+M470+Q470)))</f>
        <v/>
      </c>
      <c r="V470" s="152">
        <f>S470-T470-U470</f>
        <v/>
      </c>
      <c r="W470" s="152">
        <f>IF(Z469&lt;=0.005,0,Z469*(1+W$6))</f>
        <v/>
      </c>
      <c r="X470" s="152">
        <f>MIN(W470,W$7)</f>
        <v/>
      </c>
      <c r="Y470" s="152">
        <f>MAX(0,MIN(W470-X470,AQ470-(E470+I470+M470+Q470+U470)))</f>
        <v/>
      </c>
      <c r="Z470" s="152">
        <f>W470-X470-Y470</f>
        <v/>
      </c>
      <c r="AA470" s="152">
        <f>IF(AD469&lt;=0.005,0,AD469*(1+AA$6))</f>
        <v/>
      </c>
      <c r="AB470" s="152">
        <f>MIN(AA470,AA$7)</f>
        <v/>
      </c>
      <c r="AC470" s="152">
        <f>MAX(0,MIN(AA470-AB470,AQ470-(E470+I470+M470+Q470+U470+Y470)))</f>
        <v/>
      </c>
      <c r="AD470" s="152">
        <f>AA470-AB470-AC470</f>
        <v/>
      </c>
      <c r="AE470" s="152">
        <f>IF(AH469&lt;=0.005,0,AH469*(1+AE$6))</f>
        <v/>
      </c>
      <c r="AF470" s="152">
        <f>MIN(AE470,AE$7)</f>
        <v/>
      </c>
      <c r="AG470" s="152">
        <f>MAX(0,MIN(AE470-AF470,AQ470-(E470+I470+M470+Q470+U470+Y470+AC470)))</f>
        <v/>
      </c>
      <c r="AH470" s="152">
        <f>AE470-AF470-AG470</f>
        <v/>
      </c>
      <c r="AI470" s="152">
        <f>IF(AL469&lt;=0.005,0,AL469*(1+AI$6))</f>
        <v/>
      </c>
      <c r="AJ470" s="152">
        <f>MIN(AI470,AI$7)</f>
        <v/>
      </c>
      <c r="AK470" s="152">
        <f>MAX(0,MIN(AI470-AJ470,AQ470-(E470+I470+M470+Q470+U470+Y470+AC470+AG470)))</f>
        <v/>
      </c>
      <c r="AL470" s="152">
        <f>AI470-AJ470-AK470</f>
        <v/>
      </c>
      <c r="AM470" s="152">
        <f>IF(AP469&lt;=0.005,0,AP469*(1+AM$6))</f>
        <v/>
      </c>
      <c r="AN470" s="152">
        <f>MIN(AM470,AM$7)</f>
        <v/>
      </c>
      <c r="AO470" s="152">
        <f>MAX(0,MIN(AM470-AN470,AQ470-(E470+I470+M470+Q470+U470+Y470+AC470+AG470+AK470)))</f>
        <v/>
      </c>
      <c r="AP470" s="152">
        <f>AM470-AN470-AO470</f>
        <v/>
      </c>
      <c r="AQ470" s="152">
        <f>'Debt Payoff'!$C$8-SUM(D470,H470,L470,P470,T470,X470,AB470,AF470,AJ470,AN470)</f>
        <v/>
      </c>
      <c r="AR470" s="152">
        <f>SUM(D470,H470,L470,P470,T470,X470,AB470,AF470,AJ470,AN470)+SUM(E470,I470,M470,Q470,U470,Y470,AC470,AG470,AK470,AO470)</f>
        <v/>
      </c>
      <c r="AS470" s="152">
        <f>SUM(F470,J470,N470,R470,V470,Z470,AD470,AH470,AL470,AP470)</f>
        <v/>
      </c>
      <c r="AT470" s="152">
        <f>IF(B470&gt;AS$6,NA(),B470)</f>
        <v/>
      </c>
      <c r="AU470" s="152">
        <f>IF(B470&gt;AS$6,NA(),AS470)</f>
        <v/>
      </c>
      <c r="AV470" s="152" t="n"/>
      <c r="AW470" s="152" t="n">
        <v>459</v>
      </c>
      <c r="AX470" s="152">
        <f>IF(BA469&lt;=0.005,0,BA469*(1+AX$6))</f>
        <v/>
      </c>
      <c r="AY470" s="152">
        <f>MIN(AX470,AX$7)</f>
        <v/>
      </c>
      <c r="AZ470" s="152">
        <f>MAX(0,MIN(AX470-AY470,CL470))</f>
        <v/>
      </c>
      <c r="BA470" s="152">
        <f>AX470-AY470-AZ470</f>
        <v/>
      </c>
      <c r="BB470" s="152">
        <f>IF(BE469&lt;=0.005,0,BE469*(1+BB$6))</f>
        <v/>
      </c>
      <c r="BC470" s="152">
        <f>MIN(BB470,BB$7)</f>
        <v/>
      </c>
      <c r="BD470" s="152">
        <f>MAX(0,MIN(BB470-BC470,CL470-(AZ470)))</f>
        <v/>
      </c>
      <c r="BE470" s="152">
        <f>BB470-BC470-BD470</f>
        <v/>
      </c>
      <c r="BF470" s="152">
        <f>IF(BI469&lt;=0.005,0,BI469*(1+BF$6))</f>
        <v/>
      </c>
      <c r="BG470" s="152">
        <f>MIN(BF470,BF$7)</f>
        <v/>
      </c>
      <c r="BH470" s="152">
        <f>MAX(0,MIN(BF470-BG470,CL470-(AZ470+BD470)))</f>
        <v/>
      </c>
      <c r="BI470" s="152">
        <f>BF470-BG470-BH470</f>
        <v/>
      </c>
      <c r="BJ470" s="152">
        <f>IF(BM469&lt;=0.005,0,BM469*(1+BJ$6))</f>
        <v/>
      </c>
      <c r="BK470" s="152">
        <f>MIN(BJ470,BJ$7)</f>
        <v/>
      </c>
      <c r="BL470" s="152">
        <f>MAX(0,MIN(BJ470-BK470,CL470-(AZ470+BD470+BH470)))</f>
        <v/>
      </c>
      <c r="BM470" s="152">
        <f>BJ470-BK470-BL470</f>
        <v/>
      </c>
      <c r="BN470" s="152">
        <f>IF(BQ469&lt;=0.005,0,BQ469*(1+BN$6))</f>
        <v/>
      </c>
      <c r="BO470" s="152">
        <f>MIN(BN470,BN$7)</f>
        <v/>
      </c>
      <c r="BP470" s="152">
        <f>MAX(0,MIN(BN470-BO470,CL470-(AZ470+BD470+BH470+BL470)))</f>
        <v/>
      </c>
      <c r="BQ470" s="152">
        <f>BN470-BO470-BP470</f>
        <v/>
      </c>
      <c r="BR470" s="152">
        <f>IF(BU469&lt;=0.005,0,BU469*(1+BR$6))</f>
        <v/>
      </c>
      <c r="BS470" s="152">
        <f>MIN(BR470,BR$7)</f>
        <v/>
      </c>
      <c r="BT470" s="152">
        <f>MAX(0,MIN(BR470-BS470,CL470-(AZ470+BD470+BH470+BL470+BP470)))</f>
        <v/>
      </c>
      <c r="BU470" s="152">
        <f>BR470-BS470-BT470</f>
        <v/>
      </c>
      <c r="BV470" s="152">
        <f>IF(BY469&lt;=0.005,0,BY469*(1+BV$6))</f>
        <v/>
      </c>
      <c r="BW470" s="152">
        <f>MIN(BV470,BV$7)</f>
        <v/>
      </c>
      <c r="BX470" s="152">
        <f>MAX(0,MIN(BV470-BW470,CL470-(AZ470+BD470+BH470+BL470+BP470+BT470)))</f>
        <v/>
      </c>
      <c r="BY470" s="152">
        <f>BV470-BW470-BX470</f>
        <v/>
      </c>
      <c r="BZ470" s="152">
        <f>IF(CC469&lt;=0.005,0,CC469*(1+BZ$6))</f>
        <v/>
      </c>
      <c r="CA470" s="152">
        <f>MIN(BZ470,BZ$7)</f>
        <v/>
      </c>
      <c r="CB470" s="152">
        <f>MAX(0,MIN(BZ470-CA470,CL470-(AZ470+BD470+BH470+BL470+BP470+BT470+BX470)))</f>
        <v/>
      </c>
      <c r="CC470" s="152">
        <f>BZ470-CA470-CB470</f>
        <v/>
      </c>
      <c r="CD470" s="152">
        <f>IF(CG469&lt;=0.005,0,CG469*(1+CD$6))</f>
        <v/>
      </c>
      <c r="CE470" s="152">
        <f>MIN(CD470,CD$7)</f>
        <v/>
      </c>
      <c r="CF470" s="152">
        <f>MAX(0,MIN(CD470-CE470,CL470-(AZ470+BD470+BH470+BL470+BP470+BT470+BX470+CB470)))</f>
        <v/>
      </c>
      <c r="CG470" s="152">
        <f>CD470-CE470-CF470</f>
        <v/>
      </c>
      <c r="CH470" s="152">
        <f>IF(CK469&lt;=0.005,0,CK469*(1+CH$6))</f>
        <v/>
      </c>
      <c r="CI470" s="152">
        <f>MIN(CH470,CH$7)</f>
        <v/>
      </c>
      <c r="CJ470" s="152">
        <f>MAX(0,MIN(CH470-CI470,CL470-(AZ470+BD470+BH470+BL470+BP470+BT470+BX470+CB470+CF470)))</f>
        <v/>
      </c>
      <c r="CK470" s="152">
        <f>CH470-CI470-CJ470</f>
        <v/>
      </c>
      <c r="CL470" s="152">
        <f>'Debt Payoff'!$C$8-SUM(AY470,BC470,BG470,BK470,BO470,BS470,BW470,CA470,CE470,CI470)</f>
        <v/>
      </c>
      <c r="CM470" s="152">
        <f>SUM(AY470,BC470,BG470,BK470,BO470,BS470,BW470,CA470,CE470,CI470)+SUM(AZ470,BD470,BH470,BL470,BP470,BT470,BX470,CB470,CF470,CJ470)</f>
        <v/>
      </c>
      <c r="CN470" s="152">
        <f>SUM(BA470,BE470,BI470,BM470,BQ470,BU470,BY470,CC470,CG470,CK470)</f>
        <v/>
      </c>
      <c r="CO470" s="152">
        <f>IF(AW470&gt;CN$6,NA(),AW470)</f>
        <v/>
      </c>
      <c r="CP470" s="152">
        <f>IF(AW470&gt;CN$6,NA(),CN470)</f>
        <v/>
      </c>
    </row>
    <row r="471">
      <c r="B471" s="152" t="n">
        <v>460</v>
      </c>
      <c r="C471" s="152">
        <f>IF(F470&lt;=0.005,0,F470*(1+C$6))</f>
        <v/>
      </c>
      <c r="D471" s="152">
        <f>MIN(C471,C$7)</f>
        <v/>
      </c>
      <c r="E471" s="152">
        <f>MAX(0,MIN(C471-D471,AQ471))</f>
        <v/>
      </c>
      <c r="F471" s="152">
        <f>C471-D471-E471</f>
        <v/>
      </c>
      <c r="G471" s="152">
        <f>IF(J470&lt;=0.005,0,J470*(1+G$6))</f>
        <v/>
      </c>
      <c r="H471" s="152">
        <f>MIN(G471,G$7)</f>
        <v/>
      </c>
      <c r="I471" s="152">
        <f>MAX(0,MIN(G471-H471,AQ471-(E471)))</f>
        <v/>
      </c>
      <c r="J471" s="152">
        <f>G471-H471-I471</f>
        <v/>
      </c>
      <c r="K471" s="152">
        <f>IF(N470&lt;=0.005,0,N470*(1+K$6))</f>
        <v/>
      </c>
      <c r="L471" s="152">
        <f>MIN(K471,K$7)</f>
        <v/>
      </c>
      <c r="M471" s="152">
        <f>MAX(0,MIN(K471-L471,AQ471-(E471+I471)))</f>
        <v/>
      </c>
      <c r="N471" s="152">
        <f>K471-L471-M471</f>
        <v/>
      </c>
      <c r="O471" s="152">
        <f>IF(R470&lt;=0.005,0,R470*(1+O$6))</f>
        <v/>
      </c>
      <c r="P471" s="152">
        <f>MIN(O471,O$7)</f>
        <v/>
      </c>
      <c r="Q471" s="152">
        <f>MAX(0,MIN(O471-P471,AQ471-(E471+I471+M471)))</f>
        <v/>
      </c>
      <c r="R471" s="152">
        <f>O471-P471-Q471</f>
        <v/>
      </c>
      <c r="S471" s="152">
        <f>IF(V470&lt;=0.005,0,V470*(1+S$6))</f>
        <v/>
      </c>
      <c r="T471" s="152">
        <f>MIN(S471,S$7)</f>
        <v/>
      </c>
      <c r="U471" s="152">
        <f>MAX(0,MIN(S471-T471,AQ471-(E471+I471+M471+Q471)))</f>
        <v/>
      </c>
      <c r="V471" s="152">
        <f>S471-T471-U471</f>
        <v/>
      </c>
      <c r="W471" s="152">
        <f>IF(Z470&lt;=0.005,0,Z470*(1+W$6))</f>
        <v/>
      </c>
      <c r="X471" s="152">
        <f>MIN(W471,W$7)</f>
        <v/>
      </c>
      <c r="Y471" s="152">
        <f>MAX(0,MIN(W471-X471,AQ471-(E471+I471+M471+Q471+U471)))</f>
        <v/>
      </c>
      <c r="Z471" s="152">
        <f>W471-X471-Y471</f>
        <v/>
      </c>
      <c r="AA471" s="152">
        <f>IF(AD470&lt;=0.005,0,AD470*(1+AA$6))</f>
        <v/>
      </c>
      <c r="AB471" s="152">
        <f>MIN(AA471,AA$7)</f>
        <v/>
      </c>
      <c r="AC471" s="152">
        <f>MAX(0,MIN(AA471-AB471,AQ471-(E471+I471+M471+Q471+U471+Y471)))</f>
        <v/>
      </c>
      <c r="AD471" s="152">
        <f>AA471-AB471-AC471</f>
        <v/>
      </c>
      <c r="AE471" s="152">
        <f>IF(AH470&lt;=0.005,0,AH470*(1+AE$6))</f>
        <v/>
      </c>
      <c r="AF471" s="152">
        <f>MIN(AE471,AE$7)</f>
        <v/>
      </c>
      <c r="AG471" s="152">
        <f>MAX(0,MIN(AE471-AF471,AQ471-(E471+I471+M471+Q471+U471+Y471+AC471)))</f>
        <v/>
      </c>
      <c r="AH471" s="152">
        <f>AE471-AF471-AG471</f>
        <v/>
      </c>
      <c r="AI471" s="152">
        <f>IF(AL470&lt;=0.005,0,AL470*(1+AI$6))</f>
        <v/>
      </c>
      <c r="AJ471" s="152">
        <f>MIN(AI471,AI$7)</f>
        <v/>
      </c>
      <c r="AK471" s="152">
        <f>MAX(0,MIN(AI471-AJ471,AQ471-(E471+I471+M471+Q471+U471+Y471+AC471+AG471)))</f>
        <v/>
      </c>
      <c r="AL471" s="152">
        <f>AI471-AJ471-AK471</f>
        <v/>
      </c>
      <c r="AM471" s="152">
        <f>IF(AP470&lt;=0.005,0,AP470*(1+AM$6))</f>
        <v/>
      </c>
      <c r="AN471" s="152">
        <f>MIN(AM471,AM$7)</f>
        <v/>
      </c>
      <c r="AO471" s="152">
        <f>MAX(0,MIN(AM471-AN471,AQ471-(E471+I471+M471+Q471+U471+Y471+AC471+AG471+AK471)))</f>
        <v/>
      </c>
      <c r="AP471" s="152">
        <f>AM471-AN471-AO471</f>
        <v/>
      </c>
      <c r="AQ471" s="152">
        <f>'Debt Payoff'!$C$8-SUM(D471,H471,L471,P471,T471,X471,AB471,AF471,AJ471,AN471)</f>
        <v/>
      </c>
      <c r="AR471" s="152">
        <f>SUM(D471,H471,L471,P471,T471,X471,AB471,AF471,AJ471,AN471)+SUM(E471,I471,M471,Q471,U471,Y471,AC471,AG471,AK471,AO471)</f>
        <v/>
      </c>
      <c r="AS471" s="152">
        <f>SUM(F471,J471,N471,R471,V471,Z471,AD471,AH471,AL471,AP471)</f>
        <v/>
      </c>
      <c r="AT471" s="152">
        <f>IF(B471&gt;AS$6,NA(),B471)</f>
        <v/>
      </c>
      <c r="AU471" s="152">
        <f>IF(B471&gt;AS$6,NA(),AS471)</f>
        <v/>
      </c>
      <c r="AV471" s="152" t="n"/>
      <c r="AW471" s="152" t="n">
        <v>460</v>
      </c>
      <c r="AX471" s="152">
        <f>IF(BA470&lt;=0.005,0,BA470*(1+AX$6))</f>
        <v/>
      </c>
      <c r="AY471" s="152">
        <f>MIN(AX471,AX$7)</f>
        <v/>
      </c>
      <c r="AZ471" s="152">
        <f>MAX(0,MIN(AX471-AY471,CL471))</f>
        <v/>
      </c>
      <c r="BA471" s="152">
        <f>AX471-AY471-AZ471</f>
        <v/>
      </c>
      <c r="BB471" s="152">
        <f>IF(BE470&lt;=0.005,0,BE470*(1+BB$6))</f>
        <v/>
      </c>
      <c r="BC471" s="152">
        <f>MIN(BB471,BB$7)</f>
        <v/>
      </c>
      <c r="BD471" s="152">
        <f>MAX(0,MIN(BB471-BC471,CL471-(AZ471)))</f>
        <v/>
      </c>
      <c r="BE471" s="152">
        <f>BB471-BC471-BD471</f>
        <v/>
      </c>
      <c r="BF471" s="152">
        <f>IF(BI470&lt;=0.005,0,BI470*(1+BF$6))</f>
        <v/>
      </c>
      <c r="BG471" s="152">
        <f>MIN(BF471,BF$7)</f>
        <v/>
      </c>
      <c r="BH471" s="152">
        <f>MAX(0,MIN(BF471-BG471,CL471-(AZ471+BD471)))</f>
        <v/>
      </c>
      <c r="BI471" s="152">
        <f>BF471-BG471-BH471</f>
        <v/>
      </c>
      <c r="BJ471" s="152">
        <f>IF(BM470&lt;=0.005,0,BM470*(1+BJ$6))</f>
        <v/>
      </c>
      <c r="BK471" s="152">
        <f>MIN(BJ471,BJ$7)</f>
        <v/>
      </c>
      <c r="BL471" s="152">
        <f>MAX(0,MIN(BJ471-BK471,CL471-(AZ471+BD471+BH471)))</f>
        <v/>
      </c>
      <c r="BM471" s="152">
        <f>BJ471-BK471-BL471</f>
        <v/>
      </c>
      <c r="BN471" s="152">
        <f>IF(BQ470&lt;=0.005,0,BQ470*(1+BN$6))</f>
        <v/>
      </c>
      <c r="BO471" s="152">
        <f>MIN(BN471,BN$7)</f>
        <v/>
      </c>
      <c r="BP471" s="152">
        <f>MAX(0,MIN(BN471-BO471,CL471-(AZ471+BD471+BH471+BL471)))</f>
        <v/>
      </c>
      <c r="BQ471" s="152">
        <f>BN471-BO471-BP471</f>
        <v/>
      </c>
      <c r="BR471" s="152">
        <f>IF(BU470&lt;=0.005,0,BU470*(1+BR$6))</f>
        <v/>
      </c>
      <c r="BS471" s="152">
        <f>MIN(BR471,BR$7)</f>
        <v/>
      </c>
      <c r="BT471" s="152">
        <f>MAX(0,MIN(BR471-BS471,CL471-(AZ471+BD471+BH471+BL471+BP471)))</f>
        <v/>
      </c>
      <c r="BU471" s="152">
        <f>BR471-BS471-BT471</f>
        <v/>
      </c>
      <c r="BV471" s="152">
        <f>IF(BY470&lt;=0.005,0,BY470*(1+BV$6))</f>
        <v/>
      </c>
      <c r="BW471" s="152">
        <f>MIN(BV471,BV$7)</f>
        <v/>
      </c>
      <c r="BX471" s="152">
        <f>MAX(0,MIN(BV471-BW471,CL471-(AZ471+BD471+BH471+BL471+BP471+BT471)))</f>
        <v/>
      </c>
      <c r="BY471" s="152">
        <f>BV471-BW471-BX471</f>
        <v/>
      </c>
      <c r="BZ471" s="152">
        <f>IF(CC470&lt;=0.005,0,CC470*(1+BZ$6))</f>
        <v/>
      </c>
      <c r="CA471" s="152">
        <f>MIN(BZ471,BZ$7)</f>
        <v/>
      </c>
      <c r="CB471" s="152">
        <f>MAX(0,MIN(BZ471-CA471,CL471-(AZ471+BD471+BH471+BL471+BP471+BT471+BX471)))</f>
        <v/>
      </c>
      <c r="CC471" s="152">
        <f>BZ471-CA471-CB471</f>
        <v/>
      </c>
      <c r="CD471" s="152">
        <f>IF(CG470&lt;=0.005,0,CG470*(1+CD$6))</f>
        <v/>
      </c>
      <c r="CE471" s="152">
        <f>MIN(CD471,CD$7)</f>
        <v/>
      </c>
      <c r="CF471" s="152">
        <f>MAX(0,MIN(CD471-CE471,CL471-(AZ471+BD471+BH471+BL471+BP471+BT471+BX471+CB471)))</f>
        <v/>
      </c>
      <c r="CG471" s="152">
        <f>CD471-CE471-CF471</f>
        <v/>
      </c>
      <c r="CH471" s="152">
        <f>IF(CK470&lt;=0.005,0,CK470*(1+CH$6))</f>
        <v/>
      </c>
      <c r="CI471" s="152">
        <f>MIN(CH471,CH$7)</f>
        <v/>
      </c>
      <c r="CJ471" s="152">
        <f>MAX(0,MIN(CH471-CI471,CL471-(AZ471+BD471+BH471+BL471+BP471+BT471+BX471+CB471+CF471)))</f>
        <v/>
      </c>
      <c r="CK471" s="152">
        <f>CH471-CI471-CJ471</f>
        <v/>
      </c>
      <c r="CL471" s="152">
        <f>'Debt Payoff'!$C$8-SUM(AY471,BC471,BG471,BK471,BO471,BS471,BW471,CA471,CE471,CI471)</f>
        <v/>
      </c>
      <c r="CM471" s="152">
        <f>SUM(AY471,BC471,BG471,BK471,BO471,BS471,BW471,CA471,CE471,CI471)+SUM(AZ471,BD471,BH471,BL471,BP471,BT471,BX471,CB471,CF471,CJ471)</f>
        <v/>
      </c>
      <c r="CN471" s="152">
        <f>SUM(BA471,BE471,BI471,BM471,BQ471,BU471,BY471,CC471,CG471,CK471)</f>
        <v/>
      </c>
      <c r="CO471" s="152">
        <f>IF(AW471&gt;CN$6,NA(),AW471)</f>
        <v/>
      </c>
      <c r="CP471" s="152">
        <f>IF(AW471&gt;CN$6,NA(),CN471)</f>
        <v/>
      </c>
    </row>
    <row r="472">
      <c r="B472" s="152" t="n">
        <v>461</v>
      </c>
      <c r="C472" s="152">
        <f>IF(F471&lt;=0.005,0,F471*(1+C$6))</f>
        <v/>
      </c>
      <c r="D472" s="152">
        <f>MIN(C472,C$7)</f>
        <v/>
      </c>
      <c r="E472" s="152">
        <f>MAX(0,MIN(C472-D472,AQ472))</f>
        <v/>
      </c>
      <c r="F472" s="152">
        <f>C472-D472-E472</f>
        <v/>
      </c>
      <c r="G472" s="152">
        <f>IF(J471&lt;=0.005,0,J471*(1+G$6))</f>
        <v/>
      </c>
      <c r="H472" s="152">
        <f>MIN(G472,G$7)</f>
        <v/>
      </c>
      <c r="I472" s="152">
        <f>MAX(0,MIN(G472-H472,AQ472-(E472)))</f>
        <v/>
      </c>
      <c r="J472" s="152">
        <f>G472-H472-I472</f>
        <v/>
      </c>
      <c r="K472" s="152">
        <f>IF(N471&lt;=0.005,0,N471*(1+K$6))</f>
        <v/>
      </c>
      <c r="L472" s="152">
        <f>MIN(K472,K$7)</f>
        <v/>
      </c>
      <c r="M472" s="152">
        <f>MAX(0,MIN(K472-L472,AQ472-(E472+I472)))</f>
        <v/>
      </c>
      <c r="N472" s="152">
        <f>K472-L472-M472</f>
        <v/>
      </c>
      <c r="O472" s="152">
        <f>IF(R471&lt;=0.005,0,R471*(1+O$6))</f>
        <v/>
      </c>
      <c r="P472" s="152">
        <f>MIN(O472,O$7)</f>
        <v/>
      </c>
      <c r="Q472" s="152">
        <f>MAX(0,MIN(O472-P472,AQ472-(E472+I472+M472)))</f>
        <v/>
      </c>
      <c r="R472" s="152">
        <f>O472-P472-Q472</f>
        <v/>
      </c>
      <c r="S472" s="152">
        <f>IF(V471&lt;=0.005,0,V471*(1+S$6))</f>
        <v/>
      </c>
      <c r="T472" s="152">
        <f>MIN(S472,S$7)</f>
        <v/>
      </c>
      <c r="U472" s="152">
        <f>MAX(0,MIN(S472-T472,AQ472-(E472+I472+M472+Q472)))</f>
        <v/>
      </c>
      <c r="V472" s="152">
        <f>S472-T472-U472</f>
        <v/>
      </c>
      <c r="W472" s="152">
        <f>IF(Z471&lt;=0.005,0,Z471*(1+W$6))</f>
        <v/>
      </c>
      <c r="X472" s="152">
        <f>MIN(W472,W$7)</f>
        <v/>
      </c>
      <c r="Y472" s="152">
        <f>MAX(0,MIN(W472-X472,AQ472-(E472+I472+M472+Q472+U472)))</f>
        <v/>
      </c>
      <c r="Z472" s="152">
        <f>W472-X472-Y472</f>
        <v/>
      </c>
      <c r="AA472" s="152">
        <f>IF(AD471&lt;=0.005,0,AD471*(1+AA$6))</f>
        <v/>
      </c>
      <c r="AB472" s="152">
        <f>MIN(AA472,AA$7)</f>
        <v/>
      </c>
      <c r="AC472" s="152">
        <f>MAX(0,MIN(AA472-AB472,AQ472-(E472+I472+M472+Q472+U472+Y472)))</f>
        <v/>
      </c>
      <c r="AD472" s="152">
        <f>AA472-AB472-AC472</f>
        <v/>
      </c>
      <c r="AE472" s="152">
        <f>IF(AH471&lt;=0.005,0,AH471*(1+AE$6))</f>
        <v/>
      </c>
      <c r="AF472" s="152">
        <f>MIN(AE472,AE$7)</f>
        <v/>
      </c>
      <c r="AG472" s="152">
        <f>MAX(0,MIN(AE472-AF472,AQ472-(E472+I472+M472+Q472+U472+Y472+AC472)))</f>
        <v/>
      </c>
      <c r="AH472" s="152">
        <f>AE472-AF472-AG472</f>
        <v/>
      </c>
      <c r="AI472" s="152">
        <f>IF(AL471&lt;=0.005,0,AL471*(1+AI$6))</f>
        <v/>
      </c>
      <c r="AJ472" s="152">
        <f>MIN(AI472,AI$7)</f>
        <v/>
      </c>
      <c r="AK472" s="152">
        <f>MAX(0,MIN(AI472-AJ472,AQ472-(E472+I472+M472+Q472+U472+Y472+AC472+AG472)))</f>
        <v/>
      </c>
      <c r="AL472" s="152">
        <f>AI472-AJ472-AK472</f>
        <v/>
      </c>
      <c r="AM472" s="152">
        <f>IF(AP471&lt;=0.005,0,AP471*(1+AM$6))</f>
        <v/>
      </c>
      <c r="AN472" s="152">
        <f>MIN(AM472,AM$7)</f>
        <v/>
      </c>
      <c r="AO472" s="152">
        <f>MAX(0,MIN(AM472-AN472,AQ472-(E472+I472+M472+Q472+U472+Y472+AC472+AG472+AK472)))</f>
        <v/>
      </c>
      <c r="AP472" s="152">
        <f>AM472-AN472-AO472</f>
        <v/>
      </c>
      <c r="AQ472" s="152">
        <f>'Debt Payoff'!$C$8-SUM(D472,H472,L472,P472,T472,X472,AB472,AF472,AJ472,AN472)</f>
        <v/>
      </c>
      <c r="AR472" s="152">
        <f>SUM(D472,H472,L472,P472,T472,X472,AB472,AF472,AJ472,AN472)+SUM(E472,I472,M472,Q472,U472,Y472,AC472,AG472,AK472,AO472)</f>
        <v/>
      </c>
      <c r="AS472" s="152">
        <f>SUM(F472,J472,N472,R472,V472,Z472,AD472,AH472,AL472,AP472)</f>
        <v/>
      </c>
      <c r="AT472" s="152">
        <f>IF(B472&gt;AS$6,NA(),B472)</f>
        <v/>
      </c>
      <c r="AU472" s="152">
        <f>IF(B472&gt;AS$6,NA(),AS472)</f>
        <v/>
      </c>
      <c r="AV472" s="152" t="n"/>
      <c r="AW472" s="152" t="n">
        <v>461</v>
      </c>
      <c r="AX472" s="152">
        <f>IF(BA471&lt;=0.005,0,BA471*(1+AX$6))</f>
        <v/>
      </c>
      <c r="AY472" s="152">
        <f>MIN(AX472,AX$7)</f>
        <v/>
      </c>
      <c r="AZ472" s="152">
        <f>MAX(0,MIN(AX472-AY472,CL472))</f>
        <v/>
      </c>
      <c r="BA472" s="152">
        <f>AX472-AY472-AZ472</f>
        <v/>
      </c>
      <c r="BB472" s="152">
        <f>IF(BE471&lt;=0.005,0,BE471*(1+BB$6))</f>
        <v/>
      </c>
      <c r="BC472" s="152">
        <f>MIN(BB472,BB$7)</f>
        <v/>
      </c>
      <c r="BD472" s="152">
        <f>MAX(0,MIN(BB472-BC472,CL472-(AZ472)))</f>
        <v/>
      </c>
      <c r="BE472" s="152">
        <f>BB472-BC472-BD472</f>
        <v/>
      </c>
      <c r="BF472" s="152">
        <f>IF(BI471&lt;=0.005,0,BI471*(1+BF$6))</f>
        <v/>
      </c>
      <c r="BG472" s="152">
        <f>MIN(BF472,BF$7)</f>
        <v/>
      </c>
      <c r="BH472" s="152">
        <f>MAX(0,MIN(BF472-BG472,CL472-(AZ472+BD472)))</f>
        <v/>
      </c>
      <c r="BI472" s="152">
        <f>BF472-BG472-BH472</f>
        <v/>
      </c>
      <c r="BJ472" s="152">
        <f>IF(BM471&lt;=0.005,0,BM471*(1+BJ$6))</f>
        <v/>
      </c>
      <c r="BK472" s="152">
        <f>MIN(BJ472,BJ$7)</f>
        <v/>
      </c>
      <c r="BL472" s="152">
        <f>MAX(0,MIN(BJ472-BK472,CL472-(AZ472+BD472+BH472)))</f>
        <v/>
      </c>
      <c r="BM472" s="152">
        <f>BJ472-BK472-BL472</f>
        <v/>
      </c>
      <c r="BN472" s="152">
        <f>IF(BQ471&lt;=0.005,0,BQ471*(1+BN$6))</f>
        <v/>
      </c>
      <c r="BO472" s="152">
        <f>MIN(BN472,BN$7)</f>
        <v/>
      </c>
      <c r="BP472" s="152">
        <f>MAX(0,MIN(BN472-BO472,CL472-(AZ472+BD472+BH472+BL472)))</f>
        <v/>
      </c>
      <c r="BQ472" s="152">
        <f>BN472-BO472-BP472</f>
        <v/>
      </c>
      <c r="BR472" s="152">
        <f>IF(BU471&lt;=0.005,0,BU471*(1+BR$6))</f>
        <v/>
      </c>
      <c r="BS472" s="152">
        <f>MIN(BR472,BR$7)</f>
        <v/>
      </c>
      <c r="BT472" s="152">
        <f>MAX(0,MIN(BR472-BS472,CL472-(AZ472+BD472+BH472+BL472+BP472)))</f>
        <v/>
      </c>
      <c r="BU472" s="152">
        <f>BR472-BS472-BT472</f>
        <v/>
      </c>
      <c r="BV472" s="152">
        <f>IF(BY471&lt;=0.005,0,BY471*(1+BV$6))</f>
        <v/>
      </c>
      <c r="BW472" s="152">
        <f>MIN(BV472,BV$7)</f>
        <v/>
      </c>
      <c r="BX472" s="152">
        <f>MAX(0,MIN(BV472-BW472,CL472-(AZ472+BD472+BH472+BL472+BP472+BT472)))</f>
        <v/>
      </c>
      <c r="BY472" s="152">
        <f>BV472-BW472-BX472</f>
        <v/>
      </c>
      <c r="BZ472" s="152">
        <f>IF(CC471&lt;=0.005,0,CC471*(1+BZ$6))</f>
        <v/>
      </c>
      <c r="CA472" s="152">
        <f>MIN(BZ472,BZ$7)</f>
        <v/>
      </c>
      <c r="CB472" s="152">
        <f>MAX(0,MIN(BZ472-CA472,CL472-(AZ472+BD472+BH472+BL472+BP472+BT472+BX472)))</f>
        <v/>
      </c>
      <c r="CC472" s="152">
        <f>BZ472-CA472-CB472</f>
        <v/>
      </c>
      <c r="CD472" s="152">
        <f>IF(CG471&lt;=0.005,0,CG471*(1+CD$6))</f>
        <v/>
      </c>
      <c r="CE472" s="152">
        <f>MIN(CD472,CD$7)</f>
        <v/>
      </c>
      <c r="CF472" s="152">
        <f>MAX(0,MIN(CD472-CE472,CL472-(AZ472+BD472+BH472+BL472+BP472+BT472+BX472+CB472)))</f>
        <v/>
      </c>
      <c r="CG472" s="152">
        <f>CD472-CE472-CF472</f>
        <v/>
      </c>
      <c r="CH472" s="152">
        <f>IF(CK471&lt;=0.005,0,CK471*(1+CH$6))</f>
        <v/>
      </c>
      <c r="CI472" s="152">
        <f>MIN(CH472,CH$7)</f>
        <v/>
      </c>
      <c r="CJ472" s="152">
        <f>MAX(0,MIN(CH472-CI472,CL472-(AZ472+BD472+BH472+BL472+BP472+BT472+BX472+CB472+CF472)))</f>
        <v/>
      </c>
      <c r="CK472" s="152">
        <f>CH472-CI472-CJ472</f>
        <v/>
      </c>
      <c r="CL472" s="152">
        <f>'Debt Payoff'!$C$8-SUM(AY472,BC472,BG472,BK472,BO472,BS472,BW472,CA472,CE472,CI472)</f>
        <v/>
      </c>
      <c r="CM472" s="152">
        <f>SUM(AY472,BC472,BG472,BK472,BO472,BS472,BW472,CA472,CE472,CI472)+SUM(AZ472,BD472,BH472,BL472,BP472,BT472,BX472,CB472,CF472,CJ472)</f>
        <v/>
      </c>
      <c r="CN472" s="152">
        <f>SUM(BA472,BE472,BI472,BM472,BQ472,BU472,BY472,CC472,CG472,CK472)</f>
        <v/>
      </c>
      <c r="CO472" s="152">
        <f>IF(AW472&gt;CN$6,NA(),AW472)</f>
        <v/>
      </c>
      <c r="CP472" s="152">
        <f>IF(AW472&gt;CN$6,NA(),CN472)</f>
        <v/>
      </c>
    </row>
    <row r="473">
      <c r="B473" s="152" t="n">
        <v>462</v>
      </c>
      <c r="C473" s="152">
        <f>IF(F472&lt;=0.005,0,F472*(1+C$6))</f>
        <v/>
      </c>
      <c r="D473" s="152">
        <f>MIN(C473,C$7)</f>
        <v/>
      </c>
      <c r="E473" s="152">
        <f>MAX(0,MIN(C473-D473,AQ473))</f>
        <v/>
      </c>
      <c r="F473" s="152">
        <f>C473-D473-E473</f>
        <v/>
      </c>
      <c r="G473" s="152">
        <f>IF(J472&lt;=0.005,0,J472*(1+G$6))</f>
        <v/>
      </c>
      <c r="H473" s="152">
        <f>MIN(G473,G$7)</f>
        <v/>
      </c>
      <c r="I473" s="152">
        <f>MAX(0,MIN(G473-H473,AQ473-(E473)))</f>
        <v/>
      </c>
      <c r="J473" s="152">
        <f>G473-H473-I473</f>
        <v/>
      </c>
      <c r="K473" s="152">
        <f>IF(N472&lt;=0.005,0,N472*(1+K$6))</f>
        <v/>
      </c>
      <c r="L473" s="152">
        <f>MIN(K473,K$7)</f>
        <v/>
      </c>
      <c r="M473" s="152">
        <f>MAX(0,MIN(K473-L473,AQ473-(E473+I473)))</f>
        <v/>
      </c>
      <c r="N473" s="152">
        <f>K473-L473-M473</f>
        <v/>
      </c>
      <c r="O473" s="152">
        <f>IF(R472&lt;=0.005,0,R472*(1+O$6))</f>
        <v/>
      </c>
      <c r="P473" s="152">
        <f>MIN(O473,O$7)</f>
        <v/>
      </c>
      <c r="Q473" s="152">
        <f>MAX(0,MIN(O473-P473,AQ473-(E473+I473+M473)))</f>
        <v/>
      </c>
      <c r="R473" s="152">
        <f>O473-P473-Q473</f>
        <v/>
      </c>
      <c r="S473" s="152">
        <f>IF(V472&lt;=0.005,0,V472*(1+S$6))</f>
        <v/>
      </c>
      <c r="T473" s="152">
        <f>MIN(S473,S$7)</f>
        <v/>
      </c>
      <c r="U473" s="152">
        <f>MAX(0,MIN(S473-T473,AQ473-(E473+I473+M473+Q473)))</f>
        <v/>
      </c>
      <c r="V473" s="152">
        <f>S473-T473-U473</f>
        <v/>
      </c>
      <c r="W473" s="152">
        <f>IF(Z472&lt;=0.005,0,Z472*(1+W$6))</f>
        <v/>
      </c>
      <c r="X473" s="152">
        <f>MIN(W473,W$7)</f>
        <v/>
      </c>
      <c r="Y473" s="152">
        <f>MAX(0,MIN(W473-X473,AQ473-(E473+I473+M473+Q473+U473)))</f>
        <v/>
      </c>
      <c r="Z473" s="152">
        <f>W473-X473-Y473</f>
        <v/>
      </c>
      <c r="AA473" s="152">
        <f>IF(AD472&lt;=0.005,0,AD472*(1+AA$6))</f>
        <v/>
      </c>
      <c r="AB473" s="152">
        <f>MIN(AA473,AA$7)</f>
        <v/>
      </c>
      <c r="AC473" s="152">
        <f>MAX(0,MIN(AA473-AB473,AQ473-(E473+I473+M473+Q473+U473+Y473)))</f>
        <v/>
      </c>
      <c r="AD473" s="152">
        <f>AA473-AB473-AC473</f>
        <v/>
      </c>
      <c r="AE473" s="152">
        <f>IF(AH472&lt;=0.005,0,AH472*(1+AE$6))</f>
        <v/>
      </c>
      <c r="AF473" s="152">
        <f>MIN(AE473,AE$7)</f>
        <v/>
      </c>
      <c r="AG473" s="152">
        <f>MAX(0,MIN(AE473-AF473,AQ473-(E473+I473+M473+Q473+U473+Y473+AC473)))</f>
        <v/>
      </c>
      <c r="AH473" s="152">
        <f>AE473-AF473-AG473</f>
        <v/>
      </c>
      <c r="AI473" s="152">
        <f>IF(AL472&lt;=0.005,0,AL472*(1+AI$6))</f>
        <v/>
      </c>
      <c r="AJ473" s="152">
        <f>MIN(AI473,AI$7)</f>
        <v/>
      </c>
      <c r="AK473" s="152">
        <f>MAX(0,MIN(AI473-AJ473,AQ473-(E473+I473+M473+Q473+U473+Y473+AC473+AG473)))</f>
        <v/>
      </c>
      <c r="AL473" s="152">
        <f>AI473-AJ473-AK473</f>
        <v/>
      </c>
      <c r="AM473" s="152">
        <f>IF(AP472&lt;=0.005,0,AP472*(1+AM$6))</f>
        <v/>
      </c>
      <c r="AN473" s="152">
        <f>MIN(AM473,AM$7)</f>
        <v/>
      </c>
      <c r="AO473" s="152">
        <f>MAX(0,MIN(AM473-AN473,AQ473-(E473+I473+M473+Q473+U473+Y473+AC473+AG473+AK473)))</f>
        <v/>
      </c>
      <c r="AP473" s="152">
        <f>AM473-AN473-AO473</f>
        <v/>
      </c>
      <c r="AQ473" s="152">
        <f>'Debt Payoff'!$C$8-SUM(D473,H473,L473,P473,T473,X473,AB473,AF473,AJ473,AN473)</f>
        <v/>
      </c>
      <c r="AR473" s="152">
        <f>SUM(D473,H473,L473,P473,T473,X473,AB473,AF473,AJ473,AN473)+SUM(E473,I473,M473,Q473,U473,Y473,AC473,AG473,AK473,AO473)</f>
        <v/>
      </c>
      <c r="AS473" s="152">
        <f>SUM(F473,J473,N473,R473,V473,Z473,AD473,AH473,AL473,AP473)</f>
        <v/>
      </c>
      <c r="AT473" s="152">
        <f>IF(B473&gt;AS$6,NA(),B473)</f>
        <v/>
      </c>
      <c r="AU473" s="152">
        <f>IF(B473&gt;AS$6,NA(),AS473)</f>
        <v/>
      </c>
      <c r="AV473" s="152" t="n"/>
      <c r="AW473" s="152" t="n">
        <v>462</v>
      </c>
      <c r="AX473" s="152">
        <f>IF(BA472&lt;=0.005,0,BA472*(1+AX$6))</f>
        <v/>
      </c>
      <c r="AY473" s="152">
        <f>MIN(AX473,AX$7)</f>
        <v/>
      </c>
      <c r="AZ473" s="152">
        <f>MAX(0,MIN(AX473-AY473,CL473))</f>
        <v/>
      </c>
      <c r="BA473" s="152">
        <f>AX473-AY473-AZ473</f>
        <v/>
      </c>
      <c r="BB473" s="152">
        <f>IF(BE472&lt;=0.005,0,BE472*(1+BB$6))</f>
        <v/>
      </c>
      <c r="BC473" s="152">
        <f>MIN(BB473,BB$7)</f>
        <v/>
      </c>
      <c r="BD473" s="152">
        <f>MAX(0,MIN(BB473-BC473,CL473-(AZ473)))</f>
        <v/>
      </c>
      <c r="BE473" s="152">
        <f>BB473-BC473-BD473</f>
        <v/>
      </c>
      <c r="BF473" s="152">
        <f>IF(BI472&lt;=0.005,0,BI472*(1+BF$6))</f>
        <v/>
      </c>
      <c r="BG473" s="152">
        <f>MIN(BF473,BF$7)</f>
        <v/>
      </c>
      <c r="BH473" s="152">
        <f>MAX(0,MIN(BF473-BG473,CL473-(AZ473+BD473)))</f>
        <v/>
      </c>
      <c r="BI473" s="152">
        <f>BF473-BG473-BH473</f>
        <v/>
      </c>
      <c r="BJ473" s="152">
        <f>IF(BM472&lt;=0.005,0,BM472*(1+BJ$6))</f>
        <v/>
      </c>
      <c r="BK473" s="152">
        <f>MIN(BJ473,BJ$7)</f>
        <v/>
      </c>
      <c r="BL473" s="152">
        <f>MAX(0,MIN(BJ473-BK473,CL473-(AZ473+BD473+BH473)))</f>
        <v/>
      </c>
      <c r="BM473" s="152">
        <f>BJ473-BK473-BL473</f>
        <v/>
      </c>
      <c r="BN473" s="152">
        <f>IF(BQ472&lt;=0.005,0,BQ472*(1+BN$6))</f>
        <v/>
      </c>
      <c r="BO473" s="152">
        <f>MIN(BN473,BN$7)</f>
        <v/>
      </c>
      <c r="BP473" s="152">
        <f>MAX(0,MIN(BN473-BO473,CL473-(AZ473+BD473+BH473+BL473)))</f>
        <v/>
      </c>
      <c r="BQ473" s="152">
        <f>BN473-BO473-BP473</f>
        <v/>
      </c>
      <c r="BR473" s="152">
        <f>IF(BU472&lt;=0.005,0,BU472*(1+BR$6))</f>
        <v/>
      </c>
      <c r="BS473" s="152">
        <f>MIN(BR473,BR$7)</f>
        <v/>
      </c>
      <c r="BT473" s="152">
        <f>MAX(0,MIN(BR473-BS473,CL473-(AZ473+BD473+BH473+BL473+BP473)))</f>
        <v/>
      </c>
      <c r="BU473" s="152">
        <f>BR473-BS473-BT473</f>
        <v/>
      </c>
      <c r="BV473" s="152">
        <f>IF(BY472&lt;=0.005,0,BY472*(1+BV$6))</f>
        <v/>
      </c>
      <c r="BW473" s="152">
        <f>MIN(BV473,BV$7)</f>
        <v/>
      </c>
      <c r="BX473" s="152">
        <f>MAX(0,MIN(BV473-BW473,CL473-(AZ473+BD473+BH473+BL473+BP473+BT473)))</f>
        <v/>
      </c>
      <c r="BY473" s="152">
        <f>BV473-BW473-BX473</f>
        <v/>
      </c>
      <c r="BZ473" s="152">
        <f>IF(CC472&lt;=0.005,0,CC472*(1+BZ$6))</f>
        <v/>
      </c>
      <c r="CA473" s="152">
        <f>MIN(BZ473,BZ$7)</f>
        <v/>
      </c>
      <c r="CB473" s="152">
        <f>MAX(0,MIN(BZ473-CA473,CL473-(AZ473+BD473+BH473+BL473+BP473+BT473+BX473)))</f>
        <v/>
      </c>
      <c r="CC473" s="152">
        <f>BZ473-CA473-CB473</f>
        <v/>
      </c>
      <c r="CD473" s="152">
        <f>IF(CG472&lt;=0.005,0,CG472*(1+CD$6))</f>
        <v/>
      </c>
      <c r="CE473" s="152">
        <f>MIN(CD473,CD$7)</f>
        <v/>
      </c>
      <c r="CF473" s="152">
        <f>MAX(0,MIN(CD473-CE473,CL473-(AZ473+BD473+BH473+BL473+BP473+BT473+BX473+CB473)))</f>
        <v/>
      </c>
      <c r="CG473" s="152">
        <f>CD473-CE473-CF473</f>
        <v/>
      </c>
      <c r="CH473" s="152">
        <f>IF(CK472&lt;=0.005,0,CK472*(1+CH$6))</f>
        <v/>
      </c>
      <c r="CI473" s="152">
        <f>MIN(CH473,CH$7)</f>
        <v/>
      </c>
      <c r="CJ473" s="152">
        <f>MAX(0,MIN(CH473-CI473,CL473-(AZ473+BD473+BH473+BL473+BP473+BT473+BX473+CB473+CF473)))</f>
        <v/>
      </c>
      <c r="CK473" s="152">
        <f>CH473-CI473-CJ473</f>
        <v/>
      </c>
      <c r="CL473" s="152">
        <f>'Debt Payoff'!$C$8-SUM(AY473,BC473,BG473,BK473,BO473,BS473,BW473,CA473,CE473,CI473)</f>
        <v/>
      </c>
      <c r="CM473" s="152">
        <f>SUM(AY473,BC473,BG473,BK473,BO473,BS473,BW473,CA473,CE473,CI473)+SUM(AZ473,BD473,BH473,BL473,BP473,BT473,BX473,CB473,CF473,CJ473)</f>
        <v/>
      </c>
      <c r="CN473" s="152">
        <f>SUM(BA473,BE473,BI473,BM473,BQ473,BU473,BY473,CC473,CG473,CK473)</f>
        <v/>
      </c>
      <c r="CO473" s="152">
        <f>IF(AW473&gt;CN$6,NA(),AW473)</f>
        <v/>
      </c>
      <c r="CP473" s="152">
        <f>IF(AW473&gt;CN$6,NA(),CN473)</f>
        <v/>
      </c>
    </row>
    <row r="474">
      <c r="B474" s="152" t="n">
        <v>463</v>
      </c>
      <c r="C474" s="152">
        <f>IF(F473&lt;=0.005,0,F473*(1+C$6))</f>
        <v/>
      </c>
      <c r="D474" s="152">
        <f>MIN(C474,C$7)</f>
        <v/>
      </c>
      <c r="E474" s="152">
        <f>MAX(0,MIN(C474-D474,AQ474))</f>
        <v/>
      </c>
      <c r="F474" s="152">
        <f>C474-D474-E474</f>
        <v/>
      </c>
      <c r="G474" s="152">
        <f>IF(J473&lt;=0.005,0,J473*(1+G$6))</f>
        <v/>
      </c>
      <c r="H474" s="152">
        <f>MIN(G474,G$7)</f>
        <v/>
      </c>
      <c r="I474" s="152">
        <f>MAX(0,MIN(G474-H474,AQ474-(E474)))</f>
        <v/>
      </c>
      <c r="J474" s="152">
        <f>G474-H474-I474</f>
        <v/>
      </c>
      <c r="K474" s="152">
        <f>IF(N473&lt;=0.005,0,N473*(1+K$6))</f>
        <v/>
      </c>
      <c r="L474" s="152">
        <f>MIN(K474,K$7)</f>
        <v/>
      </c>
      <c r="M474" s="152">
        <f>MAX(0,MIN(K474-L474,AQ474-(E474+I474)))</f>
        <v/>
      </c>
      <c r="N474" s="152">
        <f>K474-L474-M474</f>
        <v/>
      </c>
      <c r="O474" s="152">
        <f>IF(R473&lt;=0.005,0,R473*(1+O$6))</f>
        <v/>
      </c>
      <c r="P474" s="152">
        <f>MIN(O474,O$7)</f>
        <v/>
      </c>
      <c r="Q474" s="152">
        <f>MAX(0,MIN(O474-P474,AQ474-(E474+I474+M474)))</f>
        <v/>
      </c>
      <c r="R474" s="152">
        <f>O474-P474-Q474</f>
        <v/>
      </c>
      <c r="S474" s="152">
        <f>IF(V473&lt;=0.005,0,V473*(1+S$6))</f>
        <v/>
      </c>
      <c r="T474" s="152">
        <f>MIN(S474,S$7)</f>
        <v/>
      </c>
      <c r="U474" s="152">
        <f>MAX(0,MIN(S474-T474,AQ474-(E474+I474+M474+Q474)))</f>
        <v/>
      </c>
      <c r="V474" s="152">
        <f>S474-T474-U474</f>
        <v/>
      </c>
      <c r="W474" s="152">
        <f>IF(Z473&lt;=0.005,0,Z473*(1+W$6))</f>
        <v/>
      </c>
      <c r="X474" s="152">
        <f>MIN(W474,W$7)</f>
        <v/>
      </c>
      <c r="Y474" s="152">
        <f>MAX(0,MIN(W474-X474,AQ474-(E474+I474+M474+Q474+U474)))</f>
        <v/>
      </c>
      <c r="Z474" s="152">
        <f>W474-X474-Y474</f>
        <v/>
      </c>
      <c r="AA474" s="152">
        <f>IF(AD473&lt;=0.005,0,AD473*(1+AA$6))</f>
        <v/>
      </c>
      <c r="AB474" s="152">
        <f>MIN(AA474,AA$7)</f>
        <v/>
      </c>
      <c r="AC474" s="152">
        <f>MAX(0,MIN(AA474-AB474,AQ474-(E474+I474+M474+Q474+U474+Y474)))</f>
        <v/>
      </c>
      <c r="AD474" s="152">
        <f>AA474-AB474-AC474</f>
        <v/>
      </c>
      <c r="AE474" s="152">
        <f>IF(AH473&lt;=0.005,0,AH473*(1+AE$6))</f>
        <v/>
      </c>
      <c r="AF474" s="152">
        <f>MIN(AE474,AE$7)</f>
        <v/>
      </c>
      <c r="AG474" s="152">
        <f>MAX(0,MIN(AE474-AF474,AQ474-(E474+I474+M474+Q474+U474+Y474+AC474)))</f>
        <v/>
      </c>
      <c r="AH474" s="152">
        <f>AE474-AF474-AG474</f>
        <v/>
      </c>
      <c r="AI474" s="152">
        <f>IF(AL473&lt;=0.005,0,AL473*(1+AI$6))</f>
        <v/>
      </c>
      <c r="AJ474" s="152">
        <f>MIN(AI474,AI$7)</f>
        <v/>
      </c>
      <c r="AK474" s="152">
        <f>MAX(0,MIN(AI474-AJ474,AQ474-(E474+I474+M474+Q474+U474+Y474+AC474+AG474)))</f>
        <v/>
      </c>
      <c r="AL474" s="152">
        <f>AI474-AJ474-AK474</f>
        <v/>
      </c>
      <c r="AM474" s="152">
        <f>IF(AP473&lt;=0.005,0,AP473*(1+AM$6))</f>
        <v/>
      </c>
      <c r="AN474" s="152">
        <f>MIN(AM474,AM$7)</f>
        <v/>
      </c>
      <c r="AO474" s="152">
        <f>MAX(0,MIN(AM474-AN474,AQ474-(E474+I474+M474+Q474+U474+Y474+AC474+AG474+AK474)))</f>
        <v/>
      </c>
      <c r="AP474" s="152">
        <f>AM474-AN474-AO474</f>
        <v/>
      </c>
      <c r="AQ474" s="152">
        <f>'Debt Payoff'!$C$8-SUM(D474,H474,L474,P474,T474,X474,AB474,AF474,AJ474,AN474)</f>
        <v/>
      </c>
      <c r="AR474" s="152">
        <f>SUM(D474,H474,L474,P474,T474,X474,AB474,AF474,AJ474,AN474)+SUM(E474,I474,M474,Q474,U474,Y474,AC474,AG474,AK474,AO474)</f>
        <v/>
      </c>
      <c r="AS474" s="152">
        <f>SUM(F474,J474,N474,R474,V474,Z474,AD474,AH474,AL474,AP474)</f>
        <v/>
      </c>
      <c r="AT474" s="152">
        <f>IF(B474&gt;AS$6,NA(),B474)</f>
        <v/>
      </c>
      <c r="AU474" s="152">
        <f>IF(B474&gt;AS$6,NA(),AS474)</f>
        <v/>
      </c>
      <c r="AV474" s="152" t="n"/>
      <c r="AW474" s="152" t="n">
        <v>463</v>
      </c>
      <c r="AX474" s="152">
        <f>IF(BA473&lt;=0.005,0,BA473*(1+AX$6))</f>
        <v/>
      </c>
      <c r="AY474" s="152">
        <f>MIN(AX474,AX$7)</f>
        <v/>
      </c>
      <c r="AZ474" s="152">
        <f>MAX(0,MIN(AX474-AY474,CL474))</f>
        <v/>
      </c>
      <c r="BA474" s="152">
        <f>AX474-AY474-AZ474</f>
        <v/>
      </c>
      <c r="BB474" s="152">
        <f>IF(BE473&lt;=0.005,0,BE473*(1+BB$6))</f>
        <v/>
      </c>
      <c r="BC474" s="152">
        <f>MIN(BB474,BB$7)</f>
        <v/>
      </c>
      <c r="BD474" s="152">
        <f>MAX(0,MIN(BB474-BC474,CL474-(AZ474)))</f>
        <v/>
      </c>
      <c r="BE474" s="152">
        <f>BB474-BC474-BD474</f>
        <v/>
      </c>
      <c r="BF474" s="152">
        <f>IF(BI473&lt;=0.005,0,BI473*(1+BF$6))</f>
        <v/>
      </c>
      <c r="BG474" s="152">
        <f>MIN(BF474,BF$7)</f>
        <v/>
      </c>
      <c r="BH474" s="152">
        <f>MAX(0,MIN(BF474-BG474,CL474-(AZ474+BD474)))</f>
        <v/>
      </c>
      <c r="BI474" s="152">
        <f>BF474-BG474-BH474</f>
        <v/>
      </c>
      <c r="BJ474" s="152">
        <f>IF(BM473&lt;=0.005,0,BM473*(1+BJ$6))</f>
        <v/>
      </c>
      <c r="BK474" s="152">
        <f>MIN(BJ474,BJ$7)</f>
        <v/>
      </c>
      <c r="BL474" s="152">
        <f>MAX(0,MIN(BJ474-BK474,CL474-(AZ474+BD474+BH474)))</f>
        <v/>
      </c>
      <c r="BM474" s="152">
        <f>BJ474-BK474-BL474</f>
        <v/>
      </c>
      <c r="BN474" s="152">
        <f>IF(BQ473&lt;=0.005,0,BQ473*(1+BN$6))</f>
        <v/>
      </c>
      <c r="BO474" s="152">
        <f>MIN(BN474,BN$7)</f>
        <v/>
      </c>
      <c r="BP474" s="152">
        <f>MAX(0,MIN(BN474-BO474,CL474-(AZ474+BD474+BH474+BL474)))</f>
        <v/>
      </c>
      <c r="BQ474" s="152">
        <f>BN474-BO474-BP474</f>
        <v/>
      </c>
      <c r="BR474" s="152">
        <f>IF(BU473&lt;=0.005,0,BU473*(1+BR$6))</f>
        <v/>
      </c>
      <c r="BS474" s="152">
        <f>MIN(BR474,BR$7)</f>
        <v/>
      </c>
      <c r="BT474" s="152">
        <f>MAX(0,MIN(BR474-BS474,CL474-(AZ474+BD474+BH474+BL474+BP474)))</f>
        <v/>
      </c>
      <c r="BU474" s="152">
        <f>BR474-BS474-BT474</f>
        <v/>
      </c>
      <c r="BV474" s="152">
        <f>IF(BY473&lt;=0.005,0,BY473*(1+BV$6))</f>
        <v/>
      </c>
      <c r="BW474" s="152">
        <f>MIN(BV474,BV$7)</f>
        <v/>
      </c>
      <c r="BX474" s="152">
        <f>MAX(0,MIN(BV474-BW474,CL474-(AZ474+BD474+BH474+BL474+BP474+BT474)))</f>
        <v/>
      </c>
      <c r="BY474" s="152">
        <f>BV474-BW474-BX474</f>
        <v/>
      </c>
      <c r="BZ474" s="152">
        <f>IF(CC473&lt;=0.005,0,CC473*(1+BZ$6))</f>
        <v/>
      </c>
      <c r="CA474" s="152">
        <f>MIN(BZ474,BZ$7)</f>
        <v/>
      </c>
      <c r="CB474" s="152">
        <f>MAX(0,MIN(BZ474-CA474,CL474-(AZ474+BD474+BH474+BL474+BP474+BT474+BX474)))</f>
        <v/>
      </c>
      <c r="CC474" s="152">
        <f>BZ474-CA474-CB474</f>
        <v/>
      </c>
      <c r="CD474" s="152">
        <f>IF(CG473&lt;=0.005,0,CG473*(1+CD$6))</f>
        <v/>
      </c>
      <c r="CE474" s="152">
        <f>MIN(CD474,CD$7)</f>
        <v/>
      </c>
      <c r="CF474" s="152">
        <f>MAX(0,MIN(CD474-CE474,CL474-(AZ474+BD474+BH474+BL474+BP474+BT474+BX474+CB474)))</f>
        <v/>
      </c>
      <c r="CG474" s="152">
        <f>CD474-CE474-CF474</f>
        <v/>
      </c>
      <c r="CH474" s="152">
        <f>IF(CK473&lt;=0.005,0,CK473*(1+CH$6))</f>
        <v/>
      </c>
      <c r="CI474" s="152">
        <f>MIN(CH474,CH$7)</f>
        <v/>
      </c>
      <c r="CJ474" s="152">
        <f>MAX(0,MIN(CH474-CI474,CL474-(AZ474+BD474+BH474+BL474+BP474+BT474+BX474+CB474+CF474)))</f>
        <v/>
      </c>
      <c r="CK474" s="152">
        <f>CH474-CI474-CJ474</f>
        <v/>
      </c>
      <c r="CL474" s="152">
        <f>'Debt Payoff'!$C$8-SUM(AY474,BC474,BG474,BK474,BO474,BS474,BW474,CA474,CE474,CI474)</f>
        <v/>
      </c>
      <c r="CM474" s="152">
        <f>SUM(AY474,BC474,BG474,BK474,BO474,BS474,BW474,CA474,CE474,CI474)+SUM(AZ474,BD474,BH474,BL474,BP474,BT474,BX474,CB474,CF474,CJ474)</f>
        <v/>
      </c>
      <c r="CN474" s="152">
        <f>SUM(BA474,BE474,BI474,BM474,BQ474,BU474,BY474,CC474,CG474,CK474)</f>
        <v/>
      </c>
      <c r="CO474" s="152">
        <f>IF(AW474&gt;CN$6,NA(),AW474)</f>
        <v/>
      </c>
      <c r="CP474" s="152">
        <f>IF(AW474&gt;CN$6,NA(),CN474)</f>
        <v/>
      </c>
    </row>
    <row r="475">
      <c r="B475" s="152" t="n">
        <v>464</v>
      </c>
      <c r="C475" s="152">
        <f>IF(F474&lt;=0.005,0,F474*(1+C$6))</f>
        <v/>
      </c>
      <c r="D475" s="152">
        <f>MIN(C475,C$7)</f>
        <v/>
      </c>
      <c r="E475" s="152">
        <f>MAX(0,MIN(C475-D475,AQ475))</f>
        <v/>
      </c>
      <c r="F475" s="152">
        <f>C475-D475-E475</f>
        <v/>
      </c>
      <c r="G475" s="152">
        <f>IF(J474&lt;=0.005,0,J474*(1+G$6))</f>
        <v/>
      </c>
      <c r="H475" s="152">
        <f>MIN(G475,G$7)</f>
        <v/>
      </c>
      <c r="I475" s="152">
        <f>MAX(0,MIN(G475-H475,AQ475-(E475)))</f>
        <v/>
      </c>
      <c r="J475" s="152">
        <f>G475-H475-I475</f>
        <v/>
      </c>
      <c r="K475" s="152">
        <f>IF(N474&lt;=0.005,0,N474*(1+K$6))</f>
        <v/>
      </c>
      <c r="L475" s="152">
        <f>MIN(K475,K$7)</f>
        <v/>
      </c>
      <c r="M475" s="152">
        <f>MAX(0,MIN(K475-L475,AQ475-(E475+I475)))</f>
        <v/>
      </c>
      <c r="N475" s="152">
        <f>K475-L475-M475</f>
        <v/>
      </c>
      <c r="O475" s="152">
        <f>IF(R474&lt;=0.005,0,R474*(1+O$6))</f>
        <v/>
      </c>
      <c r="P475" s="152">
        <f>MIN(O475,O$7)</f>
        <v/>
      </c>
      <c r="Q475" s="152">
        <f>MAX(0,MIN(O475-P475,AQ475-(E475+I475+M475)))</f>
        <v/>
      </c>
      <c r="R475" s="152">
        <f>O475-P475-Q475</f>
        <v/>
      </c>
      <c r="S475" s="152">
        <f>IF(V474&lt;=0.005,0,V474*(1+S$6))</f>
        <v/>
      </c>
      <c r="T475" s="152">
        <f>MIN(S475,S$7)</f>
        <v/>
      </c>
      <c r="U475" s="152">
        <f>MAX(0,MIN(S475-T475,AQ475-(E475+I475+M475+Q475)))</f>
        <v/>
      </c>
      <c r="V475" s="152">
        <f>S475-T475-U475</f>
        <v/>
      </c>
      <c r="W475" s="152">
        <f>IF(Z474&lt;=0.005,0,Z474*(1+W$6))</f>
        <v/>
      </c>
      <c r="X475" s="152">
        <f>MIN(W475,W$7)</f>
        <v/>
      </c>
      <c r="Y475" s="152">
        <f>MAX(0,MIN(W475-X475,AQ475-(E475+I475+M475+Q475+U475)))</f>
        <v/>
      </c>
      <c r="Z475" s="152">
        <f>W475-X475-Y475</f>
        <v/>
      </c>
      <c r="AA475" s="152">
        <f>IF(AD474&lt;=0.005,0,AD474*(1+AA$6))</f>
        <v/>
      </c>
      <c r="AB475" s="152">
        <f>MIN(AA475,AA$7)</f>
        <v/>
      </c>
      <c r="AC475" s="152">
        <f>MAX(0,MIN(AA475-AB475,AQ475-(E475+I475+M475+Q475+U475+Y475)))</f>
        <v/>
      </c>
      <c r="AD475" s="152">
        <f>AA475-AB475-AC475</f>
        <v/>
      </c>
      <c r="AE475" s="152">
        <f>IF(AH474&lt;=0.005,0,AH474*(1+AE$6))</f>
        <v/>
      </c>
      <c r="AF475" s="152">
        <f>MIN(AE475,AE$7)</f>
        <v/>
      </c>
      <c r="AG475" s="152">
        <f>MAX(0,MIN(AE475-AF475,AQ475-(E475+I475+M475+Q475+U475+Y475+AC475)))</f>
        <v/>
      </c>
      <c r="AH475" s="152">
        <f>AE475-AF475-AG475</f>
        <v/>
      </c>
      <c r="AI475" s="152">
        <f>IF(AL474&lt;=0.005,0,AL474*(1+AI$6))</f>
        <v/>
      </c>
      <c r="AJ475" s="152">
        <f>MIN(AI475,AI$7)</f>
        <v/>
      </c>
      <c r="AK475" s="152">
        <f>MAX(0,MIN(AI475-AJ475,AQ475-(E475+I475+M475+Q475+U475+Y475+AC475+AG475)))</f>
        <v/>
      </c>
      <c r="AL475" s="152">
        <f>AI475-AJ475-AK475</f>
        <v/>
      </c>
      <c r="AM475" s="152">
        <f>IF(AP474&lt;=0.005,0,AP474*(1+AM$6))</f>
        <v/>
      </c>
      <c r="AN475" s="152">
        <f>MIN(AM475,AM$7)</f>
        <v/>
      </c>
      <c r="AO475" s="152">
        <f>MAX(0,MIN(AM475-AN475,AQ475-(E475+I475+M475+Q475+U475+Y475+AC475+AG475+AK475)))</f>
        <v/>
      </c>
      <c r="AP475" s="152">
        <f>AM475-AN475-AO475</f>
        <v/>
      </c>
      <c r="AQ475" s="152">
        <f>'Debt Payoff'!$C$8-SUM(D475,H475,L475,P475,T475,X475,AB475,AF475,AJ475,AN475)</f>
        <v/>
      </c>
      <c r="AR475" s="152">
        <f>SUM(D475,H475,L475,P475,T475,X475,AB475,AF475,AJ475,AN475)+SUM(E475,I475,M475,Q475,U475,Y475,AC475,AG475,AK475,AO475)</f>
        <v/>
      </c>
      <c r="AS475" s="152">
        <f>SUM(F475,J475,N475,R475,V475,Z475,AD475,AH475,AL475,AP475)</f>
        <v/>
      </c>
      <c r="AT475" s="152">
        <f>IF(B475&gt;AS$6,NA(),B475)</f>
        <v/>
      </c>
      <c r="AU475" s="152">
        <f>IF(B475&gt;AS$6,NA(),AS475)</f>
        <v/>
      </c>
      <c r="AV475" s="152" t="n"/>
      <c r="AW475" s="152" t="n">
        <v>464</v>
      </c>
      <c r="AX475" s="152">
        <f>IF(BA474&lt;=0.005,0,BA474*(1+AX$6))</f>
        <v/>
      </c>
      <c r="AY475" s="152">
        <f>MIN(AX475,AX$7)</f>
        <v/>
      </c>
      <c r="AZ475" s="152">
        <f>MAX(0,MIN(AX475-AY475,CL475))</f>
        <v/>
      </c>
      <c r="BA475" s="152">
        <f>AX475-AY475-AZ475</f>
        <v/>
      </c>
      <c r="BB475" s="152">
        <f>IF(BE474&lt;=0.005,0,BE474*(1+BB$6))</f>
        <v/>
      </c>
      <c r="BC475" s="152">
        <f>MIN(BB475,BB$7)</f>
        <v/>
      </c>
      <c r="BD475" s="152">
        <f>MAX(0,MIN(BB475-BC475,CL475-(AZ475)))</f>
        <v/>
      </c>
      <c r="BE475" s="152">
        <f>BB475-BC475-BD475</f>
        <v/>
      </c>
      <c r="BF475" s="152">
        <f>IF(BI474&lt;=0.005,0,BI474*(1+BF$6))</f>
        <v/>
      </c>
      <c r="BG475" s="152">
        <f>MIN(BF475,BF$7)</f>
        <v/>
      </c>
      <c r="BH475" s="152">
        <f>MAX(0,MIN(BF475-BG475,CL475-(AZ475+BD475)))</f>
        <v/>
      </c>
      <c r="BI475" s="152">
        <f>BF475-BG475-BH475</f>
        <v/>
      </c>
      <c r="BJ475" s="152">
        <f>IF(BM474&lt;=0.005,0,BM474*(1+BJ$6))</f>
        <v/>
      </c>
      <c r="BK475" s="152">
        <f>MIN(BJ475,BJ$7)</f>
        <v/>
      </c>
      <c r="BL475" s="152">
        <f>MAX(0,MIN(BJ475-BK475,CL475-(AZ475+BD475+BH475)))</f>
        <v/>
      </c>
      <c r="BM475" s="152">
        <f>BJ475-BK475-BL475</f>
        <v/>
      </c>
      <c r="BN475" s="152">
        <f>IF(BQ474&lt;=0.005,0,BQ474*(1+BN$6))</f>
        <v/>
      </c>
      <c r="BO475" s="152">
        <f>MIN(BN475,BN$7)</f>
        <v/>
      </c>
      <c r="BP475" s="152">
        <f>MAX(0,MIN(BN475-BO475,CL475-(AZ475+BD475+BH475+BL475)))</f>
        <v/>
      </c>
      <c r="BQ475" s="152">
        <f>BN475-BO475-BP475</f>
        <v/>
      </c>
      <c r="BR475" s="152">
        <f>IF(BU474&lt;=0.005,0,BU474*(1+BR$6))</f>
        <v/>
      </c>
      <c r="BS475" s="152">
        <f>MIN(BR475,BR$7)</f>
        <v/>
      </c>
      <c r="BT475" s="152">
        <f>MAX(0,MIN(BR475-BS475,CL475-(AZ475+BD475+BH475+BL475+BP475)))</f>
        <v/>
      </c>
      <c r="BU475" s="152">
        <f>BR475-BS475-BT475</f>
        <v/>
      </c>
      <c r="BV475" s="152">
        <f>IF(BY474&lt;=0.005,0,BY474*(1+BV$6))</f>
        <v/>
      </c>
      <c r="BW475" s="152">
        <f>MIN(BV475,BV$7)</f>
        <v/>
      </c>
      <c r="BX475" s="152">
        <f>MAX(0,MIN(BV475-BW475,CL475-(AZ475+BD475+BH475+BL475+BP475+BT475)))</f>
        <v/>
      </c>
      <c r="BY475" s="152">
        <f>BV475-BW475-BX475</f>
        <v/>
      </c>
      <c r="BZ475" s="152">
        <f>IF(CC474&lt;=0.005,0,CC474*(1+BZ$6))</f>
        <v/>
      </c>
      <c r="CA475" s="152">
        <f>MIN(BZ475,BZ$7)</f>
        <v/>
      </c>
      <c r="CB475" s="152">
        <f>MAX(0,MIN(BZ475-CA475,CL475-(AZ475+BD475+BH475+BL475+BP475+BT475+BX475)))</f>
        <v/>
      </c>
      <c r="CC475" s="152">
        <f>BZ475-CA475-CB475</f>
        <v/>
      </c>
      <c r="CD475" s="152">
        <f>IF(CG474&lt;=0.005,0,CG474*(1+CD$6))</f>
        <v/>
      </c>
      <c r="CE475" s="152">
        <f>MIN(CD475,CD$7)</f>
        <v/>
      </c>
      <c r="CF475" s="152">
        <f>MAX(0,MIN(CD475-CE475,CL475-(AZ475+BD475+BH475+BL475+BP475+BT475+BX475+CB475)))</f>
        <v/>
      </c>
      <c r="CG475" s="152">
        <f>CD475-CE475-CF475</f>
        <v/>
      </c>
      <c r="CH475" s="152">
        <f>IF(CK474&lt;=0.005,0,CK474*(1+CH$6))</f>
        <v/>
      </c>
      <c r="CI475" s="152">
        <f>MIN(CH475,CH$7)</f>
        <v/>
      </c>
      <c r="CJ475" s="152">
        <f>MAX(0,MIN(CH475-CI475,CL475-(AZ475+BD475+BH475+BL475+BP475+BT475+BX475+CB475+CF475)))</f>
        <v/>
      </c>
      <c r="CK475" s="152">
        <f>CH475-CI475-CJ475</f>
        <v/>
      </c>
      <c r="CL475" s="152">
        <f>'Debt Payoff'!$C$8-SUM(AY475,BC475,BG475,BK475,BO475,BS475,BW475,CA475,CE475,CI475)</f>
        <v/>
      </c>
      <c r="CM475" s="152">
        <f>SUM(AY475,BC475,BG475,BK475,BO475,BS475,BW475,CA475,CE475,CI475)+SUM(AZ475,BD475,BH475,BL475,BP475,BT475,BX475,CB475,CF475,CJ475)</f>
        <v/>
      </c>
      <c r="CN475" s="152">
        <f>SUM(BA475,BE475,BI475,BM475,BQ475,BU475,BY475,CC475,CG475,CK475)</f>
        <v/>
      </c>
      <c r="CO475" s="152">
        <f>IF(AW475&gt;CN$6,NA(),AW475)</f>
        <v/>
      </c>
      <c r="CP475" s="152">
        <f>IF(AW475&gt;CN$6,NA(),CN475)</f>
        <v/>
      </c>
    </row>
    <row r="476">
      <c r="B476" s="152" t="n">
        <v>465</v>
      </c>
      <c r="C476" s="152">
        <f>IF(F475&lt;=0.005,0,F475*(1+C$6))</f>
        <v/>
      </c>
      <c r="D476" s="152">
        <f>MIN(C476,C$7)</f>
        <v/>
      </c>
      <c r="E476" s="152">
        <f>MAX(0,MIN(C476-D476,AQ476))</f>
        <v/>
      </c>
      <c r="F476" s="152">
        <f>C476-D476-E476</f>
        <v/>
      </c>
      <c r="G476" s="152">
        <f>IF(J475&lt;=0.005,0,J475*(1+G$6))</f>
        <v/>
      </c>
      <c r="H476" s="152">
        <f>MIN(G476,G$7)</f>
        <v/>
      </c>
      <c r="I476" s="152">
        <f>MAX(0,MIN(G476-H476,AQ476-(E476)))</f>
        <v/>
      </c>
      <c r="J476" s="152">
        <f>G476-H476-I476</f>
        <v/>
      </c>
      <c r="K476" s="152">
        <f>IF(N475&lt;=0.005,0,N475*(1+K$6))</f>
        <v/>
      </c>
      <c r="L476" s="152">
        <f>MIN(K476,K$7)</f>
        <v/>
      </c>
      <c r="M476" s="152">
        <f>MAX(0,MIN(K476-L476,AQ476-(E476+I476)))</f>
        <v/>
      </c>
      <c r="N476" s="152">
        <f>K476-L476-M476</f>
        <v/>
      </c>
      <c r="O476" s="152">
        <f>IF(R475&lt;=0.005,0,R475*(1+O$6))</f>
        <v/>
      </c>
      <c r="P476" s="152">
        <f>MIN(O476,O$7)</f>
        <v/>
      </c>
      <c r="Q476" s="152">
        <f>MAX(0,MIN(O476-P476,AQ476-(E476+I476+M476)))</f>
        <v/>
      </c>
      <c r="R476" s="152">
        <f>O476-P476-Q476</f>
        <v/>
      </c>
      <c r="S476" s="152">
        <f>IF(V475&lt;=0.005,0,V475*(1+S$6))</f>
        <v/>
      </c>
      <c r="T476" s="152">
        <f>MIN(S476,S$7)</f>
        <v/>
      </c>
      <c r="U476" s="152">
        <f>MAX(0,MIN(S476-T476,AQ476-(E476+I476+M476+Q476)))</f>
        <v/>
      </c>
      <c r="V476" s="152">
        <f>S476-T476-U476</f>
        <v/>
      </c>
      <c r="W476" s="152">
        <f>IF(Z475&lt;=0.005,0,Z475*(1+W$6))</f>
        <v/>
      </c>
      <c r="X476" s="152">
        <f>MIN(W476,W$7)</f>
        <v/>
      </c>
      <c r="Y476" s="152">
        <f>MAX(0,MIN(W476-X476,AQ476-(E476+I476+M476+Q476+U476)))</f>
        <v/>
      </c>
      <c r="Z476" s="152">
        <f>W476-X476-Y476</f>
        <v/>
      </c>
      <c r="AA476" s="152">
        <f>IF(AD475&lt;=0.005,0,AD475*(1+AA$6))</f>
        <v/>
      </c>
      <c r="AB476" s="152">
        <f>MIN(AA476,AA$7)</f>
        <v/>
      </c>
      <c r="AC476" s="152">
        <f>MAX(0,MIN(AA476-AB476,AQ476-(E476+I476+M476+Q476+U476+Y476)))</f>
        <v/>
      </c>
      <c r="AD476" s="152">
        <f>AA476-AB476-AC476</f>
        <v/>
      </c>
      <c r="AE476" s="152">
        <f>IF(AH475&lt;=0.005,0,AH475*(1+AE$6))</f>
        <v/>
      </c>
      <c r="AF476" s="152">
        <f>MIN(AE476,AE$7)</f>
        <v/>
      </c>
      <c r="AG476" s="152">
        <f>MAX(0,MIN(AE476-AF476,AQ476-(E476+I476+M476+Q476+U476+Y476+AC476)))</f>
        <v/>
      </c>
      <c r="AH476" s="152">
        <f>AE476-AF476-AG476</f>
        <v/>
      </c>
      <c r="AI476" s="152">
        <f>IF(AL475&lt;=0.005,0,AL475*(1+AI$6))</f>
        <v/>
      </c>
      <c r="AJ476" s="152">
        <f>MIN(AI476,AI$7)</f>
        <v/>
      </c>
      <c r="AK476" s="152">
        <f>MAX(0,MIN(AI476-AJ476,AQ476-(E476+I476+M476+Q476+U476+Y476+AC476+AG476)))</f>
        <v/>
      </c>
      <c r="AL476" s="152">
        <f>AI476-AJ476-AK476</f>
        <v/>
      </c>
      <c r="AM476" s="152">
        <f>IF(AP475&lt;=0.005,0,AP475*(1+AM$6))</f>
        <v/>
      </c>
      <c r="AN476" s="152">
        <f>MIN(AM476,AM$7)</f>
        <v/>
      </c>
      <c r="AO476" s="152">
        <f>MAX(0,MIN(AM476-AN476,AQ476-(E476+I476+M476+Q476+U476+Y476+AC476+AG476+AK476)))</f>
        <v/>
      </c>
      <c r="AP476" s="152">
        <f>AM476-AN476-AO476</f>
        <v/>
      </c>
      <c r="AQ476" s="152">
        <f>'Debt Payoff'!$C$8-SUM(D476,H476,L476,P476,T476,X476,AB476,AF476,AJ476,AN476)</f>
        <v/>
      </c>
      <c r="AR476" s="152">
        <f>SUM(D476,H476,L476,P476,T476,X476,AB476,AF476,AJ476,AN476)+SUM(E476,I476,M476,Q476,U476,Y476,AC476,AG476,AK476,AO476)</f>
        <v/>
      </c>
      <c r="AS476" s="152">
        <f>SUM(F476,J476,N476,R476,V476,Z476,AD476,AH476,AL476,AP476)</f>
        <v/>
      </c>
      <c r="AT476" s="152">
        <f>IF(B476&gt;AS$6,NA(),B476)</f>
        <v/>
      </c>
      <c r="AU476" s="152">
        <f>IF(B476&gt;AS$6,NA(),AS476)</f>
        <v/>
      </c>
      <c r="AV476" s="152" t="n"/>
      <c r="AW476" s="152" t="n">
        <v>465</v>
      </c>
      <c r="AX476" s="152">
        <f>IF(BA475&lt;=0.005,0,BA475*(1+AX$6))</f>
        <v/>
      </c>
      <c r="AY476" s="152">
        <f>MIN(AX476,AX$7)</f>
        <v/>
      </c>
      <c r="AZ476" s="152">
        <f>MAX(0,MIN(AX476-AY476,CL476))</f>
        <v/>
      </c>
      <c r="BA476" s="152">
        <f>AX476-AY476-AZ476</f>
        <v/>
      </c>
      <c r="BB476" s="152">
        <f>IF(BE475&lt;=0.005,0,BE475*(1+BB$6))</f>
        <v/>
      </c>
      <c r="BC476" s="152">
        <f>MIN(BB476,BB$7)</f>
        <v/>
      </c>
      <c r="BD476" s="152">
        <f>MAX(0,MIN(BB476-BC476,CL476-(AZ476)))</f>
        <v/>
      </c>
      <c r="BE476" s="152">
        <f>BB476-BC476-BD476</f>
        <v/>
      </c>
      <c r="BF476" s="152">
        <f>IF(BI475&lt;=0.005,0,BI475*(1+BF$6))</f>
        <v/>
      </c>
      <c r="BG476" s="152">
        <f>MIN(BF476,BF$7)</f>
        <v/>
      </c>
      <c r="BH476" s="152">
        <f>MAX(0,MIN(BF476-BG476,CL476-(AZ476+BD476)))</f>
        <v/>
      </c>
      <c r="BI476" s="152">
        <f>BF476-BG476-BH476</f>
        <v/>
      </c>
      <c r="BJ476" s="152">
        <f>IF(BM475&lt;=0.005,0,BM475*(1+BJ$6))</f>
        <v/>
      </c>
      <c r="BK476" s="152">
        <f>MIN(BJ476,BJ$7)</f>
        <v/>
      </c>
      <c r="BL476" s="152">
        <f>MAX(0,MIN(BJ476-BK476,CL476-(AZ476+BD476+BH476)))</f>
        <v/>
      </c>
      <c r="BM476" s="152">
        <f>BJ476-BK476-BL476</f>
        <v/>
      </c>
      <c r="BN476" s="152">
        <f>IF(BQ475&lt;=0.005,0,BQ475*(1+BN$6))</f>
        <v/>
      </c>
      <c r="BO476" s="152">
        <f>MIN(BN476,BN$7)</f>
        <v/>
      </c>
      <c r="BP476" s="152">
        <f>MAX(0,MIN(BN476-BO476,CL476-(AZ476+BD476+BH476+BL476)))</f>
        <v/>
      </c>
      <c r="BQ476" s="152">
        <f>BN476-BO476-BP476</f>
        <v/>
      </c>
      <c r="BR476" s="152">
        <f>IF(BU475&lt;=0.005,0,BU475*(1+BR$6))</f>
        <v/>
      </c>
      <c r="BS476" s="152">
        <f>MIN(BR476,BR$7)</f>
        <v/>
      </c>
      <c r="BT476" s="152">
        <f>MAX(0,MIN(BR476-BS476,CL476-(AZ476+BD476+BH476+BL476+BP476)))</f>
        <v/>
      </c>
      <c r="BU476" s="152">
        <f>BR476-BS476-BT476</f>
        <v/>
      </c>
      <c r="BV476" s="152">
        <f>IF(BY475&lt;=0.005,0,BY475*(1+BV$6))</f>
        <v/>
      </c>
      <c r="BW476" s="152">
        <f>MIN(BV476,BV$7)</f>
        <v/>
      </c>
      <c r="BX476" s="152">
        <f>MAX(0,MIN(BV476-BW476,CL476-(AZ476+BD476+BH476+BL476+BP476+BT476)))</f>
        <v/>
      </c>
      <c r="BY476" s="152">
        <f>BV476-BW476-BX476</f>
        <v/>
      </c>
      <c r="BZ476" s="152">
        <f>IF(CC475&lt;=0.005,0,CC475*(1+BZ$6))</f>
        <v/>
      </c>
      <c r="CA476" s="152">
        <f>MIN(BZ476,BZ$7)</f>
        <v/>
      </c>
      <c r="CB476" s="152">
        <f>MAX(0,MIN(BZ476-CA476,CL476-(AZ476+BD476+BH476+BL476+BP476+BT476+BX476)))</f>
        <v/>
      </c>
      <c r="CC476" s="152">
        <f>BZ476-CA476-CB476</f>
        <v/>
      </c>
      <c r="CD476" s="152">
        <f>IF(CG475&lt;=0.005,0,CG475*(1+CD$6))</f>
        <v/>
      </c>
      <c r="CE476" s="152">
        <f>MIN(CD476,CD$7)</f>
        <v/>
      </c>
      <c r="CF476" s="152">
        <f>MAX(0,MIN(CD476-CE476,CL476-(AZ476+BD476+BH476+BL476+BP476+BT476+BX476+CB476)))</f>
        <v/>
      </c>
      <c r="CG476" s="152">
        <f>CD476-CE476-CF476</f>
        <v/>
      </c>
      <c r="CH476" s="152">
        <f>IF(CK475&lt;=0.005,0,CK475*(1+CH$6))</f>
        <v/>
      </c>
      <c r="CI476" s="152">
        <f>MIN(CH476,CH$7)</f>
        <v/>
      </c>
      <c r="CJ476" s="152">
        <f>MAX(0,MIN(CH476-CI476,CL476-(AZ476+BD476+BH476+BL476+BP476+BT476+BX476+CB476+CF476)))</f>
        <v/>
      </c>
      <c r="CK476" s="152">
        <f>CH476-CI476-CJ476</f>
        <v/>
      </c>
      <c r="CL476" s="152">
        <f>'Debt Payoff'!$C$8-SUM(AY476,BC476,BG476,BK476,BO476,BS476,BW476,CA476,CE476,CI476)</f>
        <v/>
      </c>
      <c r="CM476" s="152">
        <f>SUM(AY476,BC476,BG476,BK476,BO476,BS476,BW476,CA476,CE476,CI476)+SUM(AZ476,BD476,BH476,BL476,BP476,BT476,BX476,CB476,CF476,CJ476)</f>
        <v/>
      </c>
      <c r="CN476" s="152">
        <f>SUM(BA476,BE476,BI476,BM476,BQ476,BU476,BY476,CC476,CG476,CK476)</f>
        <v/>
      </c>
      <c r="CO476" s="152">
        <f>IF(AW476&gt;CN$6,NA(),AW476)</f>
        <v/>
      </c>
      <c r="CP476" s="152">
        <f>IF(AW476&gt;CN$6,NA(),CN476)</f>
        <v/>
      </c>
    </row>
    <row r="477">
      <c r="B477" s="152" t="n">
        <v>466</v>
      </c>
      <c r="C477" s="152">
        <f>IF(F476&lt;=0.005,0,F476*(1+C$6))</f>
        <v/>
      </c>
      <c r="D477" s="152">
        <f>MIN(C477,C$7)</f>
        <v/>
      </c>
      <c r="E477" s="152">
        <f>MAX(0,MIN(C477-D477,AQ477))</f>
        <v/>
      </c>
      <c r="F477" s="152">
        <f>C477-D477-E477</f>
        <v/>
      </c>
      <c r="G477" s="152">
        <f>IF(J476&lt;=0.005,0,J476*(1+G$6))</f>
        <v/>
      </c>
      <c r="H477" s="152">
        <f>MIN(G477,G$7)</f>
        <v/>
      </c>
      <c r="I477" s="152">
        <f>MAX(0,MIN(G477-H477,AQ477-(E477)))</f>
        <v/>
      </c>
      <c r="J477" s="152">
        <f>G477-H477-I477</f>
        <v/>
      </c>
      <c r="K477" s="152">
        <f>IF(N476&lt;=0.005,0,N476*(1+K$6))</f>
        <v/>
      </c>
      <c r="L477" s="152">
        <f>MIN(K477,K$7)</f>
        <v/>
      </c>
      <c r="M477" s="152">
        <f>MAX(0,MIN(K477-L477,AQ477-(E477+I477)))</f>
        <v/>
      </c>
      <c r="N477" s="152">
        <f>K477-L477-M477</f>
        <v/>
      </c>
      <c r="O477" s="152">
        <f>IF(R476&lt;=0.005,0,R476*(1+O$6))</f>
        <v/>
      </c>
      <c r="P477" s="152">
        <f>MIN(O477,O$7)</f>
        <v/>
      </c>
      <c r="Q477" s="152">
        <f>MAX(0,MIN(O477-P477,AQ477-(E477+I477+M477)))</f>
        <v/>
      </c>
      <c r="R477" s="152">
        <f>O477-P477-Q477</f>
        <v/>
      </c>
      <c r="S477" s="152">
        <f>IF(V476&lt;=0.005,0,V476*(1+S$6))</f>
        <v/>
      </c>
      <c r="T477" s="152">
        <f>MIN(S477,S$7)</f>
        <v/>
      </c>
      <c r="U477" s="152">
        <f>MAX(0,MIN(S477-T477,AQ477-(E477+I477+M477+Q477)))</f>
        <v/>
      </c>
      <c r="V477" s="152">
        <f>S477-T477-U477</f>
        <v/>
      </c>
      <c r="W477" s="152">
        <f>IF(Z476&lt;=0.005,0,Z476*(1+W$6))</f>
        <v/>
      </c>
      <c r="X477" s="152">
        <f>MIN(W477,W$7)</f>
        <v/>
      </c>
      <c r="Y477" s="152">
        <f>MAX(0,MIN(W477-X477,AQ477-(E477+I477+M477+Q477+U477)))</f>
        <v/>
      </c>
      <c r="Z477" s="152">
        <f>W477-X477-Y477</f>
        <v/>
      </c>
      <c r="AA477" s="152">
        <f>IF(AD476&lt;=0.005,0,AD476*(1+AA$6))</f>
        <v/>
      </c>
      <c r="AB477" s="152">
        <f>MIN(AA477,AA$7)</f>
        <v/>
      </c>
      <c r="AC477" s="152">
        <f>MAX(0,MIN(AA477-AB477,AQ477-(E477+I477+M477+Q477+U477+Y477)))</f>
        <v/>
      </c>
      <c r="AD477" s="152">
        <f>AA477-AB477-AC477</f>
        <v/>
      </c>
      <c r="AE477" s="152">
        <f>IF(AH476&lt;=0.005,0,AH476*(1+AE$6))</f>
        <v/>
      </c>
      <c r="AF477" s="152">
        <f>MIN(AE477,AE$7)</f>
        <v/>
      </c>
      <c r="AG477" s="152">
        <f>MAX(0,MIN(AE477-AF477,AQ477-(E477+I477+M477+Q477+U477+Y477+AC477)))</f>
        <v/>
      </c>
      <c r="AH477" s="152">
        <f>AE477-AF477-AG477</f>
        <v/>
      </c>
      <c r="AI477" s="152">
        <f>IF(AL476&lt;=0.005,0,AL476*(1+AI$6))</f>
        <v/>
      </c>
      <c r="AJ477" s="152">
        <f>MIN(AI477,AI$7)</f>
        <v/>
      </c>
      <c r="AK477" s="152">
        <f>MAX(0,MIN(AI477-AJ477,AQ477-(E477+I477+M477+Q477+U477+Y477+AC477+AG477)))</f>
        <v/>
      </c>
      <c r="AL477" s="152">
        <f>AI477-AJ477-AK477</f>
        <v/>
      </c>
      <c r="AM477" s="152">
        <f>IF(AP476&lt;=0.005,0,AP476*(1+AM$6))</f>
        <v/>
      </c>
      <c r="AN477" s="152">
        <f>MIN(AM477,AM$7)</f>
        <v/>
      </c>
      <c r="AO477" s="152">
        <f>MAX(0,MIN(AM477-AN477,AQ477-(E477+I477+M477+Q477+U477+Y477+AC477+AG477+AK477)))</f>
        <v/>
      </c>
      <c r="AP477" s="152">
        <f>AM477-AN477-AO477</f>
        <v/>
      </c>
      <c r="AQ477" s="152">
        <f>'Debt Payoff'!$C$8-SUM(D477,H477,L477,P477,T477,X477,AB477,AF477,AJ477,AN477)</f>
        <v/>
      </c>
      <c r="AR477" s="152">
        <f>SUM(D477,H477,L477,P477,T477,X477,AB477,AF477,AJ477,AN477)+SUM(E477,I477,M477,Q477,U477,Y477,AC477,AG477,AK477,AO477)</f>
        <v/>
      </c>
      <c r="AS477" s="152">
        <f>SUM(F477,J477,N477,R477,V477,Z477,AD477,AH477,AL477,AP477)</f>
        <v/>
      </c>
      <c r="AT477" s="152">
        <f>IF(B477&gt;AS$6,NA(),B477)</f>
        <v/>
      </c>
      <c r="AU477" s="152">
        <f>IF(B477&gt;AS$6,NA(),AS477)</f>
        <v/>
      </c>
      <c r="AV477" s="152" t="n"/>
      <c r="AW477" s="152" t="n">
        <v>466</v>
      </c>
      <c r="AX477" s="152">
        <f>IF(BA476&lt;=0.005,0,BA476*(1+AX$6))</f>
        <v/>
      </c>
      <c r="AY477" s="152">
        <f>MIN(AX477,AX$7)</f>
        <v/>
      </c>
      <c r="AZ477" s="152">
        <f>MAX(0,MIN(AX477-AY477,CL477))</f>
        <v/>
      </c>
      <c r="BA477" s="152">
        <f>AX477-AY477-AZ477</f>
        <v/>
      </c>
      <c r="BB477" s="152">
        <f>IF(BE476&lt;=0.005,0,BE476*(1+BB$6))</f>
        <v/>
      </c>
      <c r="BC477" s="152">
        <f>MIN(BB477,BB$7)</f>
        <v/>
      </c>
      <c r="BD477" s="152">
        <f>MAX(0,MIN(BB477-BC477,CL477-(AZ477)))</f>
        <v/>
      </c>
      <c r="BE477" s="152">
        <f>BB477-BC477-BD477</f>
        <v/>
      </c>
      <c r="BF477" s="152">
        <f>IF(BI476&lt;=0.005,0,BI476*(1+BF$6))</f>
        <v/>
      </c>
      <c r="BG477" s="152">
        <f>MIN(BF477,BF$7)</f>
        <v/>
      </c>
      <c r="BH477" s="152">
        <f>MAX(0,MIN(BF477-BG477,CL477-(AZ477+BD477)))</f>
        <v/>
      </c>
      <c r="BI477" s="152">
        <f>BF477-BG477-BH477</f>
        <v/>
      </c>
      <c r="BJ477" s="152">
        <f>IF(BM476&lt;=0.005,0,BM476*(1+BJ$6))</f>
        <v/>
      </c>
      <c r="BK477" s="152">
        <f>MIN(BJ477,BJ$7)</f>
        <v/>
      </c>
      <c r="BL477" s="152">
        <f>MAX(0,MIN(BJ477-BK477,CL477-(AZ477+BD477+BH477)))</f>
        <v/>
      </c>
      <c r="BM477" s="152">
        <f>BJ477-BK477-BL477</f>
        <v/>
      </c>
      <c r="BN477" s="152">
        <f>IF(BQ476&lt;=0.005,0,BQ476*(1+BN$6))</f>
        <v/>
      </c>
      <c r="BO477" s="152">
        <f>MIN(BN477,BN$7)</f>
        <v/>
      </c>
      <c r="BP477" s="152">
        <f>MAX(0,MIN(BN477-BO477,CL477-(AZ477+BD477+BH477+BL477)))</f>
        <v/>
      </c>
      <c r="BQ477" s="152">
        <f>BN477-BO477-BP477</f>
        <v/>
      </c>
      <c r="BR477" s="152">
        <f>IF(BU476&lt;=0.005,0,BU476*(1+BR$6))</f>
        <v/>
      </c>
      <c r="BS477" s="152">
        <f>MIN(BR477,BR$7)</f>
        <v/>
      </c>
      <c r="BT477" s="152">
        <f>MAX(0,MIN(BR477-BS477,CL477-(AZ477+BD477+BH477+BL477+BP477)))</f>
        <v/>
      </c>
      <c r="BU477" s="152">
        <f>BR477-BS477-BT477</f>
        <v/>
      </c>
      <c r="BV477" s="152">
        <f>IF(BY476&lt;=0.005,0,BY476*(1+BV$6))</f>
        <v/>
      </c>
      <c r="BW477" s="152">
        <f>MIN(BV477,BV$7)</f>
        <v/>
      </c>
      <c r="BX477" s="152">
        <f>MAX(0,MIN(BV477-BW477,CL477-(AZ477+BD477+BH477+BL477+BP477+BT477)))</f>
        <v/>
      </c>
      <c r="BY477" s="152">
        <f>BV477-BW477-BX477</f>
        <v/>
      </c>
      <c r="BZ477" s="152">
        <f>IF(CC476&lt;=0.005,0,CC476*(1+BZ$6))</f>
        <v/>
      </c>
      <c r="CA477" s="152">
        <f>MIN(BZ477,BZ$7)</f>
        <v/>
      </c>
      <c r="CB477" s="152">
        <f>MAX(0,MIN(BZ477-CA477,CL477-(AZ477+BD477+BH477+BL477+BP477+BT477+BX477)))</f>
        <v/>
      </c>
      <c r="CC477" s="152">
        <f>BZ477-CA477-CB477</f>
        <v/>
      </c>
      <c r="CD477" s="152">
        <f>IF(CG476&lt;=0.005,0,CG476*(1+CD$6))</f>
        <v/>
      </c>
      <c r="CE477" s="152">
        <f>MIN(CD477,CD$7)</f>
        <v/>
      </c>
      <c r="CF477" s="152">
        <f>MAX(0,MIN(CD477-CE477,CL477-(AZ477+BD477+BH477+BL477+BP477+BT477+BX477+CB477)))</f>
        <v/>
      </c>
      <c r="CG477" s="152">
        <f>CD477-CE477-CF477</f>
        <v/>
      </c>
      <c r="CH477" s="152">
        <f>IF(CK476&lt;=0.005,0,CK476*(1+CH$6))</f>
        <v/>
      </c>
      <c r="CI477" s="152">
        <f>MIN(CH477,CH$7)</f>
        <v/>
      </c>
      <c r="CJ477" s="152">
        <f>MAX(0,MIN(CH477-CI477,CL477-(AZ477+BD477+BH477+BL477+BP477+BT477+BX477+CB477+CF477)))</f>
        <v/>
      </c>
      <c r="CK477" s="152">
        <f>CH477-CI477-CJ477</f>
        <v/>
      </c>
      <c r="CL477" s="152">
        <f>'Debt Payoff'!$C$8-SUM(AY477,BC477,BG477,BK477,BO477,BS477,BW477,CA477,CE477,CI477)</f>
        <v/>
      </c>
      <c r="CM477" s="152">
        <f>SUM(AY477,BC477,BG477,BK477,BO477,BS477,BW477,CA477,CE477,CI477)+SUM(AZ477,BD477,BH477,BL477,BP477,BT477,BX477,CB477,CF477,CJ477)</f>
        <v/>
      </c>
      <c r="CN477" s="152">
        <f>SUM(BA477,BE477,BI477,BM477,BQ477,BU477,BY477,CC477,CG477,CK477)</f>
        <v/>
      </c>
      <c r="CO477" s="152">
        <f>IF(AW477&gt;CN$6,NA(),AW477)</f>
        <v/>
      </c>
      <c r="CP477" s="152">
        <f>IF(AW477&gt;CN$6,NA(),CN477)</f>
        <v/>
      </c>
    </row>
    <row r="478">
      <c r="B478" s="152" t="n">
        <v>467</v>
      </c>
      <c r="C478" s="152">
        <f>IF(F477&lt;=0.005,0,F477*(1+C$6))</f>
        <v/>
      </c>
      <c r="D478" s="152">
        <f>MIN(C478,C$7)</f>
        <v/>
      </c>
      <c r="E478" s="152">
        <f>MAX(0,MIN(C478-D478,AQ478))</f>
        <v/>
      </c>
      <c r="F478" s="152">
        <f>C478-D478-E478</f>
        <v/>
      </c>
      <c r="G478" s="152">
        <f>IF(J477&lt;=0.005,0,J477*(1+G$6))</f>
        <v/>
      </c>
      <c r="H478" s="152">
        <f>MIN(G478,G$7)</f>
        <v/>
      </c>
      <c r="I478" s="152">
        <f>MAX(0,MIN(G478-H478,AQ478-(E478)))</f>
        <v/>
      </c>
      <c r="J478" s="152">
        <f>G478-H478-I478</f>
        <v/>
      </c>
      <c r="K478" s="152">
        <f>IF(N477&lt;=0.005,0,N477*(1+K$6))</f>
        <v/>
      </c>
      <c r="L478" s="152">
        <f>MIN(K478,K$7)</f>
        <v/>
      </c>
      <c r="M478" s="152">
        <f>MAX(0,MIN(K478-L478,AQ478-(E478+I478)))</f>
        <v/>
      </c>
      <c r="N478" s="152">
        <f>K478-L478-M478</f>
        <v/>
      </c>
      <c r="O478" s="152">
        <f>IF(R477&lt;=0.005,0,R477*(1+O$6))</f>
        <v/>
      </c>
      <c r="P478" s="152">
        <f>MIN(O478,O$7)</f>
        <v/>
      </c>
      <c r="Q478" s="152">
        <f>MAX(0,MIN(O478-P478,AQ478-(E478+I478+M478)))</f>
        <v/>
      </c>
      <c r="R478" s="152">
        <f>O478-P478-Q478</f>
        <v/>
      </c>
      <c r="S478" s="152">
        <f>IF(V477&lt;=0.005,0,V477*(1+S$6))</f>
        <v/>
      </c>
      <c r="T478" s="152">
        <f>MIN(S478,S$7)</f>
        <v/>
      </c>
      <c r="U478" s="152">
        <f>MAX(0,MIN(S478-T478,AQ478-(E478+I478+M478+Q478)))</f>
        <v/>
      </c>
      <c r="V478" s="152">
        <f>S478-T478-U478</f>
        <v/>
      </c>
      <c r="W478" s="152">
        <f>IF(Z477&lt;=0.005,0,Z477*(1+W$6))</f>
        <v/>
      </c>
      <c r="X478" s="152">
        <f>MIN(W478,W$7)</f>
        <v/>
      </c>
      <c r="Y478" s="152">
        <f>MAX(0,MIN(W478-X478,AQ478-(E478+I478+M478+Q478+U478)))</f>
        <v/>
      </c>
      <c r="Z478" s="152">
        <f>W478-X478-Y478</f>
        <v/>
      </c>
      <c r="AA478" s="152">
        <f>IF(AD477&lt;=0.005,0,AD477*(1+AA$6))</f>
        <v/>
      </c>
      <c r="AB478" s="152">
        <f>MIN(AA478,AA$7)</f>
        <v/>
      </c>
      <c r="AC478" s="152">
        <f>MAX(0,MIN(AA478-AB478,AQ478-(E478+I478+M478+Q478+U478+Y478)))</f>
        <v/>
      </c>
      <c r="AD478" s="152">
        <f>AA478-AB478-AC478</f>
        <v/>
      </c>
      <c r="AE478" s="152">
        <f>IF(AH477&lt;=0.005,0,AH477*(1+AE$6))</f>
        <v/>
      </c>
      <c r="AF478" s="152">
        <f>MIN(AE478,AE$7)</f>
        <v/>
      </c>
      <c r="AG478" s="152">
        <f>MAX(0,MIN(AE478-AF478,AQ478-(E478+I478+M478+Q478+U478+Y478+AC478)))</f>
        <v/>
      </c>
      <c r="AH478" s="152">
        <f>AE478-AF478-AG478</f>
        <v/>
      </c>
      <c r="AI478" s="152">
        <f>IF(AL477&lt;=0.005,0,AL477*(1+AI$6))</f>
        <v/>
      </c>
      <c r="AJ478" s="152">
        <f>MIN(AI478,AI$7)</f>
        <v/>
      </c>
      <c r="AK478" s="152">
        <f>MAX(0,MIN(AI478-AJ478,AQ478-(E478+I478+M478+Q478+U478+Y478+AC478+AG478)))</f>
        <v/>
      </c>
      <c r="AL478" s="152">
        <f>AI478-AJ478-AK478</f>
        <v/>
      </c>
      <c r="AM478" s="152">
        <f>IF(AP477&lt;=0.005,0,AP477*(1+AM$6))</f>
        <v/>
      </c>
      <c r="AN478" s="152">
        <f>MIN(AM478,AM$7)</f>
        <v/>
      </c>
      <c r="AO478" s="152">
        <f>MAX(0,MIN(AM478-AN478,AQ478-(E478+I478+M478+Q478+U478+Y478+AC478+AG478+AK478)))</f>
        <v/>
      </c>
      <c r="AP478" s="152">
        <f>AM478-AN478-AO478</f>
        <v/>
      </c>
      <c r="AQ478" s="152">
        <f>'Debt Payoff'!$C$8-SUM(D478,H478,L478,P478,T478,X478,AB478,AF478,AJ478,AN478)</f>
        <v/>
      </c>
      <c r="AR478" s="152">
        <f>SUM(D478,H478,L478,P478,T478,X478,AB478,AF478,AJ478,AN478)+SUM(E478,I478,M478,Q478,U478,Y478,AC478,AG478,AK478,AO478)</f>
        <v/>
      </c>
      <c r="AS478" s="152">
        <f>SUM(F478,J478,N478,R478,V478,Z478,AD478,AH478,AL478,AP478)</f>
        <v/>
      </c>
      <c r="AT478" s="152">
        <f>IF(B478&gt;AS$6,NA(),B478)</f>
        <v/>
      </c>
      <c r="AU478" s="152">
        <f>IF(B478&gt;AS$6,NA(),AS478)</f>
        <v/>
      </c>
      <c r="AV478" s="152" t="n"/>
      <c r="AW478" s="152" t="n">
        <v>467</v>
      </c>
      <c r="AX478" s="152">
        <f>IF(BA477&lt;=0.005,0,BA477*(1+AX$6))</f>
        <v/>
      </c>
      <c r="AY478" s="152">
        <f>MIN(AX478,AX$7)</f>
        <v/>
      </c>
      <c r="AZ478" s="152">
        <f>MAX(0,MIN(AX478-AY478,CL478))</f>
        <v/>
      </c>
      <c r="BA478" s="152">
        <f>AX478-AY478-AZ478</f>
        <v/>
      </c>
      <c r="BB478" s="152">
        <f>IF(BE477&lt;=0.005,0,BE477*(1+BB$6))</f>
        <v/>
      </c>
      <c r="BC478" s="152">
        <f>MIN(BB478,BB$7)</f>
        <v/>
      </c>
      <c r="BD478" s="152">
        <f>MAX(0,MIN(BB478-BC478,CL478-(AZ478)))</f>
        <v/>
      </c>
      <c r="BE478" s="152">
        <f>BB478-BC478-BD478</f>
        <v/>
      </c>
      <c r="BF478" s="152">
        <f>IF(BI477&lt;=0.005,0,BI477*(1+BF$6))</f>
        <v/>
      </c>
      <c r="BG478" s="152">
        <f>MIN(BF478,BF$7)</f>
        <v/>
      </c>
      <c r="BH478" s="152">
        <f>MAX(0,MIN(BF478-BG478,CL478-(AZ478+BD478)))</f>
        <v/>
      </c>
      <c r="BI478" s="152">
        <f>BF478-BG478-BH478</f>
        <v/>
      </c>
      <c r="BJ478" s="152">
        <f>IF(BM477&lt;=0.005,0,BM477*(1+BJ$6))</f>
        <v/>
      </c>
      <c r="BK478" s="152">
        <f>MIN(BJ478,BJ$7)</f>
        <v/>
      </c>
      <c r="BL478" s="152">
        <f>MAX(0,MIN(BJ478-BK478,CL478-(AZ478+BD478+BH478)))</f>
        <v/>
      </c>
      <c r="BM478" s="152">
        <f>BJ478-BK478-BL478</f>
        <v/>
      </c>
      <c r="BN478" s="152">
        <f>IF(BQ477&lt;=0.005,0,BQ477*(1+BN$6))</f>
        <v/>
      </c>
      <c r="BO478" s="152">
        <f>MIN(BN478,BN$7)</f>
        <v/>
      </c>
      <c r="BP478" s="152">
        <f>MAX(0,MIN(BN478-BO478,CL478-(AZ478+BD478+BH478+BL478)))</f>
        <v/>
      </c>
      <c r="BQ478" s="152">
        <f>BN478-BO478-BP478</f>
        <v/>
      </c>
      <c r="BR478" s="152">
        <f>IF(BU477&lt;=0.005,0,BU477*(1+BR$6))</f>
        <v/>
      </c>
      <c r="BS478" s="152">
        <f>MIN(BR478,BR$7)</f>
        <v/>
      </c>
      <c r="BT478" s="152">
        <f>MAX(0,MIN(BR478-BS478,CL478-(AZ478+BD478+BH478+BL478+BP478)))</f>
        <v/>
      </c>
      <c r="BU478" s="152">
        <f>BR478-BS478-BT478</f>
        <v/>
      </c>
      <c r="BV478" s="152">
        <f>IF(BY477&lt;=0.005,0,BY477*(1+BV$6))</f>
        <v/>
      </c>
      <c r="BW478" s="152">
        <f>MIN(BV478,BV$7)</f>
        <v/>
      </c>
      <c r="BX478" s="152">
        <f>MAX(0,MIN(BV478-BW478,CL478-(AZ478+BD478+BH478+BL478+BP478+BT478)))</f>
        <v/>
      </c>
      <c r="BY478" s="152">
        <f>BV478-BW478-BX478</f>
        <v/>
      </c>
      <c r="BZ478" s="152">
        <f>IF(CC477&lt;=0.005,0,CC477*(1+BZ$6))</f>
        <v/>
      </c>
      <c r="CA478" s="152">
        <f>MIN(BZ478,BZ$7)</f>
        <v/>
      </c>
      <c r="CB478" s="152">
        <f>MAX(0,MIN(BZ478-CA478,CL478-(AZ478+BD478+BH478+BL478+BP478+BT478+BX478)))</f>
        <v/>
      </c>
      <c r="CC478" s="152">
        <f>BZ478-CA478-CB478</f>
        <v/>
      </c>
      <c r="CD478" s="152">
        <f>IF(CG477&lt;=0.005,0,CG477*(1+CD$6))</f>
        <v/>
      </c>
      <c r="CE478" s="152">
        <f>MIN(CD478,CD$7)</f>
        <v/>
      </c>
      <c r="CF478" s="152">
        <f>MAX(0,MIN(CD478-CE478,CL478-(AZ478+BD478+BH478+BL478+BP478+BT478+BX478+CB478)))</f>
        <v/>
      </c>
      <c r="CG478" s="152">
        <f>CD478-CE478-CF478</f>
        <v/>
      </c>
      <c r="CH478" s="152">
        <f>IF(CK477&lt;=0.005,0,CK477*(1+CH$6))</f>
        <v/>
      </c>
      <c r="CI478" s="152">
        <f>MIN(CH478,CH$7)</f>
        <v/>
      </c>
      <c r="CJ478" s="152">
        <f>MAX(0,MIN(CH478-CI478,CL478-(AZ478+BD478+BH478+BL478+BP478+BT478+BX478+CB478+CF478)))</f>
        <v/>
      </c>
      <c r="CK478" s="152">
        <f>CH478-CI478-CJ478</f>
        <v/>
      </c>
      <c r="CL478" s="152">
        <f>'Debt Payoff'!$C$8-SUM(AY478,BC478,BG478,BK478,BO478,BS478,BW478,CA478,CE478,CI478)</f>
        <v/>
      </c>
      <c r="CM478" s="152">
        <f>SUM(AY478,BC478,BG478,BK478,BO478,BS478,BW478,CA478,CE478,CI478)+SUM(AZ478,BD478,BH478,BL478,BP478,BT478,BX478,CB478,CF478,CJ478)</f>
        <v/>
      </c>
      <c r="CN478" s="152">
        <f>SUM(BA478,BE478,BI478,BM478,BQ478,BU478,BY478,CC478,CG478,CK478)</f>
        <v/>
      </c>
      <c r="CO478" s="152">
        <f>IF(AW478&gt;CN$6,NA(),AW478)</f>
        <v/>
      </c>
      <c r="CP478" s="152">
        <f>IF(AW478&gt;CN$6,NA(),CN478)</f>
        <v/>
      </c>
    </row>
    <row r="479">
      <c r="B479" s="152" t="n">
        <v>468</v>
      </c>
      <c r="C479" s="152">
        <f>IF(F478&lt;=0.005,0,F478*(1+C$6))</f>
        <v/>
      </c>
      <c r="D479" s="152">
        <f>MIN(C479,C$7)</f>
        <v/>
      </c>
      <c r="E479" s="152">
        <f>MAX(0,MIN(C479-D479,AQ479))</f>
        <v/>
      </c>
      <c r="F479" s="152">
        <f>C479-D479-E479</f>
        <v/>
      </c>
      <c r="G479" s="152">
        <f>IF(J478&lt;=0.005,0,J478*(1+G$6))</f>
        <v/>
      </c>
      <c r="H479" s="152">
        <f>MIN(G479,G$7)</f>
        <v/>
      </c>
      <c r="I479" s="152">
        <f>MAX(0,MIN(G479-H479,AQ479-(E479)))</f>
        <v/>
      </c>
      <c r="J479" s="152">
        <f>G479-H479-I479</f>
        <v/>
      </c>
      <c r="K479" s="152">
        <f>IF(N478&lt;=0.005,0,N478*(1+K$6))</f>
        <v/>
      </c>
      <c r="L479" s="152">
        <f>MIN(K479,K$7)</f>
        <v/>
      </c>
      <c r="M479" s="152">
        <f>MAX(0,MIN(K479-L479,AQ479-(E479+I479)))</f>
        <v/>
      </c>
      <c r="N479" s="152">
        <f>K479-L479-M479</f>
        <v/>
      </c>
      <c r="O479" s="152">
        <f>IF(R478&lt;=0.005,0,R478*(1+O$6))</f>
        <v/>
      </c>
      <c r="P479" s="152">
        <f>MIN(O479,O$7)</f>
        <v/>
      </c>
      <c r="Q479" s="152">
        <f>MAX(0,MIN(O479-P479,AQ479-(E479+I479+M479)))</f>
        <v/>
      </c>
      <c r="R479" s="152">
        <f>O479-P479-Q479</f>
        <v/>
      </c>
      <c r="S479" s="152">
        <f>IF(V478&lt;=0.005,0,V478*(1+S$6))</f>
        <v/>
      </c>
      <c r="T479" s="152">
        <f>MIN(S479,S$7)</f>
        <v/>
      </c>
      <c r="U479" s="152">
        <f>MAX(0,MIN(S479-T479,AQ479-(E479+I479+M479+Q479)))</f>
        <v/>
      </c>
      <c r="V479" s="152">
        <f>S479-T479-U479</f>
        <v/>
      </c>
      <c r="W479" s="152">
        <f>IF(Z478&lt;=0.005,0,Z478*(1+W$6))</f>
        <v/>
      </c>
      <c r="X479" s="152">
        <f>MIN(W479,W$7)</f>
        <v/>
      </c>
      <c r="Y479" s="152">
        <f>MAX(0,MIN(W479-X479,AQ479-(E479+I479+M479+Q479+U479)))</f>
        <v/>
      </c>
      <c r="Z479" s="152">
        <f>W479-X479-Y479</f>
        <v/>
      </c>
      <c r="AA479" s="152">
        <f>IF(AD478&lt;=0.005,0,AD478*(1+AA$6))</f>
        <v/>
      </c>
      <c r="AB479" s="152">
        <f>MIN(AA479,AA$7)</f>
        <v/>
      </c>
      <c r="AC479" s="152">
        <f>MAX(0,MIN(AA479-AB479,AQ479-(E479+I479+M479+Q479+U479+Y479)))</f>
        <v/>
      </c>
      <c r="AD479" s="152">
        <f>AA479-AB479-AC479</f>
        <v/>
      </c>
      <c r="AE479" s="152">
        <f>IF(AH478&lt;=0.005,0,AH478*(1+AE$6))</f>
        <v/>
      </c>
      <c r="AF479" s="152">
        <f>MIN(AE479,AE$7)</f>
        <v/>
      </c>
      <c r="AG479" s="152">
        <f>MAX(0,MIN(AE479-AF479,AQ479-(E479+I479+M479+Q479+U479+Y479+AC479)))</f>
        <v/>
      </c>
      <c r="AH479" s="152">
        <f>AE479-AF479-AG479</f>
        <v/>
      </c>
      <c r="AI479" s="152">
        <f>IF(AL478&lt;=0.005,0,AL478*(1+AI$6))</f>
        <v/>
      </c>
      <c r="AJ479" s="152">
        <f>MIN(AI479,AI$7)</f>
        <v/>
      </c>
      <c r="AK479" s="152">
        <f>MAX(0,MIN(AI479-AJ479,AQ479-(E479+I479+M479+Q479+U479+Y479+AC479+AG479)))</f>
        <v/>
      </c>
      <c r="AL479" s="152">
        <f>AI479-AJ479-AK479</f>
        <v/>
      </c>
      <c r="AM479" s="152">
        <f>IF(AP478&lt;=0.005,0,AP478*(1+AM$6))</f>
        <v/>
      </c>
      <c r="AN479" s="152">
        <f>MIN(AM479,AM$7)</f>
        <v/>
      </c>
      <c r="AO479" s="152">
        <f>MAX(0,MIN(AM479-AN479,AQ479-(E479+I479+M479+Q479+U479+Y479+AC479+AG479+AK479)))</f>
        <v/>
      </c>
      <c r="AP479" s="152">
        <f>AM479-AN479-AO479</f>
        <v/>
      </c>
      <c r="AQ479" s="152">
        <f>'Debt Payoff'!$C$8-SUM(D479,H479,L479,P479,T479,X479,AB479,AF479,AJ479,AN479)</f>
        <v/>
      </c>
      <c r="AR479" s="152">
        <f>SUM(D479,H479,L479,P479,T479,X479,AB479,AF479,AJ479,AN479)+SUM(E479,I479,M479,Q479,U479,Y479,AC479,AG479,AK479,AO479)</f>
        <v/>
      </c>
      <c r="AS479" s="152">
        <f>SUM(F479,J479,N479,R479,V479,Z479,AD479,AH479,AL479,AP479)</f>
        <v/>
      </c>
      <c r="AT479" s="152">
        <f>IF(B479&gt;AS$6,NA(),B479)</f>
        <v/>
      </c>
      <c r="AU479" s="152">
        <f>IF(B479&gt;AS$6,NA(),AS479)</f>
        <v/>
      </c>
      <c r="AV479" s="152" t="n"/>
      <c r="AW479" s="152" t="n">
        <v>468</v>
      </c>
      <c r="AX479" s="152">
        <f>IF(BA478&lt;=0.005,0,BA478*(1+AX$6))</f>
        <v/>
      </c>
      <c r="AY479" s="152">
        <f>MIN(AX479,AX$7)</f>
        <v/>
      </c>
      <c r="AZ479" s="152">
        <f>MAX(0,MIN(AX479-AY479,CL479))</f>
        <v/>
      </c>
      <c r="BA479" s="152">
        <f>AX479-AY479-AZ479</f>
        <v/>
      </c>
      <c r="BB479" s="152">
        <f>IF(BE478&lt;=0.005,0,BE478*(1+BB$6))</f>
        <v/>
      </c>
      <c r="BC479" s="152">
        <f>MIN(BB479,BB$7)</f>
        <v/>
      </c>
      <c r="BD479" s="152">
        <f>MAX(0,MIN(BB479-BC479,CL479-(AZ479)))</f>
        <v/>
      </c>
      <c r="BE479" s="152">
        <f>BB479-BC479-BD479</f>
        <v/>
      </c>
      <c r="BF479" s="152">
        <f>IF(BI478&lt;=0.005,0,BI478*(1+BF$6))</f>
        <v/>
      </c>
      <c r="BG479" s="152">
        <f>MIN(BF479,BF$7)</f>
        <v/>
      </c>
      <c r="BH479" s="152">
        <f>MAX(0,MIN(BF479-BG479,CL479-(AZ479+BD479)))</f>
        <v/>
      </c>
      <c r="BI479" s="152">
        <f>BF479-BG479-BH479</f>
        <v/>
      </c>
      <c r="BJ479" s="152">
        <f>IF(BM478&lt;=0.005,0,BM478*(1+BJ$6))</f>
        <v/>
      </c>
      <c r="BK479" s="152">
        <f>MIN(BJ479,BJ$7)</f>
        <v/>
      </c>
      <c r="BL479" s="152">
        <f>MAX(0,MIN(BJ479-BK479,CL479-(AZ479+BD479+BH479)))</f>
        <v/>
      </c>
      <c r="BM479" s="152">
        <f>BJ479-BK479-BL479</f>
        <v/>
      </c>
      <c r="BN479" s="152">
        <f>IF(BQ478&lt;=0.005,0,BQ478*(1+BN$6))</f>
        <v/>
      </c>
      <c r="BO479" s="152">
        <f>MIN(BN479,BN$7)</f>
        <v/>
      </c>
      <c r="BP479" s="152">
        <f>MAX(0,MIN(BN479-BO479,CL479-(AZ479+BD479+BH479+BL479)))</f>
        <v/>
      </c>
      <c r="BQ479" s="152">
        <f>BN479-BO479-BP479</f>
        <v/>
      </c>
      <c r="BR479" s="152">
        <f>IF(BU478&lt;=0.005,0,BU478*(1+BR$6))</f>
        <v/>
      </c>
      <c r="BS479" s="152">
        <f>MIN(BR479,BR$7)</f>
        <v/>
      </c>
      <c r="BT479" s="152">
        <f>MAX(0,MIN(BR479-BS479,CL479-(AZ479+BD479+BH479+BL479+BP479)))</f>
        <v/>
      </c>
      <c r="BU479" s="152">
        <f>BR479-BS479-BT479</f>
        <v/>
      </c>
      <c r="BV479" s="152">
        <f>IF(BY478&lt;=0.005,0,BY478*(1+BV$6))</f>
        <v/>
      </c>
      <c r="BW479" s="152">
        <f>MIN(BV479,BV$7)</f>
        <v/>
      </c>
      <c r="BX479" s="152">
        <f>MAX(0,MIN(BV479-BW479,CL479-(AZ479+BD479+BH479+BL479+BP479+BT479)))</f>
        <v/>
      </c>
      <c r="BY479" s="152">
        <f>BV479-BW479-BX479</f>
        <v/>
      </c>
      <c r="BZ479" s="152">
        <f>IF(CC478&lt;=0.005,0,CC478*(1+BZ$6))</f>
        <v/>
      </c>
      <c r="CA479" s="152">
        <f>MIN(BZ479,BZ$7)</f>
        <v/>
      </c>
      <c r="CB479" s="152">
        <f>MAX(0,MIN(BZ479-CA479,CL479-(AZ479+BD479+BH479+BL479+BP479+BT479+BX479)))</f>
        <v/>
      </c>
      <c r="CC479" s="152">
        <f>BZ479-CA479-CB479</f>
        <v/>
      </c>
      <c r="CD479" s="152">
        <f>IF(CG478&lt;=0.005,0,CG478*(1+CD$6))</f>
        <v/>
      </c>
      <c r="CE479" s="152">
        <f>MIN(CD479,CD$7)</f>
        <v/>
      </c>
      <c r="CF479" s="152">
        <f>MAX(0,MIN(CD479-CE479,CL479-(AZ479+BD479+BH479+BL479+BP479+BT479+BX479+CB479)))</f>
        <v/>
      </c>
      <c r="CG479" s="152">
        <f>CD479-CE479-CF479</f>
        <v/>
      </c>
      <c r="CH479" s="152">
        <f>IF(CK478&lt;=0.005,0,CK478*(1+CH$6))</f>
        <v/>
      </c>
      <c r="CI479" s="152">
        <f>MIN(CH479,CH$7)</f>
        <v/>
      </c>
      <c r="CJ479" s="152">
        <f>MAX(0,MIN(CH479-CI479,CL479-(AZ479+BD479+BH479+BL479+BP479+BT479+BX479+CB479+CF479)))</f>
        <v/>
      </c>
      <c r="CK479" s="152">
        <f>CH479-CI479-CJ479</f>
        <v/>
      </c>
      <c r="CL479" s="152">
        <f>'Debt Payoff'!$C$8-SUM(AY479,BC479,BG479,BK479,BO479,BS479,BW479,CA479,CE479,CI479)</f>
        <v/>
      </c>
      <c r="CM479" s="152">
        <f>SUM(AY479,BC479,BG479,BK479,BO479,BS479,BW479,CA479,CE479,CI479)+SUM(AZ479,BD479,BH479,BL479,BP479,BT479,BX479,CB479,CF479,CJ479)</f>
        <v/>
      </c>
      <c r="CN479" s="152">
        <f>SUM(BA479,BE479,BI479,BM479,BQ479,BU479,BY479,CC479,CG479,CK479)</f>
        <v/>
      </c>
      <c r="CO479" s="152">
        <f>IF(AW479&gt;CN$6,NA(),AW479)</f>
        <v/>
      </c>
      <c r="CP479" s="152">
        <f>IF(AW479&gt;CN$6,NA(),CN479)</f>
        <v/>
      </c>
    </row>
    <row r="480">
      <c r="B480" s="152" t="n">
        <v>469</v>
      </c>
      <c r="C480" s="152">
        <f>IF(F479&lt;=0.005,0,F479*(1+C$6))</f>
        <v/>
      </c>
      <c r="D480" s="152">
        <f>MIN(C480,C$7)</f>
        <v/>
      </c>
      <c r="E480" s="152">
        <f>MAX(0,MIN(C480-D480,AQ480))</f>
        <v/>
      </c>
      <c r="F480" s="152">
        <f>C480-D480-E480</f>
        <v/>
      </c>
      <c r="G480" s="152">
        <f>IF(J479&lt;=0.005,0,J479*(1+G$6))</f>
        <v/>
      </c>
      <c r="H480" s="152">
        <f>MIN(G480,G$7)</f>
        <v/>
      </c>
      <c r="I480" s="152">
        <f>MAX(0,MIN(G480-H480,AQ480-(E480)))</f>
        <v/>
      </c>
      <c r="J480" s="152">
        <f>G480-H480-I480</f>
        <v/>
      </c>
      <c r="K480" s="152">
        <f>IF(N479&lt;=0.005,0,N479*(1+K$6))</f>
        <v/>
      </c>
      <c r="L480" s="152">
        <f>MIN(K480,K$7)</f>
        <v/>
      </c>
      <c r="M480" s="152">
        <f>MAX(0,MIN(K480-L480,AQ480-(E480+I480)))</f>
        <v/>
      </c>
      <c r="N480" s="152">
        <f>K480-L480-M480</f>
        <v/>
      </c>
      <c r="O480" s="152">
        <f>IF(R479&lt;=0.005,0,R479*(1+O$6))</f>
        <v/>
      </c>
      <c r="P480" s="152">
        <f>MIN(O480,O$7)</f>
        <v/>
      </c>
      <c r="Q480" s="152">
        <f>MAX(0,MIN(O480-P480,AQ480-(E480+I480+M480)))</f>
        <v/>
      </c>
      <c r="R480" s="152">
        <f>O480-P480-Q480</f>
        <v/>
      </c>
      <c r="S480" s="152">
        <f>IF(V479&lt;=0.005,0,V479*(1+S$6))</f>
        <v/>
      </c>
      <c r="T480" s="152">
        <f>MIN(S480,S$7)</f>
        <v/>
      </c>
      <c r="U480" s="152">
        <f>MAX(0,MIN(S480-T480,AQ480-(E480+I480+M480+Q480)))</f>
        <v/>
      </c>
      <c r="V480" s="152">
        <f>S480-T480-U480</f>
        <v/>
      </c>
      <c r="W480" s="152">
        <f>IF(Z479&lt;=0.005,0,Z479*(1+W$6))</f>
        <v/>
      </c>
      <c r="X480" s="152">
        <f>MIN(W480,W$7)</f>
        <v/>
      </c>
      <c r="Y480" s="152">
        <f>MAX(0,MIN(W480-X480,AQ480-(E480+I480+M480+Q480+U480)))</f>
        <v/>
      </c>
      <c r="Z480" s="152">
        <f>W480-X480-Y480</f>
        <v/>
      </c>
      <c r="AA480" s="152">
        <f>IF(AD479&lt;=0.005,0,AD479*(1+AA$6))</f>
        <v/>
      </c>
      <c r="AB480" s="152">
        <f>MIN(AA480,AA$7)</f>
        <v/>
      </c>
      <c r="AC480" s="152">
        <f>MAX(0,MIN(AA480-AB480,AQ480-(E480+I480+M480+Q480+U480+Y480)))</f>
        <v/>
      </c>
      <c r="AD480" s="152">
        <f>AA480-AB480-AC480</f>
        <v/>
      </c>
      <c r="AE480" s="152">
        <f>IF(AH479&lt;=0.005,0,AH479*(1+AE$6))</f>
        <v/>
      </c>
      <c r="AF480" s="152">
        <f>MIN(AE480,AE$7)</f>
        <v/>
      </c>
      <c r="AG480" s="152">
        <f>MAX(0,MIN(AE480-AF480,AQ480-(E480+I480+M480+Q480+U480+Y480+AC480)))</f>
        <v/>
      </c>
      <c r="AH480" s="152">
        <f>AE480-AF480-AG480</f>
        <v/>
      </c>
      <c r="AI480" s="152">
        <f>IF(AL479&lt;=0.005,0,AL479*(1+AI$6))</f>
        <v/>
      </c>
      <c r="AJ480" s="152">
        <f>MIN(AI480,AI$7)</f>
        <v/>
      </c>
      <c r="AK480" s="152">
        <f>MAX(0,MIN(AI480-AJ480,AQ480-(E480+I480+M480+Q480+U480+Y480+AC480+AG480)))</f>
        <v/>
      </c>
      <c r="AL480" s="152">
        <f>AI480-AJ480-AK480</f>
        <v/>
      </c>
      <c r="AM480" s="152">
        <f>IF(AP479&lt;=0.005,0,AP479*(1+AM$6))</f>
        <v/>
      </c>
      <c r="AN480" s="152">
        <f>MIN(AM480,AM$7)</f>
        <v/>
      </c>
      <c r="AO480" s="152">
        <f>MAX(0,MIN(AM480-AN480,AQ480-(E480+I480+M480+Q480+U480+Y480+AC480+AG480+AK480)))</f>
        <v/>
      </c>
      <c r="AP480" s="152">
        <f>AM480-AN480-AO480</f>
        <v/>
      </c>
      <c r="AQ480" s="152">
        <f>'Debt Payoff'!$C$8-SUM(D480,H480,L480,P480,T480,X480,AB480,AF480,AJ480,AN480)</f>
        <v/>
      </c>
      <c r="AR480" s="152">
        <f>SUM(D480,H480,L480,P480,T480,X480,AB480,AF480,AJ480,AN480)+SUM(E480,I480,M480,Q480,U480,Y480,AC480,AG480,AK480,AO480)</f>
        <v/>
      </c>
      <c r="AS480" s="152">
        <f>SUM(F480,J480,N480,R480,V480,Z480,AD480,AH480,AL480,AP480)</f>
        <v/>
      </c>
      <c r="AT480" s="152">
        <f>IF(B480&gt;AS$6,NA(),B480)</f>
        <v/>
      </c>
      <c r="AU480" s="152">
        <f>IF(B480&gt;AS$6,NA(),AS480)</f>
        <v/>
      </c>
      <c r="AV480" s="152" t="n"/>
      <c r="AW480" s="152" t="n">
        <v>469</v>
      </c>
      <c r="AX480" s="152">
        <f>IF(BA479&lt;=0.005,0,BA479*(1+AX$6))</f>
        <v/>
      </c>
      <c r="AY480" s="152">
        <f>MIN(AX480,AX$7)</f>
        <v/>
      </c>
      <c r="AZ480" s="152">
        <f>MAX(0,MIN(AX480-AY480,CL480))</f>
        <v/>
      </c>
      <c r="BA480" s="152">
        <f>AX480-AY480-AZ480</f>
        <v/>
      </c>
      <c r="BB480" s="152">
        <f>IF(BE479&lt;=0.005,0,BE479*(1+BB$6))</f>
        <v/>
      </c>
      <c r="BC480" s="152">
        <f>MIN(BB480,BB$7)</f>
        <v/>
      </c>
      <c r="BD480" s="152">
        <f>MAX(0,MIN(BB480-BC480,CL480-(AZ480)))</f>
        <v/>
      </c>
      <c r="BE480" s="152">
        <f>BB480-BC480-BD480</f>
        <v/>
      </c>
      <c r="BF480" s="152">
        <f>IF(BI479&lt;=0.005,0,BI479*(1+BF$6))</f>
        <v/>
      </c>
      <c r="BG480" s="152">
        <f>MIN(BF480,BF$7)</f>
        <v/>
      </c>
      <c r="BH480" s="152">
        <f>MAX(0,MIN(BF480-BG480,CL480-(AZ480+BD480)))</f>
        <v/>
      </c>
      <c r="BI480" s="152">
        <f>BF480-BG480-BH480</f>
        <v/>
      </c>
      <c r="BJ480" s="152">
        <f>IF(BM479&lt;=0.005,0,BM479*(1+BJ$6))</f>
        <v/>
      </c>
      <c r="BK480" s="152">
        <f>MIN(BJ480,BJ$7)</f>
        <v/>
      </c>
      <c r="BL480" s="152">
        <f>MAX(0,MIN(BJ480-BK480,CL480-(AZ480+BD480+BH480)))</f>
        <v/>
      </c>
      <c r="BM480" s="152">
        <f>BJ480-BK480-BL480</f>
        <v/>
      </c>
      <c r="BN480" s="152">
        <f>IF(BQ479&lt;=0.005,0,BQ479*(1+BN$6))</f>
        <v/>
      </c>
      <c r="BO480" s="152">
        <f>MIN(BN480,BN$7)</f>
        <v/>
      </c>
      <c r="BP480" s="152">
        <f>MAX(0,MIN(BN480-BO480,CL480-(AZ480+BD480+BH480+BL480)))</f>
        <v/>
      </c>
      <c r="BQ480" s="152">
        <f>BN480-BO480-BP480</f>
        <v/>
      </c>
      <c r="BR480" s="152">
        <f>IF(BU479&lt;=0.005,0,BU479*(1+BR$6))</f>
        <v/>
      </c>
      <c r="BS480" s="152">
        <f>MIN(BR480,BR$7)</f>
        <v/>
      </c>
      <c r="BT480" s="152">
        <f>MAX(0,MIN(BR480-BS480,CL480-(AZ480+BD480+BH480+BL480+BP480)))</f>
        <v/>
      </c>
      <c r="BU480" s="152">
        <f>BR480-BS480-BT480</f>
        <v/>
      </c>
      <c r="BV480" s="152">
        <f>IF(BY479&lt;=0.005,0,BY479*(1+BV$6))</f>
        <v/>
      </c>
      <c r="BW480" s="152">
        <f>MIN(BV480,BV$7)</f>
        <v/>
      </c>
      <c r="BX480" s="152">
        <f>MAX(0,MIN(BV480-BW480,CL480-(AZ480+BD480+BH480+BL480+BP480+BT480)))</f>
        <v/>
      </c>
      <c r="BY480" s="152">
        <f>BV480-BW480-BX480</f>
        <v/>
      </c>
      <c r="BZ480" s="152">
        <f>IF(CC479&lt;=0.005,0,CC479*(1+BZ$6))</f>
        <v/>
      </c>
      <c r="CA480" s="152">
        <f>MIN(BZ480,BZ$7)</f>
        <v/>
      </c>
      <c r="CB480" s="152">
        <f>MAX(0,MIN(BZ480-CA480,CL480-(AZ480+BD480+BH480+BL480+BP480+BT480+BX480)))</f>
        <v/>
      </c>
      <c r="CC480" s="152">
        <f>BZ480-CA480-CB480</f>
        <v/>
      </c>
      <c r="CD480" s="152">
        <f>IF(CG479&lt;=0.005,0,CG479*(1+CD$6))</f>
        <v/>
      </c>
      <c r="CE480" s="152">
        <f>MIN(CD480,CD$7)</f>
        <v/>
      </c>
      <c r="CF480" s="152">
        <f>MAX(0,MIN(CD480-CE480,CL480-(AZ480+BD480+BH480+BL480+BP480+BT480+BX480+CB480)))</f>
        <v/>
      </c>
      <c r="CG480" s="152">
        <f>CD480-CE480-CF480</f>
        <v/>
      </c>
      <c r="CH480" s="152">
        <f>IF(CK479&lt;=0.005,0,CK479*(1+CH$6))</f>
        <v/>
      </c>
      <c r="CI480" s="152">
        <f>MIN(CH480,CH$7)</f>
        <v/>
      </c>
      <c r="CJ480" s="152">
        <f>MAX(0,MIN(CH480-CI480,CL480-(AZ480+BD480+BH480+BL480+BP480+BT480+BX480+CB480+CF480)))</f>
        <v/>
      </c>
      <c r="CK480" s="152">
        <f>CH480-CI480-CJ480</f>
        <v/>
      </c>
      <c r="CL480" s="152">
        <f>'Debt Payoff'!$C$8-SUM(AY480,BC480,BG480,BK480,BO480,BS480,BW480,CA480,CE480,CI480)</f>
        <v/>
      </c>
      <c r="CM480" s="152">
        <f>SUM(AY480,BC480,BG480,BK480,BO480,BS480,BW480,CA480,CE480,CI480)+SUM(AZ480,BD480,BH480,BL480,BP480,BT480,BX480,CB480,CF480,CJ480)</f>
        <v/>
      </c>
      <c r="CN480" s="152">
        <f>SUM(BA480,BE480,BI480,BM480,BQ480,BU480,BY480,CC480,CG480,CK480)</f>
        <v/>
      </c>
      <c r="CO480" s="152">
        <f>IF(AW480&gt;CN$6,NA(),AW480)</f>
        <v/>
      </c>
      <c r="CP480" s="152">
        <f>IF(AW480&gt;CN$6,NA(),CN480)</f>
        <v/>
      </c>
    </row>
    <row r="481">
      <c r="B481" s="152" t="n">
        <v>470</v>
      </c>
      <c r="C481" s="152">
        <f>IF(F480&lt;=0.005,0,F480*(1+C$6))</f>
        <v/>
      </c>
      <c r="D481" s="152">
        <f>MIN(C481,C$7)</f>
        <v/>
      </c>
      <c r="E481" s="152">
        <f>MAX(0,MIN(C481-D481,AQ481))</f>
        <v/>
      </c>
      <c r="F481" s="152">
        <f>C481-D481-E481</f>
        <v/>
      </c>
      <c r="G481" s="152">
        <f>IF(J480&lt;=0.005,0,J480*(1+G$6))</f>
        <v/>
      </c>
      <c r="H481" s="152">
        <f>MIN(G481,G$7)</f>
        <v/>
      </c>
      <c r="I481" s="152">
        <f>MAX(0,MIN(G481-H481,AQ481-(E481)))</f>
        <v/>
      </c>
      <c r="J481" s="152">
        <f>G481-H481-I481</f>
        <v/>
      </c>
      <c r="K481" s="152">
        <f>IF(N480&lt;=0.005,0,N480*(1+K$6))</f>
        <v/>
      </c>
      <c r="L481" s="152">
        <f>MIN(K481,K$7)</f>
        <v/>
      </c>
      <c r="M481" s="152">
        <f>MAX(0,MIN(K481-L481,AQ481-(E481+I481)))</f>
        <v/>
      </c>
      <c r="N481" s="152">
        <f>K481-L481-M481</f>
        <v/>
      </c>
      <c r="O481" s="152">
        <f>IF(R480&lt;=0.005,0,R480*(1+O$6))</f>
        <v/>
      </c>
      <c r="P481" s="152">
        <f>MIN(O481,O$7)</f>
        <v/>
      </c>
      <c r="Q481" s="152">
        <f>MAX(0,MIN(O481-P481,AQ481-(E481+I481+M481)))</f>
        <v/>
      </c>
      <c r="R481" s="152">
        <f>O481-P481-Q481</f>
        <v/>
      </c>
      <c r="S481" s="152">
        <f>IF(V480&lt;=0.005,0,V480*(1+S$6))</f>
        <v/>
      </c>
      <c r="T481" s="152">
        <f>MIN(S481,S$7)</f>
        <v/>
      </c>
      <c r="U481" s="152">
        <f>MAX(0,MIN(S481-T481,AQ481-(E481+I481+M481+Q481)))</f>
        <v/>
      </c>
      <c r="V481" s="152">
        <f>S481-T481-U481</f>
        <v/>
      </c>
      <c r="W481" s="152">
        <f>IF(Z480&lt;=0.005,0,Z480*(1+W$6))</f>
        <v/>
      </c>
      <c r="X481" s="152">
        <f>MIN(W481,W$7)</f>
        <v/>
      </c>
      <c r="Y481" s="152">
        <f>MAX(0,MIN(W481-X481,AQ481-(E481+I481+M481+Q481+U481)))</f>
        <v/>
      </c>
      <c r="Z481" s="152">
        <f>W481-X481-Y481</f>
        <v/>
      </c>
      <c r="AA481" s="152">
        <f>IF(AD480&lt;=0.005,0,AD480*(1+AA$6))</f>
        <v/>
      </c>
      <c r="AB481" s="152">
        <f>MIN(AA481,AA$7)</f>
        <v/>
      </c>
      <c r="AC481" s="152">
        <f>MAX(0,MIN(AA481-AB481,AQ481-(E481+I481+M481+Q481+U481+Y481)))</f>
        <v/>
      </c>
      <c r="AD481" s="152">
        <f>AA481-AB481-AC481</f>
        <v/>
      </c>
      <c r="AE481" s="152">
        <f>IF(AH480&lt;=0.005,0,AH480*(1+AE$6))</f>
        <v/>
      </c>
      <c r="AF481" s="152">
        <f>MIN(AE481,AE$7)</f>
        <v/>
      </c>
      <c r="AG481" s="152">
        <f>MAX(0,MIN(AE481-AF481,AQ481-(E481+I481+M481+Q481+U481+Y481+AC481)))</f>
        <v/>
      </c>
      <c r="AH481" s="152">
        <f>AE481-AF481-AG481</f>
        <v/>
      </c>
      <c r="AI481" s="152">
        <f>IF(AL480&lt;=0.005,0,AL480*(1+AI$6))</f>
        <v/>
      </c>
      <c r="AJ481" s="152">
        <f>MIN(AI481,AI$7)</f>
        <v/>
      </c>
      <c r="AK481" s="152">
        <f>MAX(0,MIN(AI481-AJ481,AQ481-(E481+I481+M481+Q481+U481+Y481+AC481+AG481)))</f>
        <v/>
      </c>
      <c r="AL481" s="152">
        <f>AI481-AJ481-AK481</f>
        <v/>
      </c>
      <c r="AM481" s="152">
        <f>IF(AP480&lt;=0.005,0,AP480*(1+AM$6))</f>
        <v/>
      </c>
      <c r="AN481" s="152">
        <f>MIN(AM481,AM$7)</f>
        <v/>
      </c>
      <c r="AO481" s="152">
        <f>MAX(0,MIN(AM481-AN481,AQ481-(E481+I481+M481+Q481+U481+Y481+AC481+AG481+AK481)))</f>
        <v/>
      </c>
      <c r="AP481" s="152">
        <f>AM481-AN481-AO481</f>
        <v/>
      </c>
      <c r="AQ481" s="152">
        <f>'Debt Payoff'!$C$8-SUM(D481,H481,L481,P481,T481,X481,AB481,AF481,AJ481,AN481)</f>
        <v/>
      </c>
      <c r="AR481" s="152">
        <f>SUM(D481,H481,L481,P481,T481,X481,AB481,AF481,AJ481,AN481)+SUM(E481,I481,M481,Q481,U481,Y481,AC481,AG481,AK481,AO481)</f>
        <v/>
      </c>
      <c r="AS481" s="152">
        <f>SUM(F481,J481,N481,R481,V481,Z481,AD481,AH481,AL481,AP481)</f>
        <v/>
      </c>
      <c r="AT481" s="152">
        <f>IF(B481&gt;AS$6,NA(),B481)</f>
        <v/>
      </c>
      <c r="AU481" s="152">
        <f>IF(B481&gt;AS$6,NA(),AS481)</f>
        <v/>
      </c>
      <c r="AV481" s="152" t="n"/>
      <c r="AW481" s="152" t="n">
        <v>470</v>
      </c>
      <c r="AX481" s="152">
        <f>IF(BA480&lt;=0.005,0,BA480*(1+AX$6))</f>
        <v/>
      </c>
      <c r="AY481" s="152">
        <f>MIN(AX481,AX$7)</f>
        <v/>
      </c>
      <c r="AZ481" s="152">
        <f>MAX(0,MIN(AX481-AY481,CL481))</f>
        <v/>
      </c>
      <c r="BA481" s="152">
        <f>AX481-AY481-AZ481</f>
        <v/>
      </c>
      <c r="BB481" s="152">
        <f>IF(BE480&lt;=0.005,0,BE480*(1+BB$6))</f>
        <v/>
      </c>
      <c r="BC481" s="152">
        <f>MIN(BB481,BB$7)</f>
        <v/>
      </c>
      <c r="BD481" s="152">
        <f>MAX(0,MIN(BB481-BC481,CL481-(AZ481)))</f>
        <v/>
      </c>
      <c r="BE481" s="152">
        <f>BB481-BC481-BD481</f>
        <v/>
      </c>
      <c r="BF481" s="152">
        <f>IF(BI480&lt;=0.005,0,BI480*(1+BF$6))</f>
        <v/>
      </c>
      <c r="BG481" s="152">
        <f>MIN(BF481,BF$7)</f>
        <v/>
      </c>
      <c r="BH481" s="152">
        <f>MAX(0,MIN(BF481-BG481,CL481-(AZ481+BD481)))</f>
        <v/>
      </c>
      <c r="BI481" s="152">
        <f>BF481-BG481-BH481</f>
        <v/>
      </c>
      <c r="BJ481" s="152">
        <f>IF(BM480&lt;=0.005,0,BM480*(1+BJ$6))</f>
        <v/>
      </c>
      <c r="BK481" s="152">
        <f>MIN(BJ481,BJ$7)</f>
        <v/>
      </c>
      <c r="BL481" s="152">
        <f>MAX(0,MIN(BJ481-BK481,CL481-(AZ481+BD481+BH481)))</f>
        <v/>
      </c>
      <c r="BM481" s="152">
        <f>BJ481-BK481-BL481</f>
        <v/>
      </c>
      <c r="BN481" s="152">
        <f>IF(BQ480&lt;=0.005,0,BQ480*(1+BN$6))</f>
        <v/>
      </c>
      <c r="BO481" s="152">
        <f>MIN(BN481,BN$7)</f>
        <v/>
      </c>
      <c r="BP481" s="152">
        <f>MAX(0,MIN(BN481-BO481,CL481-(AZ481+BD481+BH481+BL481)))</f>
        <v/>
      </c>
      <c r="BQ481" s="152">
        <f>BN481-BO481-BP481</f>
        <v/>
      </c>
      <c r="BR481" s="152">
        <f>IF(BU480&lt;=0.005,0,BU480*(1+BR$6))</f>
        <v/>
      </c>
      <c r="BS481" s="152">
        <f>MIN(BR481,BR$7)</f>
        <v/>
      </c>
      <c r="BT481" s="152">
        <f>MAX(0,MIN(BR481-BS481,CL481-(AZ481+BD481+BH481+BL481+BP481)))</f>
        <v/>
      </c>
      <c r="BU481" s="152">
        <f>BR481-BS481-BT481</f>
        <v/>
      </c>
      <c r="BV481" s="152">
        <f>IF(BY480&lt;=0.005,0,BY480*(1+BV$6))</f>
        <v/>
      </c>
      <c r="BW481" s="152">
        <f>MIN(BV481,BV$7)</f>
        <v/>
      </c>
      <c r="BX481" s="152">
        <f>MAX(0,MIN(BV481-BW481,CL481-(AZ481+BD481+BH481+BL481+BP481+BT481)))</f>
        <v/>
      </c>
      <c r="BY481" s="152">
        <f>BV481-BW481-BX481</f>
        <v/>
      </c>
      <c r="BZ481" s="152">
        <f>IF(CC480&lt;=0.005,0,CC480*(1+BZ$6))</f>
        <v/>
      </c>
      <c r="CA481" s="152">
        <f>MIN(BZ481,BZ$7)</f>
        <v/>
      </c>
      <c r="CB481" s="152">
        <f>MAX(0,MIN(BZ481-CA481,CL481-(AZ481+BD481+BH481+BL481+BP481+BT481+BX481)))</f>
        <v/>
      </c>
      <c r="CC481" s="152">
        <f>BZ481-CA481-CB481</f>
        <v/>
      </c>
      <c r="CD481" s="152">
        <f>IF(CG480&lt;=0.005,0,CG480*(1+CD$6))</f>
        <v/>
      </c>
      <c r="CE481" s="152">
        <f>MIN(CD481,CD$7)</f>
        <v/>
      </c>
      <c r="CF481" s="152">
        <f>MAX(0,MIN(CD481-CE481,CL481-(AZ481+BD481+BH481+BL481+BP481+BT481+BX481+CB481)))</f>
        <v/>
      </c>
      <c r="CG481" s="152">
        <f>CD481-CE481-CF481</f>
        <v/>
      </c>
      <c r="CH481" s="152">
        <f>IF(CK480&lt;=0.005,0,CK480*(1+CH$6))</f>
        <v/>
      </c>
      <c r="CI481" s="152">
        <f>MIN(CH481,CH$7)</f>
        <v/>
      </c>
      <c r="CJ481" s="152">
        <f>MAX(0,MIN(CH481-CI481,CL481-(AZ481+BD481+BH481+BL481+BP481+BT481+BX481+CB481+CF481)))</f>
        <v/>
      </c>
      <c r="CK481" s="152">
        <f>CH481-CI481-CJ481</f>
        <v/>
      </c>
      <c r="CL481" s="152">
        <f>'Debt Payoff'!$C$8-SUM(AY481,BC481,BG481,BK481,BO481,BS481,BW481,CA481,CE481,CI481)</f>
        <v/>
      </c>
      <c r="CM481" s="152">
        <f>SUM(AY481,BC481,BG481,BK481,BO481,BS481,BW481,CA481,CE481,CI481)+SUM(AZ481,BD481,BH481,BL481,BP481,BT481,BX481,CB481,CF481,CJ481)</f>
        <v/>
      </c>
      <c r="CN481" s="152">
        <f>SUM(BA481,BE481,BI481,BM481,BQ481,BU481,BY481,CC481,CG481,CK481)</f>
        <v/>
      </c>
      <c r="CO481" s="152">
        <f>IF(AW481&gt;CN$6,NA(),AW481)</f>
        <v/>
      </c>
      <c r="CP481" s="152">
        <f>IF(AW481&gt;CN$6,NA(),CN481)</f>
        <v/>
      </c>
    </row>
    <row r="482">
      <c r="B482" s="152" t="n">
        <v>471</v>
      </c>
      <c r="C482" s="152">
        <f>IF(F481&lt;=0.005,0,F481*(1+C$6))</f>
        <v/>
      </c>
      <c r="D482" s="152">
        <f>MIN(C482,C$7)</f>
        <v/>
      </c>
      <c r="E482" s="152">
        <f>MAX(0,MIN(C482-D482,AQ482))</f>
        <v/>
      </c>
      <c r="F482" s="152">
        <f>C482-D482-E482</f>
        <v/>
      </c>
      <c r="G482" s="152">
        <f>IF(J481&lt;=0.005,0,J481*(1+G$6))</f>
        <v/>
      </c>
      <c r="H482" s="152">
        <f>MIN(G482,G$7)</f>
        <v/>
      </c>
      <c r="I482" s="152">
        <f>MAX(0,MIN(G482-H482,AQ482-(E482)))</f>
        <v/>
      </c>
      <c r="J482" s="152">
        <f>G482-H482-I482</f>
        <v/>
      </c>
      <c r="K482" s="152">
        <f>IF(N481&lt;=0.005,0,N481*(1+K$6))</f>
        <v/>
      </c>
      <c r="L482" s="152">
        <f>MIN(K482,K$7)</f>
        <v/>
      </c>
      <c r="M482" s="152">
        <f>MAX(0,MIN(K482-L482,AQ482-(E482+I482)))</f>
        <v/>
      </c>
      <c r="N482" s="152">
        <f>K482-L482-M482</f>
        <v/>
      </c>
      <c r="O482" s="152">
        <f>IF(R481&lt;=0.005,0,R481*(1+O$6))</f>
        <v/>
      </c>
      <c r="P482" s="152">
        <f>MIN(O482,O$7)</f>
        <v/>
      </c>
      <c r="Q482" s="152">
        <f>MAX(0,MIN(O482-P482,AQ482-(E482+I482+M482)))</f>
        <v/>
      </c>
      <c r="R482" s="152">
        <f>O482-P482-Q482</f>
        <v/>
      </c>
      <c r="S482" s="152">
        <f>IF(V481&lt;=0.005,0,V481*(1+S$6))</f>
        <v/>
      </c>
      <c r="T482" s="152">
        <f>MIN(S482,S$7)</f>
        <v/>
      </c>
      <c r="U482" s="152">
        <f>MAX(0,MIN(S482-T482,AQ482-(E482+I482+M482+Q482)))</f>
        <v/>
      </c>
      <c r="V482" s="152">
        <f>S482-T482-U482</f>
        <v/>
      </c>
      <c r="W482" s="152">
        <f>IF(Z481&lt;=0.005,0,Z481*(1+W$6))</f>
        <v/>
      </c>
      <c r="X482" s="152">
        <f>MIN(W482,W$7)</f>
        <v/>
      </c>
      <c r="Y482" s="152">
        <f>MAX(0,MIN(W482-X482,AQ482-(E482+I482+M482+Q482+U482)))</f>
        <v/>
      </c>
      <c r="Z482" s="152">
        <f>W482-X482-Y482</f>
        <v/>
      </c>
      <c r="AA482" s="152">
        <f>IF(AD481&lt;=0.005,0,AD481*(1+AA$6))</f>
        <v/>
      </c>
      <c r="AB482" s="152">
        <f>MIN(AA482,AA$7)</f>
        <v/>
      </c>
      <c r="AC482" s="152">
        <f>MAX(0,MIN(AA482-AB482,AQ482-(E482+I482+M482+Q482+U482+Y482)))</f>
        <v/>
      </c>
      <c r="AD482" s="152">
        <f>AA482-AB482-AC482</f>
        <v/>
      </c>
      <c r="AE482" s="152">
        <f>IF(AH481&lt;=0.005,0,AH481*(1+AE$6))</f>
        <v/>
      </c>
      <c r="AF482" s="152">
        <f>MIN(AE482,AE$7)</f>
        <v/>
      </c>
      <c r="AG482" s="152">
        <f>MAX(0,MIN(AE482-AF482,AQ482-(E482+I482+M482+Q482+U482+Y482+AC482)))</f>
        <v/>
      </c>
      <c r="AH482" s="152">
        <f>AE482-AF482-AG482</f>
        <v/>
      </c>
      <c r="AI482" s="152">
        <f>IF(AL481&lt;=0.005,0,AL481*(1+AI$6))</f>
        <v/>
      </c>
      <c r="AJ482" s="152">
        <f>MIN(AI482,AI$7)</f>
        <v/>
      </c>
      <c r="AK482" s="152">
        <f>MAX(0,MIN(AI482-AJ482,AQ482-(E482+I482+M482+Q482+U482+Y482+AC482+AG482)))</f>
        <v/>
      </c>
      <c r="AL482" s="152">
        <f>AI482-AJ482-AK482</f>
        <v/>
      </c>
      <c r="AM482" s="152">
        <f>IF(AP481&lt;=0.005,0,AP481*(1+AM$6))</f>
        <v/>
      </c>
      <c r="AN482" s="152">
        <f>MIN(AM482,AM$7)</f>
        <v/>
      </c>
      <c r="AO482" s="152">
        <f>MAX(0,MIN(AM482-AN482,AQ482-(E482+I482+M482+Q482+U482+Y482+AC482+AG482+AK482)))</f>
        <v/>
      </c>
      <c r="AP482" s="152">
        <f>AM482-AN482-AO482</f>
        <v/>
      </c>
      <c r="AQ482" s="152">
        <f>'Debt Payoff'!$C$8-SUM(D482,H482,L482,P482,T482,X482,AB482,AF482,AJ482,AN482)</f>
        <v/>
      </c>
      <c r="AR482" s="152">
        <f>SUM(D482,H482,L482,P482,T482,X482,AB482,AF482,AJ482,AN482)+SUM(E482,I482,M482,Q482,U482,Y482,AC482,AG482,AK482,AO482)</f>
        <v/>
      </c>
      <c r="AS482" s="152">
        <f>SUM(F482,J482,N482,R482,V482,Z482,AD482,AH482,AL482,AP482)</f>
        <v/>
      </c>
      <c r="AT482" s="152">
        <f>IF(B482&gt;AS$6,NA(),B482)</f>
        <v/>
      </c>
      <c r="AU482" s="152">
        <f>IF(B482&gt;AS$6,NA(),AS482)</f>
        <v/>
      </c>
      <c r="AV482" s="152" t="n"/>
      <c r="AW482" s="152" t="n">
        <v>471</v>
      </c>
      <c r="AX482" s="152">
        <f>IF(BA481&lt;=0.005,0,BA481*(1+AX$6))</f>
        <v/>
      </c>
      <c r="AY482" s="152">
        <f>MIN(AX482,AX$7)</f>
        <v/>
      </c>
      <c r="AZ482" s="152">
        <f>MAX(0,MIN(AX482-AY482,CL482))</f>
        <v/>
      </c>
      <c r="BA482" s="152">
        <f>AX482-AY482-AZ482</f>
        <v/>
      </c>
      <c r="BB482" s="152">
        <f>IF(BE481&lt;=0.005,0,BE481*(1+BB$6))</f>
        <v/>
      </c>
      <c r="BC482" s="152">
        <f>MIN(BB482,BB$7)</f>
        <v/>
      </c>
      <c r="BD482" s="152">
        <f>MAX(0,MIN(BB482-BC482,CL482-(AZ482)))</f>
        <v/>
      </c>
      <c r="BE482" s="152">
        <f>BB482-BC482-BD482</f>
        <v/>
      </c>
      <c r="BF482" s="152">
        <f>IF(BI481&lt;=0.005,0,BI481*(1+BF$6))</f>
        <v/>
      </c>
      <c r="BG482" s="152">
        <f>MIN(BF482,BF$7)</f>
        <v/>
      </c>
      <c r="BH482" s="152">
        <f>MAX(0,MIN(BF482-BG482,CL482-(AZ482+BD482)))</f>
        <v/>
      </c>
      <c r="BI482" s="152">
        <f>BF482-BG482-BH482</f>
        <v/>
      </c>
      <c r="BJ482" s="152">
        <f>IF(BM481&lt;=0.005,0,BM481*(1+BJ$6))</f>
        <v/>
      </c>
      <c r="BK482" s="152">
        <f>MIN(BJ482,BJ$7)</f>
        <v/>
      </c>
      <c r="BL482" s="152">
        <f>MAX(0,MIN(BJ482-BK482,CL482-(AZ482+BD482+BH482)))</f>
        <v/>
      </c>
      <c r="BM482" s="152">
        <f>BJ482-BK482-BL482</f>
        <v/>
      </c>
      <c r="BN482" s="152">
        <f>IF(BQ481&lt;=0.005,0,BQ481*(1+BN$6))</f>
        <v/>
      </c>
      <c r="BO482" s="152">
        <f>MIN(BN482,BN$7)</f>
        <v/>
      </c>
      <c r="BP482" s="152">
        <f>MAX(0,MIN(BN482-BO482,CL482-(AZ482+BD482+BH482+BL482)))</f>
        <v/>
      </c>
      <c r="BQ482" s="152">
        <f>BN482-BO482-BP482</f>
        <v/>
      </c>
      <c r="BR482" s="152">
        <f>IF(BU481&lt;=0.005,0,BU481*(1+BR$6))</f>
        <v/>
      </c>
      <c r="BS482" s="152">
        <f>MIN(BR482,BR$7)</f>
        <v/>
      </c>
      <c r="BT482" s="152">
        <f>MAX(0,MIN(BR482-BS482,CL482-(AZ482+BD482+BH482+BL482+BP482)))</f>
        <v/>
      </c>
      <c r="BU482" s="152">
        <f>BR482-BS482-BT482</f>
        <v/>
      </c>
      <c r="BV482" s="152">
        <f>IF(BY481&lt;=0.005,0,BY481*(1+BV$6))</f>
        <v/>
      </c>
      <c r="BW482" s="152">
        <f>MIN(BV482,BV$7)</f>
        <v/>
      </c>
      <c r="BX482" s="152">
        <f>MAX(0,MIN(BV482-BW482,CL482-(AZ482+BD482+BH482+BL482+BP482+BT482)))</f>
        <v/>
      </c>
      <c r="BY482" s="152">
        <f>BV482-BW482-BX482</f>
        <v/>
      </c>
      <c r="BZ482" s="152">
        <f>IF(CC481&lt;=0.005,0,CC481*(1+BZ$6))</f>
        <v/>
      </c>
      <c r="CA482" s="152">
        <f>MIN(BZ482,BZ$7)</f>
        <v/>
      </c>
      <c r="CB482" s="152">
        <f>MAX(0,MIN(BZ482-CA482,CL482-(AZ482+BD482+BH482+BL482+BP482+BT482+BX482)))</f>
        <v/>
      </c>
      <c r="CC482" s="152">
        <f>BZ482-CA482-CB482</f>
        <v/>
      </c>
      <c r="CD482" s="152">
        <f>IF(CG481&lt;=0.005,0,CG481*(1+CD$6))</f>
        <v/>
      </c>
      <c r="CE482" s="152">
        <f>MIN(CD482,CD$7)</f>
        <v/>
      </c>
      <c r="CF482" s="152">
        <f>MAX(0,MIN(CD482-CE482,CL482-(AZ482+BD482+BH482+BL482+BP482+BT482+BX482+CB482)))</f>
        <v/>
      </c>
      <c r="CG482" s="152">
        <f>CD482-CE482-CF482</f>
        <v/>
      </c>
      <c r="CH482" s="152">
        <f>IF(CK481&lt;=0.005,0,CK481*(1+CH$6))</f>
        <v/>
      </c>
      <c r="CI482" s="152">
        <f>MIN(CH482,CH$7)</f>
        <v/>
      </c>
      <c r="CJ482" s="152">
        <f>MAX(0,MIN(CH482-CI482,CL482-(AZ482+BD482+BH482+BL482+BP482+BT482+BX482+CB482+CF482)))</f>
        <v/>
      </c>
      <c r="CK482" s="152">
        <f>CH482-CI482-CJ482</f>
        <v/>
      </c>
      <c r="CL482" s="152">
        <f>'Debt Payoff'!$C$8-SUM(AY482,BC482,BG482,BK482,BO482,BS482,BW482,CA482,CE482,CI482)</f>
        <v/>
      </c>
      <c r="CM482" s="152">
        <f>SUM(AY482,BC482,BG482,BK482,BO482,BS482,BW482,CA482,CE482,CI482)+SUM(AZ482,BD482,BH482,BL482,BP482,BT482,BX482,CB482,CF482,CJ482)</f>
        <v/>
      </c>
      <c r="CN482" s="152">
        <f>SUM(BA482,BE482,BI482,BM482,BQ482,BU482,BY482,CC482,CG482,CK482)</f>
        <v/>
      </c>
      <c r="CO482" s="152">
        <f>IF(AW482&gt;CN$6,NA(),AW482)</f>
        <v/>
      </c>
      <c r="CP482" s="152">
        <f>IF(AW482&gt;CN$6,NA(),CN482)</f>
        <v/>
      </c>
    </row>
    <row r="483">
      <c r="B483" s="152" t="n">
        <v>472</v>
      </c>
      <c r="C483" s="152">
        <f>IF(F482&lt;=0.005,0,F482*(1+C$6))</f>
        <v/>
      </c>
      <c r="D483" s="152">
        <f>MIN(C483,C$7)</f>
        <v/>
      </c>
      <c r="E483" s="152">
        <f>MAX(0,MIN(C483-D483,AQ483))</f>
        <v/>
      </c>
      <c r="F483" s="152">
        <f>C483-D483-E483</f>
        <v/>
      </c>
      <c r="G483" s="152">
        <f>IF(J482&lt;=0.005,0,J482*(1+G$6))</f>
        <v/>
      </c>
      <c r="H483" s="152">
        <f>MIN(G483,G$7)</f>
        <v/>
      </c>
      <c r="I483" s="152">
        <f>MAX(0,MIN(G483-H483,AQ483-(E483)))</f>
        <v/>
      </c>
      <c r="J483" s="152">
        <f>G483-H483-I483</f>
        <v/>
      </c>
      <c r="K483" s="152">
        <f>IF(N482&lt;=0.005,0,N482*(1+K$6))</f>
        <v/>
      </c>
      <c r="L483" s="152">
        <f>MIN(K483,K$7)</f>
        <v/>
      </c>
      <c r="M483" s="152">
        <f>MAX(0,MIN(K483-L483,AQ483-(E483+I483)))</f>
        <v/>
      </c>
      <c r="N483" s="152">
        <f>K483-L483-M483</f>
        <v/>
      </c>
      <c r="O483" s="152">
        <f>IF(R482&lt;=0.005,0,R482*(1+O$6))</f>
        <v/>
      </c>
      <c r="P483" s="152">
        <f>MIN(O483,O$7)</f>
        <v/>
      </c>
      <c r="Q483" s="152">
        <f>MAX(0,MIN(O483-P483,AQ483-(E483+I483+M483)))</f>
        <v/>
      </c>
      <c r="R483" s="152">
        <f>O483-P483-Q483</f>
        <v/>
      </c>
      <c r="S483" s="152">
        <f>IF(V482&lt;=0.005,0,V482*(1+S$6))</f>
        <v/>
      </c>
      <c r="T483" s="152">
        <f>MIN(S483,S$7)</f>
        <v/>
      </c>
      <c r="U483" s="152">
        <f>MAX(0,MIN(S483-T483,AQ483-(E483+I483+M483+Q483)))</f>
        <v/>
      </c>
      <c r="V483" s="152">
        <f>S483-T483-U483</f>
        <v/>
      </c>
      <c r="W483" s="152">
        <f>IF(Z482&lt;=0.005,0,Z482*(1+W$6))</f>
        <v/>
      </c>
      <c r="X483" s="152">
        <f>MIN(W483,W$7)</f>
        <v/>
      </c>
      <c r="Y483" s="152">
        <f>MAX(0,MIN(W483-X483,AQ483-(E483+I483+M483+Q483+U483)))</f>
        <v/>
      </c>
      <c r="Z483" s="152">
        <f>W483-X483-Y483</f>
        <v/>
      </c>
      <c r="AA483" s="152">
        <f>IF(AD482&lt;=0.005,0,AD482*(1+AA$6))</f>
        <v/>
      </c>
      <c r="AB483" s="152">
        <f>MIN(AA483,AA$7)</f>
        <v/>
      </c>
      <c r="AC483" s="152">
        <f>MAX(0,MIN(AA483-AB483,AQ483-(E483+I483+M483+Q483+U483+Y483)))</f>
        <v/>
      </c>
      <c r="AD483" s="152">
        <f>AA483-AB483-AC483</f>
        <v/>
      </c>
      <c r="AE483" s="152">
        <f>IF(AH482&lt;=0.005,0,AH482*(1+AE$6))</f>
        <v/>
      </c>
      <c r="AF483" s="152">
        <f>MIN(AE483,AE$7)</f>
        <v/>
      </c>
      <c r="AG483" s="152">
        <f>MAX(0,MIN(AE483-AF483,AQ483-(E483+I483+M483+Q483+U483+Y483+AC483)))</f>
        <v/>
      </c>
      <c r="AH483" s="152">
        <f>AE483-AF483-AG483</f>
        <v/>
      </c>
      <c r="AI483" s="152">
        <f>IF(AL482&lt;=0.005,0,AL482*(1+AI$6))</f>
        <v/>
      </c>
      <c r="AJ483" s="152">
        <f>MIN(AI483,AI$7)</f>
        <v/>
      </c>
      <c r="AK483" s="152">
        <f>MAX(0,MIN(AI483-AJ483,AQ483-(E483+I483+M483+Q483+U483+Y483+AC483+AG483)))</f>
        <v/>
      </c>
      <c r="AL483" s="152">
        <f>AI483-AJ483-AK483</f>
        <v/>
      </c>
      <c r="AM483" s="152">
        <f>IF(AP482&lt;=0.005,0,AP482*(1+AM$6))</f>
        <v/>
      </c>
      <c r="AN483" s="152">
        <f>MIN(AM483,AM$7)</f>
        <v/>
      </c>
      <c r="AO483" s="152">
        <f>MAX(0,MIN(AM483-AN483,AQ483-(E483+I483+M483+Q483+U483+Y483+AC483+AG483+AK483)))</f>
        <v/>
      </c>
      <c r="AP483" s="152">
        <f>AM483-AN483-AO483</f>
        <v/>
      </c>
      <c r="AQ483" s="152">
        <f>'Debt Payoff'!$C$8-SUM(D483,H483,L483,P483,T483,X483,AB483,AF483,AJ483,AN483)</f>
        <v/>
      </c>
      <c r="AR483" s="152">
        <f>SUM(D483,H483,L483,P483,T483,X483,AB483,AF483,AJ483,AN483)+SUM(E483,I483,M483,Q483,U483,Y483,AC483,AG483,AK483,AO483)</f>
        <v/>
      </c>
      <c r="AS483" s="152">
        <f>SUM(F483,J483,N483,R483,V483,Z483,AD483,AH483,AL483,AP483)</f>
        <v/>
      </c>
      <c r="AT483" s="152">
        <f>IF(B483&gt;AS$6,NA(),B483)</f>
        <v/>
      </c>
      <c r="AU483" s="152">
        <f>IF(B483&gt;AS$6,NA(),AS483)</f>
        <v/>
      </c>
      <c r="AV483" s="152" t="n"/>
      <c r="AW483" s="152" t="n">
        <v>472</v>
      </c>
      <c r="AX483" s="152">
        <f>IF(BA482&lt;=0.005,0,BA482*(1+AX$6))</f>
        <v/>
      </c>
      <c r="AY483" s="152">
        <f>MIN(AX483,AX$7)</f>
        <v/>
      </c>
      <c r="AZ483" s="152">
        <f>MAX(0,MIN(AX483-AY483,CL483))</f>
        <v/>
      </c>
      <c r="BA483" s="152">
        <f>AX483-AY483-AZ483</f>
        <v/>
      </c>
      <c r="BB483" s="152">
        <f>IF(BE482&lt;=0.005,0,BE482*(1+BB$6))</f>
        <v/>
      </c>
      <c r="BC483" s="152">
        <f>MIN(BB483,BB$7)</f>
        <v/>
      </c>
      <c r="BD483" s="152">
        <f>MAX(0,MIN(BB483-BC483,CL483-(AZ483)))</f>
        <v/>
      </c>
      <c r="BE483" s="152">
        <f>BB483-BC483-BD483</f>
        <v/>
      </c>
      <c r="BF483" s="152">
        <f>IF(BI482&lt;=0.005,0,BI482*(1+BF$6))</f>
        <v/>
      </c>
      <c r="BG483" s="152">
        <f>MIN(BF483,BF$7)</f>
        <v/>
      </c>
      <c r="BH483" s="152">
        <f>MAX(0,MIN(BF483-BG483,CL483-(AZ483+BD483)))</f>
        <v/>
      </c>
      <c r="BI483" s="152">
        <f>BF483-BG483-BH483</f>
        <v/>
      </c>
      <c r="BJ483" s="152">
        <f>IF(BM482&lt;=0.005,0,BM482*(1+BJ$6))</f>
        <v/>
      </c>
      <c r="BK483" s="152">
        <f>MIN(BJ483,BJ$7)</f>
        <v/>
      </c>
      <c r="BL483" s="152">
        <f>MAX(0,MIN(BJ483-BK483,CL483-(AZ483+BD483+BH483)))</f>
        <v/>
      </c>
      <c r="BM483" s="152">
        <f>BJ483-BK483-BL483</f>
        <v/>
      </c>
      <c r="BN483" s="152">
        <f>IF(BQ482&lt;=0.005,0,BQ482*(1+BN$6))</f>
        <v/>
      </c>
      <c r="BO483" s="152">
        <f>MIN(BN483,BN$7)</f>
        <v/>
      </c>
      <c r="BP483" s="152">
        <f>MAX(0,MIN(BN483-BO483,CL483-(AZ483+BD483+BH483+BL483)))</f>
        <v/>
      </c>
      <c r="BQ483" s="152">
        <f>BN483-BO483-BP483</f>
        <v/>
      </c>
      <c r="BR483" s="152">
        <f>IF(BU482&lt;=0.005,0,BU482*(1+BR$6))</f>
        <v/>
      </c>
      <c r="BS483" s="152">
        <f>MIN(BR483,BR$7)</f>
        <v/>
      </c>
      <c r="BT483" s="152">
        <f>MAX(0,MIN(BR483-BS483,CL483-(AZ483+BD483+BH483+BL483+BP483)))</f>
        <v/>
      </c>
      <c r="BU483" s="152">
        <f>BR483-BS483-BT483</f>
        <v/>
      </c>
      <c r="BV483" s="152">
        <f>IF(BY482&lt;=0.005,0,BY482*(1+BV$6))</f>
        <v/>
      </c>
      <c r="BW483" s="152">
        <f>MIN(BV483,BV$7)</f>
        <v/>
      </c>
      <c r="BX483" s="152">
        <f>MAX(0,MIN(BV483-BW483,CL483-(AZ483+BD483+BH483+BL483+BP483+BT483)))</f>
        <v/>
      </c>
      <c r="BY483" s="152">
        <f>BV483-BW483-BX483</f>
        <v/>
      </c>
      <c r="BZ483" s="152">
        <f>IF(CC482&lt;=0.005,0,CC482*(1+BZ$6))</f>
        <v/>
      </c>
      <c r="CA483" s="152">
        <f>MIN(BZ483,BZ$7)</f>
        <v/>
      </c>
      <c r="CB483" s="152">
        <f>MAX(0,MIN(BZ483-CA483,CL483-(AZ483+BD483+BH483+BL483+BP483+BT483+BX483)))</f>
        <v/>
      </c>
      <c r="CC483" s="152">
        <f>BZ483-CA483-CB483</f>
        <v/>
      </c>
      <c r="CD483" s="152">
        <f>IF(CG482&lt;=0.005,0,CG482*(1+CD$6))</f>
        <v/>
      </c>
      <c r="CE483" s="152">
        <f>MIN(CD483,CD$7)</f>
        <v/>
      </c>
      <c r="CF483" s="152">
        <f>MAX(0,MIN(CD483-CE483,CL483-(AZ483+BD483+BH483+BL483+BP483+BT483+BX483+CB483)))</f>
        <v/>
      </c>
      <c r="CG483" s="152">
        <f>CD483-CE483-CF483</f>
        <v/>
      </c>
      <c r="CH483" s="152">
        <f>IF(CK482&lt;=0.005,0,CK482*(1+CH$6))</f>
        <v/>
      </c>
      <c r="CI483" s="152">
        <f>MIN(CH483,CH$7)</f>
        <v/>
      </c>
      <c r="CJ483" s="152">
        <f>MAX(0,MIN(CH483-CI483,CL483-(AZ483+BD483+BH483+BL483+BP483+BT483+BX483+CB483+CF483)))</f>
        <v/>
      </c>
      <c r="CK483" s="152">
        <f>CH483-CI483-CJ483</f>
        <v/>
      </c>
      <c r="CL483" s="152">
        <f>'Debt Payoff'!$C$8-SUM(AY483,BC483,BG483,BK483,BO483,BS483,BW483,CA483,CE483,CI483)</f>
        <v/>
      </c>
      <c r="CM483" s="152">
        <f>SUM(AY483,BC483,BG483,BK483,BO483,BS483,BW483,CA483,CE483,CI483)+SUM(AZ483,BD483,BH483,BL483,BP483,BT483,BX483,CB483,CF483,CJ483)</f>
        <v/>
      </c>
      <c r="CN483" s="152">
        <f>SUM(BA483,BE483,BI483,BM483,BQ483,BU483,BY483,CC483,CG483,CK483)</f>
        <v/>
      </c>
      <c r="CO483" s="152">
        <f>IF(AW483&gt;CN$6,NA(),AW483)</f>
        <v/>
      </c>
      <c r="CP483" s="152">
        <f>IF(AW483&gt;CN$6,NA(),CN483)</f>
        <v/>
      </c>
    </row>
    <row r="484">
      <c r="B484" s="152" t="n">
        <v>473</v>
      </c>
      <c r="C484" s="152">
        <f>IF(F483&lt;=0.005,0,F483*(1+C$6))</f>
        <v/>
      </c>
      <c r="D484" s="152">
        <f>MIN(C484,C$7)</f>
        <v/>
      </c>
      <c r="E484" s="152">
        <f>MAX(0,MIN(C484-D484,AQ484))</f>
        <v/>
      </c>
      <c r="F484" s="152">
        <f>C484-D484-E484</f>
        <v/>
      </c>
      <c r="G484" s="152">
        <f>IF(J483&lt;=0.005,0,J483*(1+G$6))</f>
        <v/>
      </c>
      <c r="H484" s="152">
        <f>MIN(G484,G$7)</f>
        <v/>
      </c>
      <c r="I484" s="152">
        <f>MAX(0,MIN(G484-H484,AQ484-(E484)))</f>
        <v/>
      </c>
      <c r="J484" s="152">
        <f>G484-H484-I484</f>
        <v/>
      </c>
      <c r="K484" s="152">
        <f>IF(N483&lt;=0.005,0,N483*(1+K$6))</f>
        <v/>
      </c>
      <c r="L484" s="152">
        <f>MIN(K484,K$7)</f>
        <v/>
      </c>
      <c r="M484" s="152">
        <f>MAX(0,MIN(K484-L484,AQ484-(E484+I484)))</f>
        <v/>
      </c>
      <c r="N484" s="152">
        <f>K484-L484-M484</f>
        <v/>
      </c>
      <c r="O484" s="152">
        <f>IF(R483&lt;=0.005,0,R483*(1+O$6))</f>
        <v/>
      </c>
      <c r="P484" s="152">
        <f>MIN(O484,O$7)</f>
        <v/>
      </c>
      <c r="Q484" s="152">
        <f>MAX(0,MIN(O484-P484,AQ484-(E484+I484+M484)))</f>
        <v/>
      </c>
      <c r="R484" s="152">
        <f>O484-P484-Q484</f>
        <v/>
      </c>
      <c r="S484" s="152">
        <f>IF(V483&lt;=0.005,0,V483*(1+S$6))</f>
        <v/>
      </c>
      <c r="T484" s="152">
        <f>MIN(S484,S$7)</f>
        <v/>
      </c>
      <c r="U484" s="152">
        <f>MAX(0,MIN(S484-T484,AQ484-(E484+I484+M484+Q484)))</f>
        <v/>
      </c>
      <c r="V484" s="152">
        <f>S484-T484-U484</f>
        <v/>
      </c>
      <c r="W484" s="152">
        <f>IF(Z483&lt;=0.005,0,Z483*(1+W$6))</f>
        <v/>
      </c>
      <c r="X484" s="152">
        <f>MIN(W484,W$7)</f>
        <v/>
      </c>
      <c r="Y484" s="152">
        <f>MAX(0,MIN(W484-X484,AQ484-(E484+I484+M484+Q484+U484)))</f>
        <v/>
      </c>
      <c r="Z484" s="152">
        <f>W484-X484-Y484</f>
        <v/>
      </c>
      <c r="AA484" s="152">
        <f>IF(AD483&lt;=0.005,0,AD483*(1+AA$6))</f>
        <v/>
      </c>
      <c r="AB484" s="152">
        <f>MIN(AA484,AA$7)</f>
        <v/>
      </c>
      <c r="AC484" s="152">
        <f>MAX(0,MIN(AA484-AB484,AQ484-(E484+I484+M484+Q484+U484+Y484)))</f>
        <v/>
      </c>
      <c r="AD484" s="152">
        <f>AA484-AB484-AC484</f>
        <v/>
      </c>
      <c r="AE484" s="152">
        <f>IF(AH483&lt;=0.005,0,AH483*(1+AE$6))</f>
        <v/>
      </c>
      <c r="AF484" s="152">
        <f>MIN(AE484,AE$7)</f>
        <v/>
      </c>
      <c r="AG484" s="152">
        <f>MAX(0,MIN(AE484-AF484,AQ484-(E484+I484+M484+Q484+U484+Y484+AC484)))</f>
        <v/>
      </c>
      <c r="AH484" s="152">
        <f>AE484-AF484-AG484</f>
        <v/>
      </c>
      <c r="AI484" s="152">
        <f>IF(AL483&lt;=0.005,0,AL483*(1+AI$6))</f>
        <v/>
      </c>
      <c r="AJ484" s="152">
        <f>MIN(AI484,AI$7)</f>
        <v/>
      </c>
      <c r="AK484" s="152">
        <f>MAX(0,MIN(AI484-AJ484,AQ484-(E484+I484+M484+Q484+U484+Y484+AC484+AG484)))</f>
        <v/>
      </c>
      <c r="AL484" s="152">
        <f>AI484-AJ484-AK484</f>
        <v/>
      </c>
      <c r="AM484" s="152">
        <f>IF(AP483&lt;=0.005,0,AP483*(1+AM$6))</f>
        <v/>
      </c>
      <c r="AN484" s="152">
        <f>MIN(AM484,AM$7)</f>
        <v/>
      </c>
      <c r="AO484" s="152">
        <f>MAX(0,MIN(AM484-AN484,AQ484-(E484+I484+M484+Q484+U484+Y484+AC484+AG484+AK484)))</f>
        <v/>
      </c>
      <c r="AP484" s="152">
        <f>AM484-AN484-AO484</f>
        <v/>
      </c>
      <c r="AQ484" s="152">
        <f>'Debt Payoff'!$C$8-SUM(D484,H484,L484,P484,T484,X484,AB484,AF484,AJ484,AN484)</f>
        <v/>
      </c>
      <c r="AR484" s="152">
        <f>SUM(D484,H484,L484,P484,T484,X484,AB484,AF484,AJ484,AN484)+SUM(E484,I484,M484,Q484,U484,Y484,AC484,AG484,AK484,AO484)</f>
        <v/>
      </c>
      <c r="AS484" s="152">
        <f>SUM(F484,J484,N484,R484,V484,Z484,AD484,AH484,AL484,AP484)</f>
        <v/>
      </c>
      <c r="AT484" s="152">
        <f>IF(B484&gt;AS$6,NA(),B484)</f>
        <v/>
      </c>
      <c r="AU484" s="152">
        <f>IF(B484&gt;AS$6,NA(),AS484)</f>
        <v/>
      </c>
      <c r="AV484" s="152" t="n"/>
      <c r="AW484" s="152" t="n">
        <v>473</v>
      </c>
      <c r="AX484" s="152">
        <f>IF(BA483&lt;=0.005,0,BA483*(1+AX$6))</f>
        <v/>
      </c>
      <c r="AY484" s="152">
        <f>MIN(AX484,AX$7)</f>
        <v/>
      </c>
      <c r="AZ484" s="152">
        <f>MAX(0,MIN(AX484-AY484,CL484))</f>
        <v/>
      </c>
      <c r="BA484" s="152">
        <f>AX484-AY484-AZ484</f>
        <v/>
      </c>
      <c r="BB484" s="152">
        <f>IF(BE483&lt;=0.005,0,BE483*(1+BB$6))</f>
        <v/>
      </c>
      <c r="BC484" s="152">
        <f>MIN(BB484,BB$7)</f>
        <v/>
      </c>
      <c r="BD484" s="152">
        <f>MAX(0,MIN(BB484-BC484,CL484-(AZ484)))</f>
        <v/>
      </c>
      <c r="BE484" s="152">
        <f>BB484-BC484-BD484</f>
        <v/>
      </c>
      <c r="BF484" s="152">
        <f>IF(BI483&lt;=0.005,0,BI483*(1+BF$6))</f>
        <v/>
      </c>
      <c r="BG484" s="152">
        <f>MIN(BF484,BF$7)</f>
        <v/>
      </c>
      <c r="BH484" s="152">
        <f>MAX(0,MIN(BF484-BG484,CL484-(AZ484+BD484)))</f>
        <v/>
      </c>
      <c r="BI484" s="152">
        <f>BF484-BG484-BH484</f>
        <v/>
      </c>
      <c r="BJ484" s="152">
        <f>IF(BM483&lt;=0.005,0,BM483*(1+BJ$6))</f>
        <v/>
      </c>
      <c r="BK484" s="152">
        <f>MIN(BJ484,BJ$7)</f>
        <v/>
      </c>
      <c r="BL484" s="152">
        <f>MAX(0,MIN(BJ484-BK484,CL484-(AZ484+BD484+BH484)))</f>
        <v/>
      </c>
      <c r="BM484" s="152">
        <f>BJ484-BK484-BL484</f>
        <v/>
      </c>
      <c r="BN484" s="152">
        <f>IF(BQ483&lt;=0.005,0,BQ483*(1+BN$6))</f>
        <v/>
      </c>
      <c r="BO484" s="152">
        <f>MIN(BN484,BN$7)</f>
        <v/>
      </c>
      <c r="BP484" s="152">
        <f>MAX(0,MIN(BN484-BO484,CL484-(AZ484+BD484+BH484+BL484)))</f>
        <v/>
      </c>
      <c r="BQ484" s="152">
        <f>BN484-BO484-BP484</f>
        <v/>
      </c>
      <c r="BR484" s="152">
        <f>IF(BU483&lt;=0.005,0,BU483*(1+BR$6))</f>
        <v/>
      </c>
      <c r="BS484" s="152">
        <f>MIN(BR484,BR$7)</f>
        <v/>
      </c>
      <c r="BT484" s="152">
        <f>MAX(0,MIN(BR484-BS484,CL484-(AZ484+BD484+BH484+BL484+BP484)))</f>
        <v/>
      </c>
      <c r="BU484" s="152">
        <f>BR484-BS484-BT484</f>
        <v/>
      </c>
      <c r="BV484" s="152">
        <f>IF(BY483&lt;=0.005,0,BY483*(1+BV$6))</f>
        <v/>
      </c>
      <c r="BW484" s="152">
        <f>MIN(BV484,BV$7)</f>
        <v/>
      </c>
      <c r="BX484" s="152">
        <f>MAX(0,MIN(BV484-BW484,CL484-(AZ484+BD484+BH484+BL484+BP484+BT484)))</f>
        <v/>
      </c>
      <c r="BY484" s="152">
        <f>BV484-BW484-BX484</f>
        <v/>
      </c>
      <c r="BZ484" s="152">
        <f>IF(CC483&lt;=0.005,0,CC483*(1+BZ$6))</f>
        <v/>
      </c>
      <c r="CA484" s="152">
        <f>MIN(BZ484,BZ$7)</f>
        <v/>
      </c>
      <c r="CB484" s="152">
        <f>MAX(0,MIN(BZ484-CA484,CL484-(AZ484+BD484+BH484+BL484+BP484+BT484+BX484)))</f>
        <v/>
      </c>
      <c r="CC484" s="152">
        <f>BZ484-CA484-CB484</f>
        <v/>
      </c>
      <c r="CD484" s="152">
        <f>IF(CG483&lt;=0.005,0,CG483*(1+CD$6))</f>
        <v/>
      </c>
      <c r="CE484" s="152">
        <f>MIN(CD484,CD$7)</f>
        <v/>
      </c>
      <c r="CF484" s="152">
        <f>MAX(0,MIN(CD484-CE484,CL484-(AZ484+BD484+BH484+BL484+BP484+BT484+BX484+CB484)))</f>
        <v/>
      </c>
      <c r="CG484" s="152">
        <f>CD484-CE484-CF484</f>
        <v/>
      </c>
      <c r="CH484" s="152">
        <f>IF(CK483&lt;=0.005,0,CK483*(1+CH$6))</f>
        <v/>
      </c>
      <c r="CI484" s="152">
        <f>MIN(CH484,CH$7)</f>
        <v/>
      </c>
      <c r="CJ484" s="152">
        <f>MAX(0,MIN(CH484-CI484,CL484-(AZ484+BD484+BH484+BL484+BP484+BT484+BX484+CB484+CF484)))</f>
        <v/>
      </c>
      <c r="CK484" s="152">
        <f>CH484-CI484-CJ484</f>
        <v/>
      </c>
      <c r="CL484" s="152">
        <f>'Debt Payoff'!$C$8-SUM(AY484,BC484,BG484,BK484,BO484,BS484,BW484,CA484,CE484,CI484)</f>
        <v/>
      </c>
      <c r="CM484" s="152">
        <f>SUM(AY484,BC484,BG484,BK484,BO484,BS484,BW484,CA484,CE484,CI484)+SUM(AZ484,BD484,BH484,BL484,BP484,BT484,BX484,CB484,CF484,CJ484)</f>
        <v/>
      </c>
      <c r="CN484" s="152">
        <f>SUM(BA484,BE484,BI484,BM484,BQ484,BU484,BY484,CC484,CG484,CK484)</f>
        <v/>
      </c>
      <c r="CO484" s="152">
        <f>IF(AW484&gt;CN$6,NA(),AW484)</f>
        <v/>
      </c>
      <c r="CP484" s="152">
        <f>IF(AW484&gt;CN$6,NA(),CN484)</f>
        <v/>
      </c>
    </row>
    <row r="485">
      <c r="B485" s="152" t="n">
        <v>474</v>
      </c>
      <c r="C485" s="152">
        <f>IF(F484&lt;=0.005,0,F484*(1+C$6))</f>
        <v/>
      </c>
      <c r="D485" s="152">
        <f>MIN(C485,C$7)</f>
        <v/>
      </c>
      <c r="E485" s="152">
        <f>MAX(0,MIN(C485-D485,AQ485))</f>
        <v/>
      </c>
      <c r="F485" s="152">
        <f>C485-D485-E485</f>
        <v/>
      </c>
      <c r="G485" s="152">
        <f>IF(J484&lt;=0.005,0,J484*(1+G$6))</f>
        <v/>
      </c>
      <c r="H485" s="152">
        <f>MIN(G485,G$7)</f>
        <v/>
      </c>
      <c r="I485" s="152">
        <f>MAX(0,MIN(G485-H485,AQ485-(E485)))</f>
        <v/>
      </c>
      <c r="J485" s="152">
        <f>G485-H485-I485</f>
        <v/>
      </c>
      <c r="K485" s="152">
        <f>IF(N484&lt;=0.005,0,N484*(1+K$6))</f>
        <v/>
      </c>
      <c r="L485" s="152">
        <f>MIN(K485,K$7)</f>
        <v/>
      </c>
      <c r="M485" s="152">
        <f>MAX(0,MIN(K485-L485,AQ485-(E485+I485)))</f>
        <v/>
      </c>
      <c r="N485" s="152">
        <f>K485-L485-M485</f>
        <v/>
      </c>
      <c r="O485" s="152">
        <f>IF(R484&lt;=0.005,0,R484*(1+O$6))</f>
        <v/>
      </c>
      <c r="P485" s="152">
        <f>MIN(O485,O$7)</f>
        <v/>
      </c>
      <c r="Q485" s="152">
        <f>MAX(0,MIN(O485-P485,AQ485-(E485+I485+M485)))</f>
        <v/>
      </c>
      <c r="R485" s="152">
        <f>O485-P485-Q485</f>
        <v/>
      </c>
      <c r="S485" s="152">
        <f>IF(V484&lt;=0.005,0,V484*(1+S$6))</f>
        <v/>
      </c>
      <c r="T485" s="152">
        <f>MIN(S485,S$7)</f>
        <v/>
      </c>
      <c r="U485" s="152">
        <f>MAX(0,MIN(S485-T485,AQ485-(E485+I485+M485+Q485)))</f>
        <v/>
      </c>
      <c r="V485" s="152">
        <f>S485-T485-U485</f>
        <v/>
      </c>
      <c r="W485" s="152">
        <f>IF(Z484&lt;=0.005,0,Z484*(1+W$6))</f>
        <v/>
      </c>
      <c r="X485" s="152">
        <f>MIN(W485,W$7)</f>
        <v/>
      </c>
      <c r="Y485" s="152">
        <f>MAX(0,MIN(W485-X485,AQ485-(E485+I485+M485+Q485+U485)))</f>
        <v/>
      </c>
      <c r="Z485" s="152">
        <f>W485-X485-Y485</f>
        <v/>
      </c>
      <c r="AA485" s="152">
        <f>IF(AD484&lt;=0.005,0,AD484*(1+AA$6))</f>
        <v/>
      </c>
      <c r="AB485" s="152">
        <f>MIN(AA485,AA$7)</f>
        <v/>
      </c>
      <c r="AC485" s="152">
        <f>MAX(0,MIN(AA485-AB485,AQ485-(E485+I485+M485+Q485+U485+Y485)))</f>
        <v/>
      </c>
      <c r="AD485" s="152">
        <f>AA485-AB485-AC485</f>
        <v/>
      </c>
      <c r="AE485" s="152">
        <f>IF(AH484&lt;=0.005,0,AH484*(1+AE$6))</f>
        <v/>
      </c>
      <c r="AF485" s="152">
        <f>MIN(AE485,AE$7)</f>
        <v/>
      </c>
      <c r="AG485" s="152">
        <f>MAX(0,MIN(AE485-AF485,AQ485-(E485+I485+M485+Q485+U485+Y485+AC485)))</f>
        <v/>
      </c>
      <c r="AH485" s="152">
        <f>AE485-AF485-AG485</f>
        <v/>
      </c>
      <c r="AI485" s="152">
        <f>IF(AL484&lt;=0.005,0,AL484*(1+AI$6))</f>
        <v/>
      </c>
      <c r="AJ485" s="152">
        <f>MIN(AI485,AI$7)</f>
        <v/>
      </c>
      <c r="AK485" s="152">
        <f>MAX(0,MIN(AI485-AJ485,AQ485-(E485+I485+M485+Q485+U485+Y485+AC485+AG485)))</f>
        <v/>
      </c>
      <c r="AL485" s="152">
        <f>AI485-AJ485-AK485</f>
        <v/>
      </c>
      <c r="AM485" s="152">
        <f>IF(AP484&lt;=0.005,0,AP484*(1+AM$6))</f>
        <v/>
      </c>
      <c r="AN485" s="152">
        <f>MIN(AM485,AM$7)</f>
        <v/>
      </c>
      <c r="AO485" s="152">
        <f>MAX(0,MIN(AM485-AN485,AQ485-(E485+I485+M485+Q485+U485+Y485+AC485+AG485+AK485)))</f>
        <v/>
      </c>
      <c r="AP485" s="152">
        <f>AM485-AN485-AO485</f>
        <v/>
      </c>
      <c r="AQ485" s="152">
        <f>'Debt Payoff'!$C$8-SUM(D485,H485,L485,P485,T485,X485,AB485,AF485,AJ485,AN485)</f>
        <v/>
      </c>
      <c r="AR485" s="152">
        <f>SUM(D485,H485,L485,P485,T485,X485,AB485,AF485,AJ485,AN485)+SUM(E485,I485,M485,Q485,U485,Y485,AC485,AG485,AK485,AO485)</f>
        <v/>
      </c>
      <c r="AS485" s="152">
        <f>SUM(F485,J485,N485,R485,V485,Z485,AD485,AH485,AL485,AP485)</f>
        <v/>
      </c>
      <c r="AT485" s="152">
        <f>IF(B485&gt;AS$6,NA(),B485)</f>
        <v/>
      </c>
      <c r="AU485" s="152">
        <f>IF(B485&gt;AS$6,NA(),AS485)</f>
        <v/>
      </c>
      <c r="AV485" s="152" t="n"/>
      <c r="AW485" s="152" t="n">
        <v>474</v>
      </c>
      <c r="AX485" s="152">
        <f>IF(BA484&lt;=0.005,0,BA484*(1+AX$6))</f>
        <v/>
      </c>
      <c r="AY485" s="152">
        <f>MIN(AX485,AX$7)</f>
        <v/>
      </c>
      <c r="AZ485" s="152">
        <f>MAX(0,MIN(AX485-AY485,CL485))</f>
        <v/>
      </c>
      <c r="BA485" s="152">
        <f>AX485-AY485-AZ485</f>
        <v/>
      </c>
      <c r="BB485" s="152">
        <f>IF(BE484&lt;=0.005,0,BE484*(1+BB$6))</f>
        <v/>
      </c>
      <c r="BC485" s="152">
        <f>MIN(BB485,BB$7)</f>
        <v/>
      </c>
      <c r="BD485" s="152">
        <f>MAX(0,MIN(BB485-BC485,CL485-(AZ485)))</f>
        <v/>
      </c>
      <c r="BE485" s="152">
        <f>BB485-BC485-BD485</f>
        <v/>
      </c>
      <c r="BF485" s="152">
        <f>IF(BI484&lt;=0.005,0,BI484*(1+BF$6))</f>
        <v/>
      </c>
      <c r="BG485" s="152">
        <f>MIN(BF485,BF$7)</f>
        <v/>
      </c>
      <c r="BH485" s="152">
        <f>MAX(0,MIN(BF485-BG485,CL485-(AZ485+BD485)))</f>
        <v/>
      </c>
      <c r="BI485" s="152">
        <f>BF485-BG485-BH485</f>
        <v/>
      </c>
      <c r="BJ485" s="152">
        <f>IF(BM484&lt;=0.005,0,BM484*(1+BJ$6))</f>
        <v/>
      </c>
      <c r="BK485" s="152">
        <f>MIN(BJ485,BJ$7)</f>
        <v/>
      </c>
      <c r="BL485" s="152">
        <f>MAX(0,MIN(BJ485-BK485,CL485-(AZ485+BD485+BH485)))</f>
        <v/>
      </c>
      <c r="BM485" s="152">
        <f>BJ485-BK485-BL485</f>
        <v/>
      </c>
      <c r="BN485" s="152">
        <f>IF(BQ484&lt;=0.005,0,BQ484*(1+BN$6))</f>
        <v/>
      </c>
      <c r="BO485" s="152">
        <f>MIN(BN485,BN$7)</f>
        <v/>
      </c>
      <c r="BP485" s="152">
        <f>MAX(0,MIN(BN485-BO485,CL485-(AZ485+BD485+BH485+BL485)))</f>
        <v/>
      </c>
      <c r="BQ485" s="152">
        <f>BN485-BO485-BP485</f>
        <v/>
      </c>
      <c r="BR485" s="152">
        <f>IF(BU484&lt;=0.005,0,BU484*(1+BR$6))</f>
        <v/>
      </c>
      <c r="BS485" s="152">
        <f>MIN(BR485,BR$7)</f>
        <v/>
      </c>
      <c r="BT485" s="152">
        <f>MAX(0,MIN(BR485-BS485,CL485-(AZ485+BD485+BH485+BL485+BP485)))</f>
        <v/>
      </c>
      <c r="BU485" s="152">
        <f>BR485-BS485-BT485</f>
        <v/>
      </c>
      <c r="BV485" s="152">
        <f>IF(BY484&lt;=0.005,0,BY484*(1+BV$6))</f>
        <v/>
      </c>
      <c r="BW485" s="152">
        <f>MIN(BV485,BV$7)</f>
        <v/>
      </c>
      <c r="BX485" s="152">
        <f>MAX(0,MIN(BV485-BW485,CL485-(AZ485+BD485+BH485+BL485+BP485+BT485)))</f>
        <v/>
      </c>
      <c r="BY485" s="152">
        <f>BV485-BW485-BX485</f>
        <v/>
      </c>
      <c r="BZ485" s="152">
        <f>IF(CC484&lt;=0.005,0,CC484*(1+BZ$6))</f>
        <v/>
      </c>
      <c r="CA485" s="152">
        <f>MIN(BZ485,BZ$7)</f>
        <v/>
      </c>
      <c r="CB485" s="152">
        <f>MAX(0,MIN(BZ485-CA485,CL485-(AZ485+BD485+BH485+BL485+BP485+BT485+BX485)))</f>
        <v/>
      </c>
      <c r="CC485" s="152">
        <f>BZ485-CA485-CB485</f>
        <v/>
      </c>
      <c r="CD485" s="152">
        <f>IF(CG484&lt;=0.005,0,CG484*(1+CD$6))</f>
        <v/>
      </c>
      <c r="CE485" s="152">
        <f>MIN(CD485,CD$7)</f>
        <v/>
      </c>
      <c r="CF485" s="152">
        <f>MAX(0,MIN(CD485-CE485,CL485-(AZ485+BD485+BH485+BL485+BP485+BT485+BX485+CB485)))</f>
        <v/>
      </c>
      <c r="CG485" s="152">
        <f>CD485-CE485-CF485</f>
        <v/>
      </c>
      <c r="CH485" s="152">
        <f>IF(CK484&lt;=0.005,0,CK484*(1+CH$6))</f>
        <v/>
      </c>
      <c r="CI485" s="152">
        <f>MIN(CH485,CH$7)</f>
        <v/>
      </c>
      <c r="CJ485" s="152">
        <f>MAX(0,MIN(CH485-CI485,CL485-(AZ485+BD485+BH485+BL485+BP485+BT485+BX485+CB485+CF485)))</f>
        <v/>
      </c>
      <c r="CK485" s="152">
        <f>CH485-CI485-CJ485</f>
        <v/>
      </c>
      <c r="CL485" s="152">
        <f>'Debt Payoff'!$C$8-SUM(AY485,BC485,BG485,BK485,BO485,BS485,BW485,CA485,CE485,CI485)</f>
        <v/>
      </c>
      <c r="CM485" s="152">
        <f>SUM(AY485,BC485,BG485,BK485,BO485,BS485,BW485,CA485,CE485,CI485)+SUM(AZ485,BD485,BH485,BL485,BP485,BT485,BX485,CB485,CF485,CJ485)</f>
        <v/>
      </c>
      <c r="CN485" s="152">
        <f>SUM(BA485,BE485,BI485,BM485,BQ485,BU485,BY485,CC485,CG485,CK485)</f>
        <v/>
      </c>
      <c r="CO485" s="152">
        <f>IF(AW485&gt;CN$6,NA(),AW485)</f>
        <v/>
      </c>
      <c r="CP485" s="152">
        <f>IF(AW485&gt;CN$6,NA(),CN485)</f>
        <v/>
      </c>
    </row>
    <row r="486">
      <c r="B486" s="152" t="n">
        <v>475</v>
      </c>
      <c r="C486" s="152">
        <f>IF(F485&lt;=0.005,0,F485*(1+C$6))</f>
        <v/>
      </c>
      <c r="D486" s="152">
        <f>MIN(C486,C$7)</f>
        <v/>
      </c>
      <c r="E486" s="152">
        <f>MAX(0,MIN(C486-D486,AQ486))</f>
        <v/>
      </c>
      <c r="F486" s="152">
        <f>C486-D486-E486</f>
        <v/>
      </c>
      <c r="G486" s="152">
        <f>IF(J485&lt;=0.005,0,J485*(1+G$6))</f>
        <v/>
      </c>
      <c r="H486" s="152">
        <f>MIN(G486,G$7)</f>
        <v/>
      </c>
      <c r="I486" s="152">
        <f>MAX(0,MIN(G486-H486,AQ486-(E486)))</f>
        <v/>
      </c>
      <c r="J486" s="152">
        <f>G486-H486-I486</f>
        <v/>
      </c>
      <c r="K486" s="152">
        <f>IF(N485&lt;=0.005,0,N485*(1+K$6))</f>
        <v/>
      </c>
      <c r="L486" s="152">
        <f>MIN(K486,K$7)</f>
        <v/>
      </c>
      <c r="M486" s="152">
        <f>MAX(0,MIN(K486-L486,AQ486-(E486+I486)))</f>
        <v/>
      </c>
      <c r="N486" s="152">
        <f>K486-L486-M486</f>
        <v/>
      </c>
      <c r="O486" s="152">
        <f>IF(R485&lt;=0.005,0,R485*(1+O$6))</f>
        <v/>
      </c>
      <c r="P486" s="152">
        <f>MIN(O486,O$7)</f>
        <v/>
      </c>
      <c r="Q486" s="152">
        <f>MAX(0,MIN(O486-P486,AQ486-(E486+I486+M486)))</f>
        <v/>
      </c>
      <c r="R486" s="152">
        <f>O486-P486-Q486</f>
        <v/>
      </c>
      <c r="S486" s="152">
        <f>IF(V485&lt;=0.005,0,V485*(1+S$6))</f>
        <v/>
      </c>
      <c r="T486" s="152">
        <f>MIN(S486,S$7)</f>
        <v/>
      </c>
      <c r="U486" s="152">
        <f>MAX(0,MIN(S486-T486,AQ486-(E486+I486+M486+Q486)))</f>
        <v/>
      </c>
      <c r="V486" s="152">
        <f>S486-T486-U486</f>
        <v/>
      </c>
      <c r="W486" s="152">
        <f>IF(Z485&lt;=0.005,0,Z485*(1+W$6))</f>
        <v/>
      </c>
      <c r="X486" s="152">
        <f>MIN(W486,W$7)</f>
        <v/>
      </c>
      <c r="Y486" s="152">
        <f>MAX(0,MIN(W486-X486,AQ486-(E486+I486+M486+Q486+U486)))</f>
        <v/>
      </c>
      <c r="Z486" s="152">
        <f>W486-X486-Y486</f>
        <v/>
      </c>
      <c r="AA486" s="152">
        <f>IF(AD485&lt;=0.005,0,AD485*(1+AA$6))</f>
        <v/>
      </c>
      <c r="AB486" s="152">
        <f>MIN(AA486,AA$7)</f>
        <v/>
      </c>
      <c r="AC486" s="152">
        <f>MAX(0,MIN(AA486-AB486,AQ486-(E486+I486+M486+Q486+U486+Y486)))</f>
        <v/>
      </c>
      <c r="AD486" s="152">
        <f>AA486-AB486-AC486</f>
        <v/>
      </c>
      <c r="AE486" s="152">
        <f>IF(AH485&lt;=0.005,0,AH485*(1+AE$6))</f>
        <v/>
      </c>
      <c r="AF486" s="152">
        <f>MIN(AE486,AE$7)</f>
        <v/>
      </c>
      <c r="AG486" s="152">
        <f>MAX(0,MIN(AE486-AF486,AQ486-(E486+I486+M486+Q486+U486+Y486+AC486)))</f>
        <v/>
      </c>
      <c r="AH486" s="152">
        <f>AE486-AF486-AG486</f>
        <v/>
      </c>
      <c r="AI486" s="152">
        <f>IF(AL485&lt;=0.005,0,AL485*(1+AI$6))</f>
        <v/>
      </c>
      <c r="AJ486" s="152">
        <f>MIN(AI486,AI$7)</f>
        <v/>
      </c>
      <c r="AK486" s="152">
        <f>MAX(0,MIN(AI486-AJ486,AQ486-(E486+I486+M486+Q486+U486+Y486+AC486+AG486)))</f>
        <v/>
      </c>
      <c r="AL486" s="152">
        <f>AI486-AJ486-AK486</f>
        <v/>
      </c>
      <c r="AM486" s="152">
        <f>IF(AP485&lt;=0.005,0,AP485*(1+AM$6))</f>
        <v/>
      </c>
      <c r="AN486" s="152">
        <f>MIN(AM486,AM$7)</f>
        <v/>
      </c>
      <c r="AO486" s="152">
        <f>MAX(0,MIN(AM486-AN486,AQ486-(E486+I486+M486+Q486+U486+Y486+AC486+AG486+AK486)))</f>
        <v/>
      </c>
      <c r="AP486" s="152">
        <f>AM486-AN486-AO486</f>
        <v/>
      </c>
      <c r="AQ486" s="152">
        <f>'Debt Payoff'!$C$8-SUM(D486,H486,L486,P486,T486,X486,AB486,AF486,AJ486,AN486)</f>
        <v/>
      </c>
      <c r="AR486" s="152">
        <f>SUM(D486,H486,L486,P486,T486,X486,AB486,AF486,AJ486,AN486)+SUM(E486,I486,M486,Q486,U486,Y486,AC486,AG486,AK486,AO486)</f>
        <v/>
      </c>
      <c r="AS486" s="152">
        <f>SUM(F486,J486,N486,R486,V486,Z486,AD486,AH486,AL486,AP486)</f>
        <v/>
      </c>
      <c r="AT486" s="152">
        <f>IF(B486&gt;AS$6,NA(),B486)</f>
        <v/>
      </c>
      <c r="AU486" s="152">
        <f>IF(B486&gt;AS$6,NA(),AS486)</f>
        <v/>
      </c>
      <c r="AV486" s="152" t="n"/>
      <c r="AW486" s="152" t="n">
        <v>475</v>
      </c>
      <c r="AX486" s="152">
        <f>IF(BA485&lt;=0.005,0,BA485*(1+AX$6))</f>
        <v/>
      </c>
      <c r="AY486" s="152">
        <f>MIN(AX486,AX$7)</f>
        <v/>
      </c>
      <c r="AZ486" s="152">
        <f>MAX(0,MIN(AX486-AY486,CL486))</f>
        <v/>
      </c>
      <c r="BA486" s="152">
        <f>AX486-AY486-AZ486</f>
        <v/>
      </c>
      <c r="BB486" s="152">
        <f>IF(BE485&lt;=0.005,0,BE485*(1+BB$6))</f>
        <v/>
      </c>
      <c r="BC486" s="152">
        <f>MIN(BB486,BB$7)</f>
        <v/>
      </c>
      <c r="BD486" s="152">
        <f>MAX(0,MIN(BB486-BC486,CL486-(AZ486)))</f>
        <v/>
      </c>
      <c r="BE486" s="152">
        <f>BB486-BC486-BD486</f>
        <v/>
      </c>
      <c r="BF486" s="152">
        <f>IF(BI485&lt;=0.005,0,BI485*(1+BF$6))</f>
        <v/>
      </c>
      <c r="BG486" s="152">
        <f>MIN(BF486,BF$7)</f>
        <v/>
      </c>
      <c r="BH486" s="152">
        <f>MAX(0,MIN(BF486-BG486,CL486-(AZ486+BD486)))</f>
        <v/>
      </c>
      <c r="BI486" s="152">
        <f>BF486-BG486-BH486</f>
        <v/>
      </c>
      <c r="BJ486" s="152">
        <f>IF(BM485&lt;=0.005,0,BM485*(1+BJ$6))</f>
        <v/>
      </c>
      <c r="BK486" s="152">
        <f>MIN(BJ486,BJ$7)</f>
        <v/>
      </c>
      <c r="BL486" s="152">
        <f>MAX(0,MIN(BJ486-BK486,CL486-(AZ486+BD486+BH486)))</f>
        <v/>
      </c>
      <c r="BM486" s="152">
        <f>BJ486-BK486-BL486</f>
        <v/>
      </c>
      <c r="BN486" s="152">
        <f>IF(BQ485&lt;=0.005,0,BQ485*(1+BN$6))</f>
        <v/>
      </c>
      <c r="BO486" s="152">
        <f>MIN(BN486,BN$7)</f>
        <v/>
      </c>
      <c r="BP486" s="152">
        <f>MAX(0,MIN(BN486-BO486,CL486-(AZ486+BD486+BH486+BL486)))</f>
        <v/>
      </c>
      <c r="BQ486" s="152">
        <f>BN486-BO486-BP486</f>
        <v/>
      </c>
      <c r="BR486" s="152">
        <f>IF(BU485&lt;=0.005,0,BU485*(1+BR$6))</f>
        <v/>
      </c>
      <c r="BS486" s="152">
        <f>MIN(BR486,BR$7)</f>
        <v/>
      </c>
      <c r="BT486" s="152">
        <f>MAX(0,MIN(BR486-BS486,CL486-(AZ486+BD486+BH486+BL486+BP486)))</f>
        <v/>
      </c>
      <c r="BU486" s="152">
        <f>BR486-BS486-BT486</f>
        <v/>
      </c>
      <c r="BV486" s="152">
        <f>IF(BY485&lt;=0.005,0,BY485*(1+BV$6))</f>
        <v/>
      </c>
      <c r="BW486" s="152">
        <f>MIN(BV486,BV$7)</f>
        <v/>
      </c>
      <c r="BX486" s="152">
        <f>MAX(0,MIN(BV486-BW486,CL486-(AZ486+BD486+BH486+BL486+BP486+BT486)))</f>
        <v/>
      </c>
      <c r="BY486" s="152">
        <f>BV486-BW486-BX486</f>
        <v/>
      </c>
      <c r="BZ486" s="152">
        <f>IF(CC485&lt;=0.005,0,CC485*(1+BZ$6))</f>
        <v/>
      </c>
      <c r="CA486" s="152">
        <f>MIN(BZ486,BZ$7)</f>
        <v/>
      </c>
      <c r="CB486" s="152">
        <f>MAX(0,MIN(BZ486-CA486,CL486-(AZ486+BD486+BH486+BL486+BP486+BT486+BX486)))</f>
        <v/>
      </c>
      <c r="CC486" s="152">
        <f>BZ486-CA486-CB486</f>
        <v/>
      </c>
      <c r="CD486" s="152">
        <f>IF(CG485&lt;=0.005,0,CG485*(1+CD$6))</f>
        <v/>
      </c>
      <c r="CE486" s="152">
        <f>MIN(CD486,CD$7)</f>
        <v/>
      </c>
      <c r="CF486" s="152">
        <f>MAX(0,MIN(CD486-CE486,CL486-(AZ486+BD486+BH486+BL486+BP486+BT486+BX486+CB486)))</f>
        <v/>
      </c>
      <c r="CG486" s="152">
        <f>CD486-CE486-CF486</f>
        <v/>
      </c>
      <c r="CH486" s="152">
        <f>IF(CK485&lt;=0.005,0,CK485*(1+CH$6))</f>
        <v/>
      </c>
      <c r="CI486" s="152">
        <f>MIN(CH486,CH$7)</f>
        <v/>
      </c>
      <c r="CJ486" s="152">
        <f>MAX(0,MIN(CH486-CI486,CL486-(AZ486+BD486+BH486+BL486+BP486+BT486+BX486+CB486+CF486)))</f>
        <v/>
      </c>
      <c r="CK486" s="152">
        <f>CH486-CI486-CJ486</f>
        <v/>
      </c>
      <c r="CL486" s="152">
        <f>'Debt Payoff'!$C$8-SUM(AY486,BC486,BG486,BK486,BO486,BS486,BW486,CA486,CE486,CI486)</f>
        <v/>
      </c>
      <c r="CM486" s="152">
        <f>SUM(AY486,BC486,BG486,BK486,BO486,BS486,BW486,CA486,CE486,CI486)+SUM(AZ486,BD486,BH486,BL486,BP486,BT486,BX486,CB486,CF486,CJ486)</f>
        <v/>
      </c>
      <c r="CN486" s="152">
        <f>SUM(BA486,BE486,BI486,BM486,BQ486,BU486,BY486,CC486,CG486,CK486)</f>
        <v/>
      </c>
      <c r="CO486" s="152">
        <f>IF(AW486&gt;CN$6,NA(),AW486)</f>
        <v/>
      </c>
      <c r="CP486" s="152">
        <f>IF(AW486&gt;CN$6,NA(),CN486)</f>
        <v/>
      </c>
    </row>
    <row r="487">
      <c r="B487" s="152" t="n">
        <v>476</v>
      </c>
      <c r="C487" s="152">
        <f>IF(F486&lt;=0.005,0,F486*(1+C$6))</f>
        <v/>
      </c>
      <c r="D487" s="152">
        <f>MIN(C487,C$7)</f>
        <v/>
      </c>
      <c r="E487" s="152">
        <f>MAX(0,MIN(C487-D487,AQ487))</f>
        <v/>
      </c>
      <c r="F487" s="152">
        <f>C487-D487-E487</f>
        <v/>
      </c>
      <c r="G487" s="152">
        <f>IF(J486&lt;=0.005,0,J486*(1+G$6))</f>
        <v/>
      </c>
      <c r="H487" s="152">
        <f>MIN(G487,G$7)</f>
        <v/>
      </c>
      <c r="I487" s="152">
        <f>MAX(0,MIN(G487-H487,AQ487-(E487)))</f>
        <v/>
      </c>
      <c r="J487" s="152">
        <f>G487-H487-I487</f>
        <v/>
      </c>
      <c r="K487" s="152">
        <f>IF(N486&lt;=0.005,0,N486*(1+K$6))</f>
        <v/>
      </c>
      <c r="L487" s="152">
        <f>MIN(K487,K$7)</f>
        <v/>
      </c>
      <c r="M487" s="152">
        <f>MAX(0,MIN(K487-L487,AQ487-(E487+I487)))</f>
        <v/>
      </c>
      <c r="N487" s="152">
        <f>K487-L487-M487</f>
        <v/>
      </c>
      <c r="O487" s="152">
        <f>IF(R486&lt;=0.005,0,R486*(1+O$6))</f>
        <v/>
      </c>
      <c r="P487" s="152">
        <f>MIN(O487,O$7)</f>
        <v/>
      </c>
      <c r="Q487" s="152">
        <f>MAX(0,MIN(O487-P487,AQ487-(E487+I487+M487)))</f>
        <v/>
      </c>
      <c r="R487" s="152">
        <f>O487-P487-Q487</f>
        <v/>
      </c>
      <c r="S487" s="152">
        <f>IF(V486&lt;=0.005,0,V486*(1+S$6))</f>
        <v/>
      </c>
      <c r="T487" s="152">
        <f>MIN(S487,S$7)</f>
        <v/>
      </c>
      <c r="U487" s="152">
        <f>MAX(0,MIN(S487-T487,AQ487-(E487+I487+M487+Q487)))</f>
        <v/>
      </c>
      <c r="V487" s="152">
        <f>S487-T487-U487</f>
        <v/>
      </c>
      <c r="W487" s="152">
        <f>IF(Z486&lt;=0.005,0,Z486*(1+W$6))</f>
        <v/>
      </c>
      <c r="X487" s="152">
        <f>MIN(W487,W$7)</f>
        <v/>
      </c>
      <c r="Y487" s="152">
        <f>MAX(0,MIN(W487-X487,AQ487-(E487+I487+M487+Q487+U487)))</f>
        <v/>
      </c>
      <c r="Z487" s="152">
        <f>W487-X487-Y487</f>
        <v/>
      </c>
      <c r="AA487" s="152">
        <f>IF(AD486&lt;=0.005,0,AD486*(1+AA$6))</f>
        <v/>
      </c>
      <c r="AB487" s="152">
        <f>MIN(AA487,AA$7)</f>
        <v/>
      </c>
      <c r="AC487" s="152">
        <f>MAX(0,MIN(AA487-AB487,AQ487-(E487+I487+M487+Q487+U487+Y487)))</f>
        <v/>
      </c>
      <c r="AD487" s="152">
        <f>AA487-AB487-AC487</f>
        <v/>
      </c>
      <c r="AE487" s="152">
        <f>IF(AH486&lt;=0.005,0,AH486*(1+AE$6))</f>
        <v/>
      </c>
      <c r="AF487" s="152">
        <f>MIN(AE487,AE$7)</f>
        <v/>
      </c>
      <c r="AG487" s="152">
        <f>MAX(0,MIN(AE487-AF487,AQ487-(E487+I487+M487+Q487+U487+Y487+AC487)))</f>
        <v/>
      </c>
      <c r="AH487" s="152">
        <f>AE487-AF487-AG487</f>
        <v/>
      </c>
      <c r="AI487" s="152">
        <f>IF(AL486&lt;=0.005,0,AL486*(1+AI$6))</f>
        <v/>
      </c>
      <c r="AJ487" s="152">
        <f>MIN(AI487,AI$7)</f>
        <v/>
      </c>
      <c r="AK487" s="152">
        <f>MAX(0,MIN(AI487-AJ487,AQ487-(E487+I487+M487+Q487+U487+Y487+AC487+AG487)))</f>
        <v/>
      </c>
      <c r="AL487" s="152">
        <f>AI487-AJ487-AK487</f>
        <v/>
      </c>
      <c r="AM487" s="152">
        <f>IF(AP486&lt;=0.005,0,AP486*(1+AM$6))</f>
        <v/>
      </c>
      <c r="AN487" s="152">
        <f>MIN(AM487,AM$7)</f>
        <v/>
      </c>
      <c r="AO487" s="152">
        <f>MAX(0,MIN(AM487-AN487,AQ487-(E487+I487+M487+Q487+U487+Y487+AC487+AG487+AK487)))</f>
        <v/>
      </c>
      <c r="AP487" s="152">
        <f>AM487-AN487-AO487</f>
        <v/>
      </c>
      <c r="AQ487" s="152">
        <f>'Debt Payoff'!$C$8-SUM(D487,H487,L487,P487,T487,X487,AB487,AF487,AJ487,AN487)</f>
        <v/>
      </c>
      <c r="AR487" s="152">
        <f>SUM(D487,H487,L487,P487,T487,X487,AB487,AF487,AJ487,AN487)+SUM(E487,I487,M487,Q487,U487,Y487,AC487,AG487,AK487,AO487)</f>
        <v/>
      </c>
      <c r="AS487" s="152">
        <f>SUM(F487,J487,N487,R487,V487,Z487,AD487,AH487,AL487,AP487)</f>
        <v/>
      </c>
      <c r="AT487" s="152">
        <f>IF(B487&gt;AS$6,NA(),B487)</f>
        <v/>
      </c>
      <c r="AU487" s="152">
        <f>IF(B487&gt;AS$6,NA(),AS487)</f>
        <v/>
      </c>
      <c r="AV487" s="152" t="n"/>
      <c r="AW487" s="152" t="n">
        <v>476</v>
      </c>
      <c r="AX487" s="152">
        <f>IF(BA486&lt;=0.005,0,BA486*(1+AX$6))</f>
        <v/>
      </c>
      <c r="AY487" s="152">
        <f>MIN(AX487,AX$7)</f>
        <v/>
      </c>
      <c r="AZ487" s="152">
        <f>MAX(0,MIN(AX487-AY487,CL487))</f>
        <v/>
      </c>
      <c r="BA487" s="152">
        <f>AX487-AY487-AZ487</f>
        <v/>
      </c>
      <c r="BB487" s="152">
        <f>IF(BE486&lt;=0.005,0,BE486*(1+BB$6))</f>
        <v/>
      </c>
      <c r="BC487" s="152">
        <f>MIN(BB487,BB$7)</f>
        <v/>
      </c>
      <c r="BD487" s="152">
        <f>MAX(0,MIN(BB487-BC487,CL487-(AZ487)))</f>
        <v/>
      </c>
      <c r="BE487" s="152">
        <f>BB487-BC487-BD487</f>
        <v/>
      </c>
      <c r="BF487" s="152">
        <f>IF(BI486&lt;=0.005,0,BI486*(1+BF$6))</f>
        <v/>
      </c>
      <c r="BG487" s="152">
        <f>MIN(BF487,BF$7)</f>
        <v/>
      </c>
      <c r="BH487" s="152">
        <f>MAX(0,MIN(BF487-BG487,CL487-(AZ487+BD487)))</f>
        <v/>
      </c>
      <c r="BI487" s="152">
        <f>BF487-BG487-BH487</f>
        <v/>
      </c>
      <c r="BJ487" s="152">
        <f>IF(BM486&lt;=0.005,0,BM486*(1+BJ$6))</f>
        <v/>
      </c>
      <c r="BK487" s="152">
        <f>MIN(BJ487,BJ$7)</f>
        <v/>
      </c>
      <c r="BL487" s="152">
        <f>MAX(0,MIN(BJ487-BK487,CL487-(AZ487+BD487+BH487)))</f>
        <v/>
      </c>
      <c r="BM487" s="152">
        <f>BJ487-BK487-BL487</f>
        <v/>
      </c>
      <c r="BN487" s="152">
        <f>IF(BQ486&lt;=0.005,0,BQ486*(1+BN$6))</f>
        <v/>
      </c>
      <c r="BO487" s="152">
        <f>MIN(BN487,BN$7)</f>
        <v/>
      </c>
      <c r="BP487" s="152">
        <f>MAX(0,MIN(BN487-BO487,CL487-(AZ487+BD487+BH487+BL487)))</f>
        <v/>
      </c>
      <c r="BQ487" s="152">
        <f>BN487-BO487-BP487</f>
        <v/>
      </c>
      <c r="BR487" s="152">
        <f>IF(BU486&lt;=0.005,0,BU486*(1+BR$6))</f>
        <v/>
      </c>
      <c r="BS487" s="152">
        <f>MIN(BR487,BR$7)</f>
        <v/>
      </c>
      <c r="BT487" s="152">
        <f>MAX(0,MIN(BR487-BS487,CL487-(AZ487+BD487+BH487+BL487+BP487)))</f>
        <v/>
      </c>
      <c r="BU487" s="152">
        <f>BR487-BS487-BT487</f>
        <v/>
      </c>
      <c r="BV487" s="152">
        <f>IF(BY486&lt;=0.005,0,BY486*(1+BV$6))</f>
        <v/>
      </c>
      <c r="BW487" s="152">
        <f>MIN(BV487,BV$7)</f>
        <v/>
      </c>
      <c r="BX487" s="152">
        <f>MAX(0,MIN(BV487-BW487,CL487-(AZ487+BD487+BH487+BL487+BP487+BT487)))</f>
        <v/>
      </c>
      <c r="BY487" s="152">
        <f>BV487-BW487-BX487</f>
        <v/>
      </c>
      <c r="BZ487" s="152">
        <f>IF(CC486&lt;=0.005,0,CC486*(1+BZ$6))</f>
        <v/>
      </c>
      <c r="CA487" s="152">
        <f>MIN(BZ487,BZ$7)</f>
        <v/>
      </c>
      <c r="CB487" s="152">
        <f>MAX(0,MIN(BZ487-CA487,CL487-(AZ487+BD487+BH487+BL487+BP487+BT487+BX487)))</f>
        <v/>
      </c>
      <c r="CC487" s="152">
        <f>BZ487-CA487-CB487</f>
        <v/>
      </c>
      <c r="CD487" s="152">
        <f>IF(CG486&lt;=0.005,0,CG486*(1+CD$6))</f>
        <v/>
      </c>
      <c r="CE487" s="152">
        <f>MIN(CD487,CD$7)</f>
        <v/>
      </c>
      <c r="CF487" s="152">
        <f>MAX(0,MIN(CD487-CE487,CL487-(AZ487+BD487+BH487+BL487+BP487+BT487+BX487+CB487)))</f>
        <v/>
      </c>
      <c r="CG487" s="152">
        <f>CD487-CE487-CF487</f>
        <v/>
      </c>
      <c r="CH487" s="152">
        <f>IF(CK486&lt;=0.005,0,CK486*(1+CH$6))</f>
        <v/>
      </c>
      <c r="CI487" s="152">
        <f>MIN(CH487,CH$7)</f>
        <v/>
      </c>
      <c r="CJ487" s="152">
        <f>MAX(0,MIN(CH487-CI487,CL487-(AZ487+BD487+BH487+BL487+BP487+BT487+BX487+CB487+CF487)))</f>
        <v/>
      </c>
      <c r="CK487" s="152">
        <f>CH487-CI487-CJ487</f>
        <v/>
      </c>
      <c r="CL487" s="152">
        <f>'Debt Payoff'!$C$8-SUM(AY487,BC487,BG487,BK487,BO487,BS487,BW487,CA487,CE487,CI487)</f>
        <v/>
      </c>
      <c r="CM487" s="152">
        <f>SUM(AY487,BC487,BG487,BK487,BO487,BS487,BW487,CA487,CE487,CI487)+SUM(AZ487,BD487,BH487,BL487,BP487,BT487,BX487,CB487,CF487,CJ487)</f>
        <v/>
      </c>
      <c r="CN487" s="152">
        <f>SUM(BA487,BE487,BI487,BM487,BQ487,BU487,BY487,CC487,CG487,CK487)</f>
        <v/>
      </c>
      <c r="CO487" s="152">
        <f>IF(AW487&gt;CN$6,NA(),AW487)</f>
        <v/>
      </c>
      <c r="CP487" s="152">
        <f>IF(AW487&gt;CN$6,NA(),CN487)</f>
        <v/>
      </c>
    </row>
    <row r="488">
      <c r="B488" s="152" t="n">
        <v>477</v>
      </c>
      <c r="C488" s="152">
        <f>IF(F487&lt;=0.005,0,F487*(1+C$6))</f>
        <v/>
      </c>
      <c r="D488" s="152">
        <f>MIN(C488,C$7)</f>
        <v/>
      </c>
      <c r="E488" s="152">
        <f>MAX(0,MIN(C488-D488,AQ488))</f>
        <v/>
      </c>
      <c r="F488" s="152">
        <f>C488-D488-E488</f>
        <v/>
      </c>
      <c r="G488" s="152">
        <f>IF(J487&lt;=0.005,0,J487*(1+G$6))</f>
        <v/>
      </c>
      <c r="H488" s="152">
        <f>MIN(G488,G$7)</f>
        <v/>
      </c>
      <c r="I488" s="152">
        <f>MAX(0,MIN(G488-H488,AQ488-(E488)))</f>
        <v/>
      </c>
      <c r="J488" s="152">
        <f>G488-H488-I488</f>
        <v/>
      </c>
      <c r="K488" s="152">
        <f>IF(N487&lt;=0.005,0,N487*(1+K$6))</f>
        <v/>
      </c>
      <c r="L488" s="152">
        <f>MIN(K488,K$7)</f>
        <v/>
      </c>
      <c r="M488" s="152">
        <f>MAX(0,MIN(K488-L488,AQ488-(E488+I488)))</f>
        <v/>
      </c>
      <c r="N488" s="152">
        <f>K488-L488-M488</f>
        <v/>
      </c>
      <c r="O488" s="152">
        <f>IF(R487&lt;=0.005,0,R487*(1+O$6))</f>
        <v/>
      </c>
      <c r="P488" s="152">
        <f>MIN(O488,O$7)</f>
        <v/>
      </c>
      <c r="Q488" s="152">
        <f>MAX(0,MIN(O488-P488,AQ488-(E488+I488+M488)))</f>
        <v/>
      </c>
      <c r="R488" s="152">
        <f>O488-P488-Q488</f>
        <v/>
      </c>
      <c r="S488" s="152">
        <f>IF(V487&lt;=0.005,0,V487*(1+S$6))</f>
        <v/>
      </c>
      <c r="T488" s="152">
        <f>MIN(S488,S$7)</f>
        <v/>
      </c>
      <c r="U488" s="152">
        <f>MAX(0,MIN(S488-T488,AQ488-(E488+I488+M488+Q488)))</f>
        <v/>
      </c>
      <c r="V488" s="152">
        <f>S488-T488-U488</f>
        <v/>
      </c>
      <c r="W488" s="152">
        <f>IF(Z487&lt;=0.005,0,Z487*(1+W$6))</f>
        <v/>
      </c>
      <c r="X488" s="152">
        <f>MIN(W488,W$7)</f>
        <v/>
      </c>
      <c r="Y488" s="152">
        <f>MAX(0,MIN(W488-X488,AQ488-(E488+I488+M488+Q488+U488)))</f>
        <v/>
      </c>
      <c r="Z488" s="152">
        <f>W488-X488-Y488</f>
        <v/>
      </c>
      <c r="AA488" s="152">
        <f>IF(AD487&lt;=0.005,0,AD487*(1+AA$6))</f>
        <v/>
      </c>
      <c r="AB488" s="152">
        <f>MIN(AA488,AA$7)</f>
        <v/>
      </c>
      <c r="AC488" s="152">
        <f>MAX(0,MIN(AA488-AB488,AQ488-(E488+I488+M488+Q488+U488+Y488)))</f>
        <v/>
      </c>
      <c r="AD488" s="152">
        <f>AA488-AB488-AC488</f>
        <v/>
      </c>
      <c r="AE488" s="152">
        <f>IF(AH487&lt;=0.005,0,AH487*(1+AE$6))</f>
        <v/>
      </c>
      <c r="AF488" s="152">
        <f>MIN(AE488,AE$7)</f>
        <v/>
      </c>
      <c r="AG488" s="152">
        <f>MAX(0,MIN(AE488-AF488,AQ488-(E488+I488+M488+Q488+U488+Y488+AC488)))</f>
        <v/>
      </c>
      <c r="AH488" s="152">
        <f>AE488-AF488-AG488</f>
        <v/>
      </c>
      <c r="AI488" s="152">
        <f>IF(AL487&lt;=0.005,0,AL487*(1+AI$6))</f>
        <v/>
      </c>
      <c r="AJ488" s="152">
        <f>MIN(AI488,AI$7)</f>
        <v/>
      </c>
      <c r="AK488" s="152">
        <f>MAX(0,MIN(AI488-AJ488,AQ488-(E488+I488+M488+Q488+U488+Y488+AC488+AG488)))</f>
        <v/>
      </c>
      <c r="AL488" s="152">
        <f>AI488-AJ488-AK488</f>
        <v/>
      </c>
      <c r="AM488" s="152">
        <f>IF(AP487&lt;=0.005,0,AP487*(1+AM$6))</f>
        <v/>
      </c>
      <c r="AN488" s="152">
        <f>MIN(AM488,AM$7)</f>
        <v/>
      </c>
      <c r="AO488" s="152">
        <f>MAX(0,MIN(AM488-AN488,AQ488-(E488+I488+M488+Q488+U488+Y488+AC488+AG488+AK488)))</f>
        <v/>
      </c>
      <c r="AP488" s="152">
        <f>AM488-AN488-AO488</f>
        <v/>
      </c>
      <c r="AQ488" s="152">
        <f>'Debt Payoff'!$C$8-SUM(D488,H488,L488,P488,T488,X488,AB488,AF488,AJ488,AN488)</f>
        <v/>
      </c>
      <c r="AR488" s="152">
        <f>SUM(D488,H488,L488,P488,T488,X488,AB488,AF488,AJ488,AN488)+SUM(E488,I488,M488,Q488,U488,Y488,AC488,AG488,AK488,AO488)</f>
        <v/>
      </c>
      <c r="AS488" s="152">
        <f>SUM(F488,J488,N488,R488,V488,Z488,AD488,AH488,AL488,AP488)</f>
        <v/>
      </c>
      <c r="AT488" s="152">
        <f>IF(B488&gt;AS$6,NA(),B488)</f>
        <v/>
      </c>
      <c r="AU488" s="152">
        <f>IF(B488&gt;AS$6,NA(),AS488)</f>
        <v/>
      </c>
      <c r="AV488" s="152" t="n"/>
      <c r="AW488" s="152" t="n">
        <v>477</v>
      </c>
      <c r="AX488" s="152">
        <f>IF(BA487&lt;=0.005,0,BA487*(1+AX$6))</f>
        <v/>
      </c>
      <c r="AY488" s="152">
        <f>MIN(AX488,AX$7)</f>
        <v/>
      </c>
      <c r="AZ488" s="152">
        <f>MAX(0,MIN(AX488-AY488,CL488))</f>
        <v/>
      </c>
      <c r="BA488" s="152">
        <f>AX488-AY488-AZ488</f>
        <v/>
      </c>
      <c r="BB488" s="152">
        <f>IF(BE487&lt;=0.005,0,BE487*(1+BB$6))</f>
        <v/>
      </c>
      <c r="BC488" s="152">
        <f>MIN(BB488,BB$7)</f>
        <v/>
      </c>
      <c r="BD488" s="152">
        <f>MAX(0,MIN(BB488-BC488,CL488-(AZ488)))</f>
        <v/>
      </c>
      <c r="BE488" s="152">
        <f>BB488-BC488-BD488</f>
        <v/>
      </c>
      <c r="BF488" s="152">
        <f>IF(BI487&lt;=0.005,0,BI487*(1+BF$6))</f>
        <v/>
      </c>
      <c r="BG488" s="152">
        <f>MIN(BF488,BF$7)</f>
        <v/>
      </c>
      <c r="BH488" s="152">
        <f>MAX(0,MIN(BF488-BG488,CL488-(AZ488+BD488)))</f>
        <v/>
      </c>
      <c r="BI488" s="152">
        <f>BF488-BG488-BH488</f>
        <v/>
      </c>
      <c r="BJ488" s="152">
        <f>IF(BM487&lt;=0.005,0,BM487*(1+BJ$6))</f>
        <v/>
      </c>
      <c r="BK488" s="152">
        <f>MIN(BJ488,BJ$7)</f>
        <v/>
      </c>
      <c r="BL488" s="152">
        <f>MAX(0,MIN(BJ488-BK488,CL488-(AZ488+BD488+BH488)))</f>
        <v/>
      </c>
      <c r="BM488" s="152">
        <f>BJ488-BK488-BL488</f>
        <v/>
      </c>
      <c r="BN488" s="152">
        <f>IF(BQ487&lt;=0.005,0,BQ487*(1+BN$6))</f>
        <v/>
      </c>
      <c r="BO488" s="152">
        <f>MIN(BN488,BN$7)</f>
        <v/>
      </c>
      <c r="BP488" s="152">
        <f>MAX(0,MIN(BN488-BO488,CL488-(AZ488+BD488+BH488+BL488)))</f>
        <v/>
      </c>
      <c r="BQ488" s="152">
        <f>BN488-BO488-BP488</f>
        <v/>
      </c>
      <c r="BR488" s="152">
        <f>IF(BU487&lt;=0.005,0,BU487*(1+BR$6))</f>
        <v/>
      </c>
      <c r="BS488" s="152">
        <f>MIN(BR488,BR$7)</f>
        <v/>
      </c>
      <c r="BT488" s="152">
        <f>MAX(0,MIN(BR488-BS488,CL488-(AZ488+BD488+BH488+BL488+BP488)))</f>
        <v/>
      </c>
      <c r="BU488" s="152">
        <f>BR488-BS488-BT488</f>
        <v/>
      </c>
      <c r="BV488" s="152">
        <f>IF(BY487&lt;=0.005,0,BY487*(1+BV$6))</f>
        <v/>
      </c>
      <c r="BW488" s="152">
        <f>MIN(BV488,BV$7)</f>
        <v/>
      </c>
      <c r="BX488" s="152">
        <f>MAX(0,MIN(BV488-BW488,CL488-(AZ488+BD488+BH488+BL488+BP488+BT488)))</f>
        <v/>
      </c>
      <c r="BY488" s="152">
        <f>BV488-BW488-BX488</f>
        <v/>
      </c>
      <c r="BZ488" s="152">
        <f>IF(CC487&lt;=0.005,0,CC487*(1+BZ$6))</f>
        <v/>
      </c>
      <c r="CA488" s="152">
        <f>MIN(BZ488,BZ$7)</f>
        <v/>
      </c>
      <c r="CB488" s="152">
        <f>MAX(0,MIN(BZ488-CA488,CL488-(AZ488+BD488+BH488+BL488+BP488+BT488+BX488)))</f>
        <v/>
      </c>
      <c r="CC488" s="152">
        <f>BZ488-CA488-CB488</f>
        <v/>
      </c>
      <c r="CD488" s="152">
        <f>IF(CG487&lt;=0.005,0,CG487*(1+CD$6))</f>
        <v/>
      </c>
      <c r="CE488" s="152">
        <f>MIN(CD488,CD$7)</f>
        <v/>
      </c>
      <c r="CF488" s="152">
        <f>MAX(0,MIN(CD488-CE488,CL488-(AZ488+BD488+BH488+BL488+BP488+BT488+BX488+CB488)))</f>
        <v/>
      </c>
      <c r="CG488" s="152">
        <f>CD488-CE488-CF488</f>
        <v/>
      </c>
      <c r="CH488" s="152">
        <f>IF(CK487&lt;=0.005,0,CK487*(1+CH$6))</f>
        <v/>
      </c>
      <c r="CI488" s="152">
        <f>MIN(CH488,CH$7)</f>
        <v/>
      </c>
      <c r="CJ488" s="152">
        <f>MAX(0,MIN(CH488-CI488,CL488-(AZ488+BD488+BH488+BL488+BP488+BT488+BX488+CB488+CF488)))</f>
        <v/>
      </c>
      <c r="CK488" s="152">
        <f>CH488-CI488-CJ488</f>
        <v/>
      </c>
      <c r="CL488" s="152">
        <f>'Debt Payoff'!$C$8-SUM(AY488,BC488,BG488,BK488,BO488,BS488,BW488,CA488,CE488,CI488)</f>
        <v/>
      </c>
      <c r="CM488" s="152">
        <f>SUM(AY488,BC488,BG488,BK488,BO488,BS488,BW488,CA488,CE488,CI488)+SUM(AZ488,BD488,BH488,BL488,BP488,BT488,BX488,CB488,CF488,CJ488)</f>
        <v/>
      </c>
      <c r="CN488" s="152">
        <f>SUM(BA488,BE488,BI488,BM488,BQ488,BU488,BY488,CC488,CG488,CK488)</f>
        <v/>
      </c>
      <c r="CO488" s="152">
        <f>IF(AW488&gt;CN$6,NA(),AW488)</f>
        <v/>
      </c>
      <c r="CP488" s="152">
        <f>IF(AW488&gt;CN$6,NA(),CN488)</f>
        <v/>
      </c>
    </row>
    <row r="489">
      <c r="B489" s="152" t="n">
        <v>478</v>
      </c>
      <c r="C489" s="152">
        <f>IF(F488&lt;=0.005,0,F488*(1+C$6))</f>
        <v/>
      </c>
      <c r="D489" s="152">
        <f>MIN(C489,C$7)</f>
        <v/>
      </c>
      <c r="E489" s="152">
        <f>MAX(0,MIN(C489-D489,AQ489))</f>
        <v/>
      </c>
      <c r="F489" s="152">
        <f>C489-D489-E489</f>
        <v/>
      </c>
      <c r="G489" s="152">
        <f>IF(J488&lt;=0.005,0,J488*(1+G$6))</f>
        <v/>
      </c>
      <c r="H489" s="152">
        <f>MIN(G489,G$7)</f>
        <v/>
      </c>
      <c r="I489" s="152">
        <f>MAX(0,MIN(G489-H489,AQ489-(E489)))</f>
        <v/>
      </c>
      <c r="J489" s="152">
        <f>G489-H489-I489</f>
        <v/>
      </c>
      <c r="K489" s="152">
        <f>IF(N488&lt;=0.005,0,N488*(1+K$6))</f>
        <v/>
      </c>
      <c r="L489" s="152">
        <f>MIN(K489,K$7)</f>
        <v/>
      </c>
      <c r="M489" s="152">
        <f>MAX(0,MIN(K489-L489,AQ489-(E489+I489)))</f>
        <v/>
      </c>
      <c r="N489" s="152">
        <f>K489-L489-M489</f>
        <v/>
      </c>
      <c r="O489" s="152">
        <f>IF(R488&lt;=0.005,0,R488*(1+O$6))</f>
        <v/>
      </c>
      <c r="P489" s="152">
        <f>MIN(O489,O$7)</f>
        <v/>
      </c>
      <c r="Q489" s="152">
        <f>MAX(0,MIN(O489-P489,AQ489-(E489+I489+M489)))</f>
        <v/>
      </c>
      <c r="R489" s="152">
        <f>O489-P489-Q489</f>
        <v/>
      </c>
      <c r="S489" s="152">
        <f>IF(V488&lt;=0.005,0,V488*(1+S$6))</f>
        <v/>
      </c>
      <c r="T489" s="152">
        <f>MIN(S489,S$7)</f>
        <v/>
      </c>
      <c r="U489" s="152">
        <f>MAX(0,MIN(S489-T489,AQ489-(E489+I489+M489+Q489)))</f>
        <v/>
      </c>
      <c r="V489" s="152">
        <f>S489-T489-U489</f>
        <v/>
      </c>
      <c r="W489" s="152">
        <f>IF(Z488&lt;=0.005,0,Z488*(1+W$6))</f>
        <v/>
      </c>
      <c r="X489" s="152">
        <f>MIN(W489,W$7)</f>
        <v/>
      </c>
      <c r="Y489" s="152">
        <f>MAX(0,MIN(W489-X489,AQ489-(E489+I489+M489+Q489+U489)))</f>
        <v/>
      </c>
      <c r="Z489" s="152">
        <f>W489-X489-Y489</f>
        <v/>
      </c>
      <c r="AA489" s="152">
        <f>IF(AD488&lt;=0.005,0,AD488*(1+AA$6))</f>
        <v/>
      </c>
      <c r="AB489" s="152">
        <f>MIN(AA489,AA$7)</f>
        <v/>
      </c>
      <c r="AC489" s="152">
        <f>MAX(0,MIN(AA489-AB489,AQ489-(E489+I489+M489+Q489+U489+Y489)))</f>
        <v/>
      </c>
      <c r="AD489" s="152">
        <f>AA489-AB489-AC489</f>
        <v/>
      </c>
      <c r="AE489" s="152">
        <f>IF(AH488&lt;=0.005,0,AH488*(1+AE$6))</f>
        <v/>
      </c>
      <c r="AF489" s="152">
        <f>MIN(AE489,AE$7)</f>
        <v/>
      </c>
      <c r="AG489" s="152">
        <f>MAX(0,MIN(AE489-AF489,AQ489-(E489+I489+M489+Q489+U489+Y489+AC489)))</f>
        <v/>
      </c>
      <c r="AH489" s="152">
        <f>AE489-AF489-AG489</f>
        <v/>
      </c>
      <c r="AI489" s="152">
        <f>IF(AL488&lt;=0.005,0,AL488*(1+AI$6))</f>
        <v/>
      </c>
      <c r="AJ489" s="152">
        <f>MIN(AI489,AI$7)</f>
        <v/>
      </c>
      <c r="AK489" s="152">
        <f>MAX(0,MIN(AI489-AJ489,AQ489-(E489+I489+M489+Q489+U489+Y489+AC489+AG489)))</f>
        <v/>
      </c>
      <c r="AL489" s="152">
        <f>AI489-AJ489-AK489</f>
        <v/>
      </c>
      <c r="AM489" s="152">
        <f>IF(AP488&lt;=0.005,0,AP488*(1+AM$6))</f>
        <v/>
      </c>
      <c r="AN489" s="152">
        <f>MIN(AM489,AM$7)</f>
        <v/>
      </c>
      <c r="AO489" s="152">
        <f>MAX(0,MIN(AM489-AN489,AQ489-(E489+I489+M489+Q489+U489+Y489+AC489+AG489+AK489)))</f>
        <v/>
      </c>
      <c r="AP489" s="152">
        <f>AM489-AN489-AO489</f>
        <v/>
      </c>
      <c r="AQ489" s="152">
        <f>'Debt Payoff'!$C$8-SUM(D489,H489,L489,P489,T489,X489,AB489,AF489,AJ489,AN489)</f>
        <v/>
      </c>
      <c r="AR489" s="152">
        <f>SUM(D489,H489,L489,P489,T489,X489,AB489,AF489,AJ489,AN489)+SUM(E489,I489,M489,Q489,U489,Y489,AC489,AG489,AK489,AO489)</f>
        <v/>
      </c>
      <c r="AS489" s="152">
        <f>SUM(F489,J489,N489,R489,V489,Z489,AD489,AH489,AL489,AP489)</f>
        <v/>
      </c>
      <c r="AT489" s="152">
        <f>IF(B489&gt;AS$6,NA(),B489)</f>
        <v/>
      </c>
      <c r="AU489" s="152">
        <f>IF(B489&gt;AS$6,NA(),AS489)</f>
        <v/>
      </c>
      <c r="AV489" s="152" t="n"/>
      <c r="AW489" s="152" t="n">
        <v>478</v>
      </c>
      <c r="AX489" s="152">
        <f>IF(BA488&lt;=0.005,0,BA488*(1+AX$6))</f>
        <v/>
      </c>
      <c r="AY489" s="152">
        <f>MIN(AX489,AX$7)</f>
        <v/>
      </c>
      <c r="AZ489" s="152">
        <f>MAX(0,MIN(AX489-AY489,CL489))</f>
        <v/>
      </c>
      <c r="BA489" s="152">
        <f>AX489-AY489-AZ489</f>
        <v/>
      </c>
      <c r="BB489" s="152">
        <f>IF(BE488&lt;=0.005,0,BE488*(1+BB$6))</f>
        <v/>
      </c>
      <c r="BC489" s="152">
        <f>MIN(BB489,BB$7)</f>
        <v/>
      </c>
      <c r="BD489" s="152">
        <f>MAX(0,MIN(BB489-BC489,CL489-(AZ489)))</f>
        <v/>
      </c>
      <c r="BE489" s="152">
        <f>BB489-BC489-BD489</f>
        <v/>
      </c>
      <c r="BF489" s="152">
        <f>IF(BI488&lt;=0.005,0,BI488*(1+BF$6))</f>
        <v/>
      </c>
      <c r="BG489" s="152">
        <f>MIN(BF489,BF$7)</f>
        <v/>
      </c>
      <c r="BH489" s="152">
        <f>MAX(0,MIN(BF489-BG489,CL489-(AZ489+BD489)))</f>
        <v/>
      </c>
      <c r="BI489" s="152">
        <f>BF489-BG489-BH489</f>
        <v/>
      </c>
      <c r="BJ489" s="152">
        <f>IF(BM488&lt;=0.005,0,BM488*(1+BJ$6))</f>
        <v/>
      </c>
      <c r="BK489" s="152">
        <f>MIN(BJ489,BJ$7)</f>
        <v/>
      </c>
      <c r="BL489" s="152">
        <f>MAX(0,MIN(BJ489-BK489,CL489-(AZ489+BD489+BH489)))</f>
        <v/>
      </c>
      <c r="BM489" s="152">
        <f>BJ489-BK489-BL489</f>
        <v/>
      </c>
      <c r="BN489" s="152">
        <f>IF(BQ488&lt;=0.005,0,BQ488*(1+BN$6))</f>
        <v/>
      </c>
      <c r="BO489" s="152">
        <f>MIN(BN489,BN$7)</f>
        <v/>
      </c>
      <c r="BP489" s="152">
        <f>MAX(0,MIN(BN489-BO489,CL489-(AZ489+BD489+BH489+BL489)))</f>
        <v/>
      </c>
      <c r="BQ489" s="152">
        <f>BN489-BO489-BP489</f>
        <v/>
      </c>
      <c r="BR489" s="152">
        <f>IF(BU488&lt;=0.005,0,BU488*(1+BR$6))</f>
        <v/>
      </c>
      <c r="BS489" s="152">
        <f>MIN(BR489,BR$7)</f>
        <v/>
      </c>
      <c r="BT489" s="152">
        <f>MAX(0,MIN(BR489-BS489,CL489-(AZ489+BD489+BH489+BL489+BP489)))</f>
        <v/>
      </c>
      <c r="BU489" s="152">
        <f>BR489-BS489-BT489</f>
        <v/>
      </c>
      <c r="BV489" s="152">
        <f>IF(BY488&lt;=0.005,0,BY488*(1+BV$6))</f>
        <v/>
      </c>
      <c r="BW489" s="152">
        <f>MIN(BV489,BV$7)</f>
        <v/>
      </c>
      <c r="BX489" s="152">
        <f>MAX(0,MIN(BV489-BW489,CL489-(AZ489+BD489+BH489+BL489+BP489+BT489)))</f>
        <v/>
      </c>
      <c r="BY489" s="152">
        <f>BV489-BW489-BX489</f>
        <v/>
      </c>
      <c r="BZ489" s="152">
        <f>IF(CC488&lt;=0.005,0,CC488*(1+BZ$6))</f>
        <v/>
      </c>
      <c r="CA489" s="152">
        <f>MIN(BZ489,BZ$7)</f>
        <v/>
      </c>
      <c r="CB489" s="152">
        <f>MAX(0,MIN(BZ489-CA489,CL489-(AZ489+BD489+BH489+BL489+BP489+BT489+BX489)))</f>
        <v/>
      </c>
      <c r="CC489" s="152">
        <f>BZ489-CA489-CB489</f>
        <v/>
      </c>
      <c r="CD489" s="152">
        <f>IF(CG488&lt;=0.005,0,CG488*(1+CD$6))</f>
        <v/>
      </c>
      <c r="CE489" s="152">
        <f>MIN(CD489,CD$7)</f>
        <v/>
      </c>
      <c r="CF489" s="152">
        <f>MAX(0,MIN(CD489-CE489,CL489-(AZ489+BD489+BH489+BL489+BP489+BT489+BX489+CB489)))</f>
        <v/>
      </c>
      <c r="CG489" s="152">
        <f>CD489-CE489-CF489</f>
        <v/>
      </c>
      <c r="CH489" s="152">
        <f>IF(CK488&lt;=0.005,0,CK488*(1+CH$6))</f>
        <v/>
      </c>
      <c r="CI489" s="152">
        <f>MIN(CH489,CH$7)</f>
        <v/>
      </c>
      <c r="CJ489" s="152">
        <f>MAX(0,MIN(CH489-CI489,CL489-(AZ489+BD489+BH489+BL489+BP489+BT489+BX489+CB489+CF489)))</f>
        <v/>
      </c>
      <c r="CK489" s="152">
        <f>CH489-CI489-CJ489</f>
        <v/>
      </c>
      <c r="CL489" s="152">
        <f>'Debt Payoff'!$C$8-SUM(AY489,BC489,BG489,BK489,BO489,BS489,BW489,CA489,CE489,CI489)</f>
        <v/>
      </c>
      <c r="CM489" s="152">
        <f>SUM(AY489,BC489,BG489,BK489,BO489,BS489,BW489,CA489,CE489,CI489)+SUM(AZ489,BD489,BH489,BL489,BP489,BT489,BX489,CB489,CF489,CJ489)</f>
        <v/>
      </c>
      <c r="CN489" s="152">
        <f>SUM(BA489,BE489,BI489,BM489,BQ489,BU489,BY489,CC489,CG489,CK489)</f>
        <v/>
      </c>
      <c r="CO489" s="152">
        <f>IF(AW489&gt;CN$6,NA(),AW489)</f>
        <v/>
      </c>
      <c r="CP489" s="152">
        <f>IF(AW489&gt;CN$6,NA(),CN489)</f>
        <v/>
      </c>
    </row>
    <row r="490">
      <c r="B490" s="152" t="n">
        <v>479</v>
      </c>
      <c r="C490" s="152">
        <f>IF(F489&lt;=0.005,0,F489*(1+C$6))</f>
        <v/>
      </c>
      <c r="D490" s="152">
        <f>MIN(C490,C$7)</f>
        <v/>
      </c>
      <c r="E490" s="152">
        <f>MAX(0,MIN(C490-D490,AQ490))</f>
        <v/>
      </c>
      <c r="F490" s="152">
        <f>C490-D490-E490</f>
        <v/>
      </c>
      <c r="G490" s="152">
        <f>IF(J489&lt;=0.005,0,J489*(1+G$6))</f>
        <v/>
      </c>
      <c r="H490" s="152">
        <f>MIN(G490,G$7)</f>
        <v/>
      </c>
      <c r="I490" s="152">
        <f>MAX(0,MIN(G490-H490,AQ490-(E490)))</f>
        <v/>
      </c>
      <c r="J490" s="152">
        <f>G490-H490-I490</f>
        <v/>
      </c>
      <c r="K490" s="152">
        <f>IF(N489&lt;=0.005,0,N489*(1+K$6))</f>
        <v/>
      </c>
      <c r="L490" s="152">
        <f>MIN(K490,K$7)</f>
        <v/>
      </c>
      <c r="M490" s="152">
        <f>MAX(0,MIN(K490-L490,AQ490-(E490+I490)))</f>
        <v/>
      </c>
      <c r="N490" s="152">
        <f>K490-L490-M490</f>
        <v/>
      </c>
      <c r="O490" s="152">
        <f>IF(R489&lt;=0.005,0,R489*(1+O$6))</f>
        <v/>
      </c>
      <c r="P490" s="152">
        <f>MIN(O490,O$7)</f>
        <v/>
      </c>
      <c r="Q490" s="152">
        <f>MAX(0,MIN(O490-P490,AQ490-(E490+I490+M490)))</f>
        <v/>
      </c>
      <c r="R490" s="152">
        <f>O490-P490-Q490</f>
        <v/>
      </c>
      <c r="S490" s="152">
        <f>IF(V489&lt;=0.005,0,V489*(1+S$6))</f>
        <v/>
      </c>
      <c r="T490" s="152">
        <f>MIN(S490,S$7)</f>
        <v/>
      </c>
      <c r="U490" s="152">
        <f>MAX(0,MIN(S490-T490,AQ490-(E490+I490+M490+Q490)))</f>
        <v/>
      </c>
      <c r="V490" s="152">
        <f>S490-T490-U490</f>
        <v/>
      </c>
      <c r="W490" s="152">
        <f>IF(Z489&lt;=0.005,0,Z489*(1+W$6))</f>
        <v/>
      </c>
      <c r="X490" s="152">
        <f>MIN(W490,W$7)</f>
        <v/>
      </c>
      <c r="Y490" s="152">
        <f>MAX(0,MIN(W490-X490,AQ490-(E490+I490+M490+Q490+U490)))</f>
        <v/>
      </c>
      <c r="Z490" s="152">
        <f>W490-X490-Y490</f>
        <v/>
      </c>
      <c r="AA490" s="152">
        <f>IF(AD489&lt;=0.005,0,AD489*(1+AA$6))</f>
        <v/>
      </c>
      <c r="AB490" s="152">
        <f>MIN(AA490,AA$7)</f>
        <v/>
      </c>
      <c r="AC490" s="152">
        <f>MAX(0,MIN(AA490-AB490,AQ490-(E490+I490+M490+Q490+U490+Y490)))</f>
        <v/>
      </c>
      <c r="AD490" s="152">
        <f>AA490-AB490-AC490</f>
        <v/>
      </c>
      <c r="AE490" s="152">
        <f>IF(AH489&lt;=0.005,0,AH489*(1+AE$6))</f>
        <v/>
      </c>
      <c r="AF490" s="152">
        <f>MIN(AE490,AE$7)</f>
        <v/>
      </c>
      <c r="AG490" s="152">
        <f>MAX(0,MIN(AE490-AF490,AQ490-(E490+I490+M490+Q490+U490+Y490+AC490)))</f>
        <v/>
      </c>
      <c r="AH490" s="152">
        <f>AE490-AF490-AG490</f>
        <v/>
      </c>
      <c r="AI490" s="152">
        <f>IF(AL489&lt;=0.005,0,AL489*(1+AI$6))</f>
        <v/>
      </c>
      <c r="AJ490" s="152">
        <f>MIN(AI490,AI$7)</f>
        <v/>
      </c>
      <c r="AK490" s="152">
        <f>MAX(0,MIN(AI490-AJ490,AQ490-(E490+I490+M490+Q490+U490+Y490+AC490+AG490)))</f>
        <v/>
      </c>
      <c r="AL490" s="152">
        <f>AI490-AJ490-AK490</f>
        <v/>
      </c>
      <c r="AM490" s="152">
        <f>IF(AP489&lt;=0.005,0,AP489*(1+AM$6))</f>
        <v/>
      </c>
      <c r="AN490" s="152">
        <f>MIN(AM490,AM$7)</f>
        <v/>
      </c>
      <c r="AO490" s="152">
        <f>MAX(0,MIN(AM490-AN490,AQ490-(E490+I490+M490+Q490+U490+Y490+AC490+AG490+AK490)))</f>
        <v/>
      </c>
      <c r="AP490" s="152">
        <f>AM490-AN490-AO490</f>
        <v/>
      </c>
      <c r="AQ490" s="152">
        <f>'Debt Payoff'!$C$8-SUM(D490,H490,L490,P490,T490,X490,AB490,AF490,AJ490,AN490)</f>
        <v/>
      </c>
      <c r="AR490" s="152">
        <f>SUM(D490,H490,L490,P490,T490,X490,AB490,AF490,AJ490,AN490)+SUM(E490,I490,M490,Q490,U490,Y490,AC490,AG490,AK490,AO490)</f>
        <v/>
      </c>
      <c r="AS490" s="152">
        <f>SUM(F490,J490,N490,R490,V490,Z490,AD490,AH490,AL490,AP490)</f>
        <v/>
      </c>
      <c r="AT490" s="152">
        <f>IF(B490&gt;AS$6,NA(),B490)</f>
        <v/>
      </c>
      <c r="AU490" s="152">
        <f>IF(B490&gt;AS$6,NA(),AS490)</f>
        <v/>
      </c>
      <c r="AV490" s="152" t="n"/>
      <c r="AW490" s="152" t="n">
        <v>479</v>
      </c>
      <c r="AX490" s="152">
        <f>IF(BA489&lt;=0.005,0,BA489*(1+AX$6))</f>
        <v/>
      </c>
      <c r="AY490" s="152">
        <f>MIN(AX490,AX$7)</f>
        <v/>
      </c>
      <c r="AZ490" s="152">
        <f>MAX(0,MIN(AX490-AY490,CL490))</f>
        <v/>
      </c>
      <c r="BA490" s="152">
        <f>AX490-AY490-AZ490</f>
        <v/>
      </c>
      <c r="BB490" s="152">
        <f>IF(BE489&lt;=0.005,0,BE489*(1+BB$6))</f>
        <v/>
      </c>
      <c r="BC490" s="152">
        <f>MIN(BB490,BB$7)</f>
        <v/>
      </c>
      <c r="BD490" s="152">
        <f>MAX(0,MIN(BB490-BC490,CL490-(AZ490)))</f>
        <v/>
      </c>
      <c r="BE490" s="152">
        <f>BB490-BC490-BD490</f>
        <v/>
      </c>
      <c r="BF490" s="152">
        <f>IF(BI489&lt;=0.005,0,BI489*(1+BF$6))</f>
        <v/>
      </c>
      <c r="BG490" s="152">
        <f>MIN(BF490,BF$7)</f>
        <v/>
      </c>
      <c r="BH490" s="152">
        <f>MAX(0,MIN(BF490-BG490,CL490-(AZ490+BD490)))</f>
        <v/>
      </c>
      <c r="BI490" s="152">
        <f>BF490-BG490-BH490</f>
        <v/>
      </c>
      <c r="BJ490" s="152">
        <f>IF(BM489&lt;=0.005,0,BM489*(1+BJ$6))</f>
        <v/>
      </c>
      <c r="BK490" s="152">
        <f>MIN(BJ490,BJ$7)</f>
        <v/>
      </c>
      <c r="BL490" s="152">
        <f>MAX(0,MIN(BJ490-BK490,CL490-(AZ490+BD490+BH490)))</f>
        <v/>
      </c>
      <c r="BM490" s="152">
        <f>BJ490-BK490-BL490</f>
        <v/>
      </c>
      <c r="BN490" s="152">
        <f>IF(BQ489&lt;=0.005,0,BQ489*(1+BN$6))</f>
        <v/>
      </c>
      <c r="BO490" s="152">
        <f>MIN(BN490,BN$7)</f>
        <v/>
      </c>
      <c r="BP490" s="152">
        <f>MAX(0,MIN(BN490-BO490,CL490-(AZ490+BD490+BH490+BL490)))</f>
        <v/>
      </c>
      <c r="BQ490" s="152">
        <f>BN490-BO490-BP490</f>
        <v/>
      </c>
      <c r="BR490" s="152">
        <f>IF(BU489&lt;=0.005,0,BU489*(1+BR$6))</f>
        <v/>
      </c>
      <c r="BS490" s="152">
        <f>MIN(BR490,BR$7)</f>
        <v/>
      </c>
      <c r="BT490" s="152">
        <f>MAX(0,MIN(BR490-BS490,CL490-(AZ490+BD490+BH490+BL490+BP490)))</f>
        <v/>
      </c>
      <c r="BU490" s="152">
        <f>BR490-BS490-BT490</f>
        <v/>
      </c>
      <c r="BV490" s="152">
        <f>IF(BY489&lt;=0.005,0,BY489*(1+BV$6))</f>
        <v/>
      </c>
      <c r="BW490" s="152">
        <f>MIN(BV490,BV$7)</f>
        <v/>
      </c>
      <c r="BX490" s="152">
        <f>MAX(0,MIN(BV490-BW490,CL490-(AZ490+BD490+BH490+BL490+BP490+BT490)))</f>
        <v/>
      </c>
      <c r="BY490" s="152">
        <f>BV490-BW490-BX490</f>
        <v/>
      </c>
      <c r="BZ490" s="152">
        <f>IF(CC489&lt;=0.005,0,CC489*(1+BZ$6))</f>
        <v/>
      </c>
      <c r="CA490" s="152">
        <f>MIN(BZ490,BZ$7)</f>
        <v/>
      </c>
      <c r="CB490" s="152">
        <f>MAX(0,MIN(BZ490-CA490,CL490-(AZ490+BD490+BH490+BL490+BP490+BT490+BX490)))</f>
        <v/>
      </c>
      <c r="CC490" s="152">
        <f>BZ490-CA490-CB490</f>
        <v/>
      </c>
      <c r="CD490" s="152">
        <f>IF(CG489&lt;=0.005,0,CG489*(1+CD$6))</f>
        <v/>
      </c>
      <c r="CE490" s="152">
        <f>MIN(CD490,CD$7)</f>
        <v/>
      </c>
      <c r="CF490" s="152">
        <f>MAX(0,MIN(CD490-CE490,CL490-(AZ490+BD490+BH490+BL490+BP490+BT490+BX490+CB490)))</f>
        <v/>
      </c>
      <c r="CG490" s="152">
        <f>CD490-CE490-CF490</f>
        <v/>
      </c>
      <c r="CH490" s="152">
        <f>IF(CK489&lt;=0.005,0,CK489*(1+CH$6))</f>
        <v/>
      </c>
      <c r="CI490" s="152">
        <f>MIN(CH490,CH$7)</f>
        <v/>
      </c>
      <c r="CJ490" s="152">
        <f>MAX(0,MIN(CH490-CI490,CL490-(AZ490+BD490+BH490+BL490+BP490+BT490+BX490+CB490+CF490)))</f>
        <v/>
      </c>
      <c r="CK490" s="152">
        <f>CH490-CI490-CJ490</f>
        <v/>
      </c>
      <c r="CL490" s="152">
        <f>'Debt Payoff'!$C$8-SUM(AY490,BC490,BG490,BK490,BO490,BS490,BW490,CA490,CE490,CI490)</f>
        <v/>
      </c>
      <c r="CM490" s="152">
        <f>SUM(AY490,BC490,BG490,BK490,BO490,BS490,BW490,CA490,CE490,CI490)+SUM(AZ490,BD490,BH490,BL490,BP490,BT490,BX490,CB490,CF490,CJ490)</f>
        <v/>
      </c>
      <c r="CN490" s="152">
        <f>SUM(BA490,BE490,BI490,BM490,BQ490,BU490,BY490,CC490,CG490,CK490)</f>
        <v/>
      </c>
      <c r="CO490" s="152">
        <f>IF(AW490&gt;CN$6,NA(),AW490)</f>
        <v/>
      </c>
      <c r="CP490" s="152">
        <f>IF(AW490&gt;CN$6,NA(),CN490)</f>
        <v/>
      </c>
    </row>
    <row r="491">
      <c r="B491" s="152" t="n">
        <v>480</v>
      </c>
      <c r="C491" s="152">
        <f>IF(F490&lt;=0.005,0,F490*(1+C$6))</f>
        <v/>
      </c>
      <c r="D491" s="152">
        <f>MIN(C491,C$7)</f>
        <v/>
      </c>
      <c r="E491" s="152">
        <f>MAX(0,MIN(C491-D491,AQ491))</f>
        <v/>
      </c>
      <c r="F491" s="152">
        <f>C491-D491-E491</f>
        <v/>
      </c>
      <c r="G491" s="152">
        <f>IF(J490&lt;=0.005,0,J490*(1+G$6))</f>
        <v/>
      </c>
      <c r="H491" s="152">
        <f>MIN(G491,G$7)</f>
        <v/>
      </c>
      <c r="I491" s="152">
        <f>MAX(0,MIN(G491-H491,AQ491-(E491)))</f>
        <v/>
      </c>
      <c r="J491" s="152">
        <f>G491-H491-I491</f>
        <v/>
      </c>
      <c r="K491" s="152">
        <f>IF(N490&lt;=0.005,0,N490*(1+K$6))</f>
        <v/>
      </c>
      <c r="L491" s="152">
        <f>MIN(K491,K$7)</f>
        <v/>
      </c>
      <c r="M491" s="152">
        <f>MAX(0,MIN(K491-L491,AQ491-(E491+I491)))</f>
        <v/>
      </c>
      <c r="N491" s="152">
        <f>K491-L491-M491</f>
        <v/>
      </c>
      <c r="O491" s="152">
        <f>IF(R490&lt;=0.005,0,R490*(1+O$6))</f>
        <v/>
      </c>
      <c r="P491" s="152">
        <f>MIN(O491,O$7)</f>
        <v/>
      </c>
      <c r="Q491" s="152">
        <f>MAX(0,MIN(O491-P491,AQ491-(E491+I491+M491)))</f>
        <v/>
      </c>
      <c r="R491" s="152">
        <f>O491-P491-Q491</f>
        <v/>
      </c>
      <c r="S491" s="152">
        <f>IF(V490&lt;=0.005,0,V490*(1+S$6))</f>
        <v/>
      </c>
      <c r="T491" s="152">
        <f>MIN(S491,S$7)</f>
        <v/>
      </c>
      <c r="U491" s="152">
        <f>MAX(0,MIN(S491-T491,AQ491-(E491+I491+M491+Q491)))</f>
        <v/>
      </c>
      <c r="V491" s="152">
        <f>S491-T491-U491</f>
        <v/>
      </c>
      <c r="W491" s="152">
        <f>IF(Z490&lt;=0.005,0,Z490*(1+W$6))</f>
        <v/>
      </c>
      <c r="X491" s="152">
        <f>MIN(W491,W$7)</f>
        <v/>
      </c>
      <c r="Y491" s="152">
        <f>MAX(0,MIN(W491-X491,AQ491-(E491+I491+M491+Q491+U491)))</f>
        <v/>
      </c>
      <c r="Z491" s="152">
        <f>W491-X491-Y491</f>
        <v/>
      </c>
      <c r="AA491" s="152">
        <f>IF(AD490&lt;=0.005,0,AD490*(1+AA$6))</f>
        <v/>
      </c>
      <c r="AB491" s="152">
        <f>MIN(AA491,AA$7)</f>
        <v/>
      </c>
      <c r="AC491" s="152">
        <f>MAX(0,MIN(AA491-AB491,AQ491-(E491+I491+M491+Q491+U491+Y491)))</f>
        <v/>
      </c>
      <c r="AD491" s="152">
        <f>AA491-AB491-AC491</f>
        <v/>
      </c>
      <c r="AE491" s="152">
        <f>IF(AH490&lt;=0.005,0,AH490*(1+AE$6))</f>
        <v/>
      </c>
      <c r="AF491" s="152">
        <f>MIN(AE491,AE$7)</f>
        <v/>
      </c>
      <c r="AG491" s="152">
        <f>MAX(0,MIN(AE491-AF491,AQ491-(E491+I491+M491+Q491+U491+Y491+AC491)))</f>
        <v/>
      </c>
      <c r="AH491" s="152">
        <f>AE491-AF491-AG491</f>
        <v/>
      </c>
      <c r="AI491" s="152">
        <f>IF(AL490&lt;=0.005,0,AL490*(1+AI$6))</f>
        <v/>
      </c>
      <c r="AJ491" s="152">
        <f>MIN(AI491,AI$7)</f>
        <v/>
      </c>
      <c r="AK491" s="152">
        <f>MAX(0,MIN(AI491-AJ491,AQ491-(E491+I491+M491+Q491+U491+Y491+AC491+AG491)))</f>
        <v/>
      </c>
      <c r="AL491" s="152">
        <f>AI491-AJ491-AK491</f>
        <v/>
      </c>
      <c r="AM491" s="152">
        <f>IF(AP490&lt;=0.005,0,AP490*(1+AM$6))</f>
        <v/>
      </c>
      <c r="AN491" s="152">
        <f>MIN(AM491,AM$7)</f>
        <v/>
      </c>
      <c r="AO491" s="152">
        <f>MAX(0,MIN(AM491-AN491,AQ491-(E491+I491+M491+Q491+U491+Y491+AC491+AG491+AK491)))</f>
        <v/>
      </c>
      <c r="AP491" s="152">
        <f>AM491-AN491-AO491</f>
        <v/>
      </c>
      <c r="AQ491" s="152">
        <f>'Debt Payoff'!$C$8-SUM(D491,H491,L491,P491,T491,X491,AB491,AF491,AJ491,AN491)</f>
        <v/>
      </c>
      <c r="AR491" s="152">
        <f>SUM(D491,H491,L491,P491,T491,X491,AB491,AF491,AJ491,AN491)+SUM(E491,I491,M491,Q491,U491,Y491,AC491,AG491,AK491,AO491)</f>
        <v/>
      </c>
      <c r="AS491" s="152">
        <f>SUM(F491,J491,N491,R491,V491,Z491,AD491,AH491,AL491,AP491)</f>
        <v/>
      </c>
      <c r="AT491" s="152">
        <f>IF(B491&gt;AS$6,NA(),B491)</f>
        <v/>
      </c>
      <c r="AU491" s="152">
        <f>IF(B491&gt;AS$6,NA(),AS491)</f>
        <v/>
      </c>
      <c r="AV491" s="152" t="n"/>
      <c r="AW491" s="152" t="n">
        <v>480</v>
      </c>
      <c r="AX491" s="152">
        <f>IF(BA490&lt;=0.005,0,BA490*(1+AX$6))</f>
        <v/>
      </c>
      <c r="AY491" s="152">
        <f>MIN(AX491,AX$7)</f>
        <v/>
      </c>
      <c r="AZ491" s="152">
        <f>MAX(0,MIN(AX491-AY491,CL491))</f>
        <v/>
      </c>
      <c r="BA491" s="152">
        <f>AX491-AY491-AZ491</f>
        <v/>
      </c>
      <c r="BB491" s="152">
        <f>IF(BE490&lt;=0.005,0,BE490*(1+BB$6))</f>
        <v/>
      </c>
      <c r="BC491" s="152">
        <f>MIN(BB491,BB$7)</f>
        <v/>
      </c>
      <c r="BD491" s="152">
        <f>MAX(0,MIN(BB491-BC491,CL491-(AZ491)))</f>
        <v/>
      </c>
      <c r="BE491" s="152">
        <f>BB491-BC491-BD491</f>
        <v/>
      </c>
      <c r="BF491" s="152">
        <f>IF(BI490&lt;=0.005,0,BI490*(1+BF$6))</f>
        <v/>
      </c>
      <c r="BG491" s="152">
        <f>MIN(BF491,BF$7)</f>
        <v/>
      </c>
      <c r="BH491" s="152">
        <f>MAX(0,MIN(BF491-BG491,CL491-(AZ491+BD491)))</f>
        <v/>
      </c>
      <c r="BI491" s="152">
        <f>BF491-BG491-BH491</f>
        <v/>
      </c>
      <c r="BJ491" s="152">
        <f>IF(BM490&lt;=0.005,0,BM490*(1+BJ$6))</f>
        <v/>
      </c>
      <c r="BK491" s="152">
        <f>MIN(BJ491,BJ$7)</f>
        <v/>
      </c>
      <c r="BL491" s="152">
        <f>MAX(0,MIN(BJ491-BK491,CL491-(AZ491+BD491+BH491)))</f>
        <v/>
      </c>
      <c r="BM491" s="152">
        <f>BJ491-BK491-BL491</f>
        <v/>
      </c>
      <c r="BN491" s="152">
        <f>IF(BQ490&lt;=0.005,0,BQ490*(1+BN$6))</f>
        <v/>
      </c>
      <c r="BO491" s="152">
        <f>MIN(BN491,BN$7)</f>
        <v/>
      </c>
      <c r="BP491" s="152">
        <f>MAX(0,MIN(BN491-BO491,CL491-(AZ491+BD491+BH491+BL491)))</f>
        <v/>
      </c>
      <c r="BQ491" s="152">
        <f>BN491-BO491-BP491</f>
        <v/>
      </c>
      <c r="BR491" s="152">
        <f>IF(BU490&lt;=0.005,0,BU490*(1+BR$6))</f>
        <v/>
      </c>
      <c r="BS491" s="152">
        <f>MIN(BR491,BR$7)</f>
        <v/>
      </c>
      <c r="BT491" s="152">
        <f>MAX(0,MIN(BR491-BS491,CL491-(AZ491+BD491+BH491+BL491+BP491)))</f>
        <v/>
      </c>
      <c r="BU491" s="152">
        <f>BR491-BS491-BT491</f>
        <v/>
      </c>
      <c r="BV491" s="152">
        <f>IF(BY490&lt;=0.005,0,BY490*(1+BV$6))</f>
        <v/>
      </c>
      <c r="BW491" s="152">
        <f>MIN(BV491,BV$7)</f>
        <v/>
      </c>
      <c r="BX491" s="152">
        <f>MAX(0,MIN(BV491-BW491,CL491-(AZ491+BD491+BH491+BL491+BP491+BT491)))</f>
        <v/>
      </c>
      <c r="BY491" s="152">
        <f>BV491-BW491-BX491</f>
        <v/>
      </c>
      <c r="BZ491" s="152">
        <f>IF(CC490&lt;=0.005,0,CC490*(1+BZ$6))</f>
        <v/>
      </c>
      <c r="CA491" s="152">
        <f>MIN(BZ491,BZ$7)</f>
        <v/>
      </c>
      <c r="CB491" s="152">
        <f>MAX(0,MIN(BZ491-CA491,CL491-(AZ491+BD491+BH491+BL491+BP491+BT491+BX491)))</f>
        <v/>
      </c>
      <c r="CC491" s="152">
        <f>BZ491-CA491-CB491</f>
        <v/>
      </c>
      <c r="CD491" s="152">
        <f>IF(CG490&lt;=0.005,0,CG490*(1+CD$6))</f>
        <v/>
      </c>
      <c r="CE491" s="152">
        <f>MIN(CD491,CD$7)</f>
        <v/>
      </c>
      <c r="CF491" s="152">
        <f>MAX(0,MIN(CD491-CE491,CL491-(AZ491+BD491+BH491+BL491+BP491+BT491+BX491+CB491)))</f>
        <v/>
      </c>
      <c r="CG491" s="152">
        <f>CD491-CE491-CF491</f>
        <v/>
      </c>
      <c r="CH491" s="152">
        <f>IF(CK490&lt;=0.005,0,CK490*(1+CH$6))</f>
        <v/>
      </c>
      <c r="CI491" s="152">
        <f>MIN(CH491,CH$7)</f>
        <v/>
      </c>
      <c r="CJ491" s="152">
        <f>MAX(0,MIN(CH491-CI491,CL491-(AZ491+BD491+BH491+BL491+BP491+BT491+BX491+CB491+CF491)))</f>
        <v/>
      </c>
      <c r="CK491" s="152">
        <f>CH491-CI491-CJ491</f>
        <v/>
      </c>
      <c r="CL491" s="152">
        <f>'Debt Payoff'!$C$8-SUM(AY491,BC491,BG491,BK491,BO491,BS491,BW491,CA491,CE491,CI491)</f>
        <v/>
      </c>
      <c r="CM491" s="152">
        <f>SUM(AY491,BC491,BG491,BK491,BO491,BS491,BW491,CA491,CE491,CI491)+SUM(AZ491,BD491,BH491,BL491,BP491,BT491,BX491,CB491,CF491,CJ491)</f>
        <v/>
      </c>
      <c r="CN491" s="152">
        <f>SUM(BA491,BE491,BI491,BM491,BQ491,BU491,BY491,CC491,CG491,CK491)</f>
        <v/>
      </c>
      <c r="CO491" s="152">
        <f>IF(AW491&gt;CN$6,NA(),AW491)</f>
        <v/>
      </c>
      <c r="CP491" s="152">
        <f>IF(AW491&gt;CN$6,NA(),CN491)</f>
        <v/>
      </c>
    </row>
  </sheetData>
  <pageMargins left="0.75" right="0.75" top="1" bottom="1" header="0.5" footer="0.5"/>
</worksheet>
</file>

<file path=xl/worksheets/sheet18.xml><?xml version="1.0" encoding="utf-8"?>
<worksheet xmlns="http://schemas.openxmlformats.org/spreadsheetml/2006/main">
  <sheetPr codeName="shLists">
    <tabColor rgb="009CA3AF"/>
    <outlinePr summaryBelow="1" summaryRight="1"/>
    <pageSetUpPr fitToPage="1"/>
  </sheetPr>
  <dimension ref="A1:X104"/>
  <sheetViews>
    <sheetView showGridLines="0" tabSelected="0" zoomScale="100" workbookViewId="0">
      <pane ySplit="4" topLeftCell="A5" activePane="bottomLeft" state="frozen"/>
      <selection pane="bottomLeft" activeCell="A1" sqref="A1"/>
    </sheetView>
  </sheetViews>
  <sheetFormatPr baseColWidth="8" defaultRowHeight="15"/>
  <cols>
    <col width="20" customWidth="1" min="1" max="1"/>
    <col width="11" customWidth="1" min="2" max="2"/>
    <col width="17" customWidth="1" min="3" max="3"/>
    <col width="9" customWidth="1" min="4" max="4"/>
    <col width="16" customWidth="1" min="5" max="5"/>
    <col width="14" customWidth="1" min="6" max="6"/>
    <col width="9" customWidth="1" min="7" max="7"/>
    <col width="18" customWidth="1" min="8" max="8"/>
    <col width="12" customWidth="1" min="9" max="9"/>
    <col width="27" customWidth="1" min="10" max="10"/>
    <col width="22" customWidth="1" min="11" max="11"/>
    <col width="11" customWidth="1" min="12" max="12"/>
    <col width="13" customWidth="1" min="13" max="13"/>
    <col width="15" customWidth="1" min="14" max="14"/>
    <col width="11" customWidth="1" min="15" max="15"/>
    <col width="23" customWidth="1" min="16" max="16"/>
    <col width="31" customWidth="1" min="17" max="17"/>
    <col width="15" customWidth="1" min="18" max="18"/>
    <col width="24" customWidth="1" min="19" max="19"/>
    <col width="30" customWidth="1" min="20" max="20"/>
    <col width="26" customWidth="1" min="21" max="21"/>
    <col width="3" customWidth="1" min="22" max="22"/>
    <col width="24" customWidth="1" min="23" max="23"/>
    <col width="16" customWidth="1" min="24" max="24"/>
    <col width="13" customWidth="1" min="25" max="25"/>
    <col width="13" customWidth="1" min="26" max="26"/>
    <col width="13" customWidth="1" min="27" max="27"/>
    <col width="13" customWidth="1" min="28" max="28"/>
    <col width="13" customWidth="1" min="29" max="29"/>
    <col width="13" customWidth="1" min="30" max="30"/>
    <col width="13" customWidth="1" min="31" max="31"/>
    <col width="13" customWidth="1" min="32" max="32"/>
    <col width="13" customWidth="1" min="33" max="33"/>
    <col width="13" customWidth="1" min="34" max="34"/>
    <col width="13" customWidth="1" min="35" max="35"/>
    <col width="13" customWidth="1" min="36" max="36"/>
    <col width="13" customWidth="1" min="37" max="37"/>
    <col width="13" customWidth="1" min="38" max="38"/>
    <col width="13" customWidth="1" min="39" max="39"/>
  </cols>
  <sheetData>
    <row r="1" ht="34" customHeight="1">
      <c r="A1" s="60" t="inlineStr">
        <is>
          <t>Lists</t>
        </is>
      </c>
    </row>
    <row r="2" ht="20" customHeight="1">
      <c r="A2" s="61" t="inlineStr">
        <is>
          <t>Dropdown choices and helper values used across the workbook. You can add account types or rename choices here.</t>
        </is>
      </c>
      <c r="B2" s="2" t="n"/>
      <c r="C2" s="2" t="n"/>
      <c r="D2" s="2" t="n"/>
      <c r="E2" s="2" t="n"/>
      <c r="F2" s="2" t="n"/>
      <c r="G2" s="2" t="n"/>
      <c r="H2" s="2" t="n"/>
      <c r="I2" s="2" t="n"/>
      <c r="J2" s="2" t="n"/>
      <c r="K2" s="2" t="n"/>
      <c r="L2" s="2" t="n"/>
      <c r="M2" s="2" t="n"/>
      <c r="N2" s="2" t="n"/>
      <c r="O2" s="2" t="n"/>
      <c r="P2" s="2" t="n"/>
      <c r="Q2" s="2" t="n"/>
      <c r="R2" s="2" t="n"/>
      <c r="S2" s="2" t="n"/>
      <c r="T2" s="2" t="n"/>
      <c r="U2" s="2" t="n"/>
      <c r="V2" s="2" t="n"/>
      <c r="W2" s="2" t="n"/>
      <c r="X2" s="2" t="n"/>
    </row>
    <row r="4" ht="30" customHeight="1">
      <c r="A4" s="35" t="inlineStr">
        <is>
          <t>Account Type</t>
        </is>
      </c>
      <c r="B4" s="35" t="inlineStr">
        <is>
          <t>Class</t>
        </is>
      </c>
      <c r="C4" s="35" t="inlineStr">
        <is>
          <t>Net Worth Group</t>
        </is>
      </c>
      <c r="D4" s="35" t="inlineStr">
        <is>
          <t>Liquid?</t>
        </is>
      </c>
      <c r="E4" s="153" t="inlineStr">
        <is>
          <t>Category Groups</t>
        </is>
      </c>
      <c r="F4" s="153" t="inlineStr">
        <is>
          <t>Budget Buckets</t>
        </is>
      </c>
      <c r="G4" s="153" t="inlineStr">
        <is>
          <t>Yes / No</t>
        </is>
      </c>
      <c r="H4" s="153" t="inlineStr">
        <is>
          <t>File Types</t>
        </is>
      </c>
      <c r="I4" s="153" t="inlineStr">
        <is>
          <t>Delimiters</t>
        </is>
      </c>
      <c r="J4" s="153" t="inlineStr">
        <is>
          <t>Date Formats</t>
        </is>
      </c>
      <c r="K4" s="153" t="inlineStr">
        <is>
          <t>Amount Modes</t>
        </is>
      </c>
      <c r="L4" s="153" t="inlineStr">
        <is>
          <t>Header Row</t>
        </is>
      </c>
      <c r="M4" s="153" t="inlineStr">
        <is>
          <t>Look In</t>
        </is>
      </c>
      <c r="N4" s="153" t="inlineStr">
        <is>
          <t>Money Direction</t>
        </is>
      </c>
      <c r="O4" s="153" t="inlineStr">
        <is>
          <t>Loan Terms</t>
        </is>
      </c>
      <c r="P4" s="153" t="inlineStr">
        <is>
          <t>Payment Schedule</t>
        </is>
      </c>
      <c r="Q4" s="153" t="inlineStr">
        <is>
          <t>Debt Strategy</t>
        </is>
      </c>
      <c r="R4" s="35" t="inlineStr">
        <is>
          <t>Report Months</t>
        </is>
      </c>
      <c r="S4" s="35" t="inlineStr">
        <is>
          <t>Import File Columns</t>
        </is>
      </c>
      <c r="T4" s="35" t="inlineStr">
        <is>
          <t>Profile Picker</t>
        </is>
      </c>
      <c r="U4" s="35" t="inlineStr">
        <is>
          <t>Account Picker</t>
        </is>
      </c>
      <c r="W4" s="35" t="inlineStr">
        <is>
          <t>Helper</t>
        </is>
      </c>
      <c r="X4" s="35" t="inlineStr">
        <is>
          <t>Value</t>
        </is>
      </c>
    </row>
    <row r="5">
      <c r="A5" s="93" t="inlineStr">
        <is>
          <t>Checking</t>
        </is>
      </c>
      <c r="B5" s="93" t="inlineStr">
        <is>
          <t>Asset</t>
        </is>
      </c>
      <c r="C5" s="93" t="inlineStr">
        <is>
          <t>Cash</t>
        </is>
      </c>
      <c r="D5" s="93" t="inlineStr">
        <is>
          <t>Yes</t>
        </is>
      </c>
      <c r="E5" s="93" t="inlineStr">
        <is>
          <t>Income</t>
        </is>
      </c>
      <c r="F5" s="93" t="inlineStr">
        <is>
          <t>Needs</t>
        </is>
      </c>
      <c r="G5" s="93" t="inlineStr">
        <is>
          <t>Yes</t>
        </is>
      </c>
      <c r="H5" s="93" t="inlineStr">
        <is>
          <t>Auto</t>
        </is>
      </c>
      <c r="I5" s="93" t="inlineStr">
        <is>
          <t>Auto</t>
        </is>
      </c>
      <c r="J5" s="93" t="inlineStr">
        <is>
          <t>Auto</t>
        </is>
      </c>
      <c r="K5" s="93" t="inlineStr">
        <is>
          <t>Signed amount</t>
        </is>
      </c>
      <c r="L5" s="93" t="inlineStr">
        <is>
          <t>Auto</t>
        </is>
      </c>
      <c r="M5" s="93" t="inlineStr">
        <is>
          <t>Both</t>
        </is>
      </c>
      <c r="N5" s="93" t="inlineStr">
        <is>
          <t>Any</t>
        </is>
      </c>
      <c r="O5" s="93" t="n">
        <v>10</v>
      </c>
      <c r="P5" s="93" t="inlineStr">
        <is>
          <t>Monthly</t>
        </is>
      </c>
      <c r="Q5" s="93" t="inlineStr">
        <is>
          <t>Avalanche (highest rate first)</t>
        </is>
      </c>
      <c r="R5" s="154" t="inlineStr">
        <is>
          <t>Latest</t>
        </is>
      </c>
      <c r="S5" s="154" t="inlineStr">
        <is>
          <t>(none)</t>
        </is>
      </c>
      <c r="T5" s="154" t="inlineStr">
        <is>
          <t>(New profile)</t>
        </is>
      </c>
      <c r="U5" s="154">
        <f>IFERROR(INDEX(Accounts!$A$6:$A$105,MATCH(ROW()-4,Accounts!$V$6:$V$105,0)),"")</f>
        <v/>
      </c>
      <c r="W5" s="11" t="inlineStr">
        <is>
          <t>Latest month with data</t>
        </is>
      </c>
      <c r="X5" s="155">
        <f>IF(COUNT(Transactions!$A:$A)=0,DATE(YEAR(TODAY()),MONTH(TODAY()),1),DATE(YEAR(MAX(Transactions!$A:$A)),MONTH(MAX(Transactions!$A:$A)),1))</f>
        <v/>
      </c>
    </row>
    <row r="6">
      <c r="A6" s="93" t="inlineStr">
        <is>
          <t>Savings</t>
        </is>
      </c>
      <c r="B6" s="93" t="inlineStr">
        <is>
          <t>Asset</t>
        </is>
      </c>
      <c r="C6" s="93" t="inlineStr">
        <is>
          <t>Cash</t>
        </is>
      </c>
      <c r="D6" s="93" t="inlineStr">
        <is>
          <t>Yes</t>
        </is>
      </c>
      <c r="E6" s="93" t="inlineStr">
        <is>
          <t>Expense</t>
        </is>
      </c>
      <c r="F6" s="93" t="inlineStr">
        <is>
          <t>Wants</t>
        </is>
      </c>
      <c r="G6" s="93" t="inlineStr">
        <is>
          <t>No</t>
        </is>
      </c>
      <c r="H6" s="93" t="inlineStr">
        <is>
          <t>CSV / Text</t>
        </is>
      </c>
      <c r="I6" s="93" t="inlineStr">
        <is>
          <t>Comma</t>
        </is>
      </c>
      <c r="J6" s="93" t="inlineStr">
        <is>
          <t>MM/DD/YYYY</t>
        </is>
      </c>
      <c r="K6" s="93" t="inlineStr">
        <is>
          <t>Debit / Credit columns</t>
        </is>
      </c>
      <c r="L6" s="93" t="n">
        <v>0</v>
      </c>
      <c r="M6" s="93" t="inlineStr">
        <is>
          <t>Description</t>
        </is>
      </c>
      <c r="N6" s="93" t="inlineStr">
        <is>
          <t>Money out</t>
        </is>
      </c>
      <c r="O6" s="93" t="n">
        <v>15</v>
      </c>
      <c r="P6" s="93" t="inlineStr">
        <is>
          <t>Bi-weekly (accelerated)</t>
        </is>
      </c>
      <c r="Q6" s="93" t="inlineStr">
        <is>
          <t>Snowball (smallest balance first)</t>
        </is>
      </c>
      <c r="R6" s="90">
        <f>LatestMonth</f>
        <v/>
      </c>
      <c r="S6" s="154" t="inlineStr">
        <is>
          <t>Details</t>
        </is>
      </c>
      <c r="T6" s="154">
        <f>IFERROR(INDEX('Import Profiles'!$A$6:$A$55,MATCH(ROW()-5,'Import Profiles'!$AA$6:$AA$55,0)),"")</f>
        <v/>
      </c>
      <c r="U6" s="154">
        <f>IFERROR(INDEX(Accounts!$A$6:$A$105,MATCH(ROW()-4,Accounts!$V$6:$V$105,0)),"")</f>
        <v/>
      </c>
      <c r="W6" s="11" t="inlineStr">
        <is>
          <t>Report month</t>
        </is>
      </c>
      <c r="X6" s="155">
        <f>IF(OR(dash_MonthPick="Latest",dash_MonthPick=""),LatestMonth,DATE(YEAR(dash_MonthPick),MONTH(dash_MonthPick),1))</f>
        <v/>
      </c>
    </row>
    <row r="7">
      <c r="A7" s="93" t="inlineStr">
        <is>
          <t>Cash</t>
        </is>
      </c>
      <c r="B7" s="93" t="inlineStr">
        <is>
          <t>Asset</t>
        </is>
      </c>
      <c r="C7" s="93" t="inlineStr">
        <is>
          <t>Cash</t>
        </is>
      </c>
      <c r="D7" s="93" t="inlineStr">
        <is>
          <t>Yes</t>
        </is>
      </c>
      <c r="E7" s="93" t="inlineStr">
        <is>
          <t>Transfer</t>
        </is>
      </c>
      <c r="H7" s="93" t="inlineStr">
        <is>
          <t>Excel</t>
        </is>
      </c>
      <c r="I7" s="93" t="inlineStr">
        <is>
          <t>Tab</t>
        </is>
      </c>
      <c r="J7" s="93" t="inlineStr">
        <is>
          <t>DD/MM/YYYY</t>
        </is>
      </c>
      <c r="K7" s="93" t="inlineStr">
        <is>
          <t>Amount + indicator</t>
        </is>
      </c>
      <c r="L7" s="93" t="n">
        <v>1</v>
      </c>
      <c r="M7" s="93" t="inlineStr">
        <is>
          <t>Memo</t>
        </is>
      </c>
      <c r="N7" s="93" t="inlineStr">
        <is>
          <t>Money in</t>
        </is>
      </c>
      <c r="O7" s="93" t="n">
        <v>20</v>
      </c>
      <c r="R7" s="90">
        <f>EDATE(R6,-1)</f>
        <v/>
      </c>
      <c r="S7" s="154" t="inlineStr">
        <is>
          <t>Posting Date</t>
        </is>
      </c>
      <c r="T7" s="154">
        <f>IFERROR(INDEX('Import Profiles'!$A$6:$A$55,MATCH(ROW()-5,'Import Profiles'!$AA$6:$AA$55,0)),"")</f>
        <v/>
      </c>
      <c r="U7" s="154">
        <f>IFERROR(INDEX(Accounts!$A$6:$A$105,MATCH(ROW()-4,Accounts!$V$6:$V$105,0)),"")</f>
        <v/>
      </c>
      <c r="W7" s="11" t="inlineStr">
        <is>
          <t>Report month end</t>
        </is>
      </c>
      <c r="X7" s="156">
        <f>EOMONTH(RptMonth,0)</f>
        <v/>
      </c>
    </row>
    <row r="8">
      <c r="A8" s="93" t="inlineStr">
        <is>
          <t>Money Market</t>
        </is>
      </c>
      <c r="B8" s="93" t="inlineStr">
        <is>
          <t>Asset</t>
        </is>
      </c>
      <c r="C8" s="93" t="inlineStr">
        <is>
          <t>Cash</t>
        </is>
      </c>
      <c r="D8" s="93" t="inlineStr">
        <is>
          <t>Yes</t>
        </is>
      </c>
      <c r="H8" s="93" t="inlineStr">
        <is>
          <t>OFX / QFX / QBO</t>
        </is>
      </c>
      <c r="I8" s="93" t="inlineStr">
        <is>
          <t>Semicolon</t>
        </is>
      </c>
      <c r="J8" s="93" t="inlineStr">
        <is>
          <t>YYYY-MM-DD</t>
        </is>
      </c>
      <c r="L8" s="93" t="n">
        <v>2</v>
      </c>
      <c r="O8" s="93" t="n">
        <v>25</v>
      </c>
      <c r="R8" s="90">
        <f>EDATE(R7,-1)</f>
        <v/>
      </c>
      <c r="S8" s="154" t="inlineStr">
        <is>
          <t>Description</t>
        </is>
      </c>
      <c r="T8" s="154">
        <f>IFERROR(INDEX('Import Profiles'!$A$6:$A$55,MATCH(ROW()-5,'Import Profiles'!$AA$6:$AA$55,0)),"")</f>
        <v/>
      </c>
      <c r="U8" s="154">
        <f>IFERROR(INDEX(Accounts!$A$6:$A$105,MATCH(ROW()-4,Accounts!$V$6:$V$105,0)),"")</f>
        <v/>
      </c>
      <c r="W8" s="11" t="inlineStr">
        <is>
          <t>Year-to-date start</t>
        </is>
      </c>
      <c r="X8" s="156">
        <f>DATE(YEAR(RptMonth),1,1)</f>
        <v/>
      </c>
    </row>
    <row r="9">
      <c r="A9" s="93" t="inlineStr">
        <is>
          <t>Brokerage</t>
        </is>
      </c>
      <c r="B9" s="93" t="inlineStr">
        <is>
          <t>Asset</t>
        </is>
      </c>
      <c r="C9" s="93" t="inlineStr">
        <is>
          <t>Investments</t>
        </is>
      </c>
      <c r="D9" s="93" t="inlineStr">
        <is>
          <t>No</t>
        </is>
      </c>
      <c r="I9" s="93" t="inlineStr">
        <is>
          <t>Pipe</t>
        </is>
      </c>
      <c r="J9" s="93" t="inlineStr">
        <is>
          <t>YYYYMMDD</t>
        </is>
      </c>
      <c r="L9" s="93" t="n">
        <v>3</v>
      </c>
      <c r="O9" s="93" t="n">
        <v>30</v>
      </c>
      <c r="R9" s="90">
        <f>EDATE(R8,-1)</f>
        <v/>
      </c>
      <c r="S9" s="154" t="inlineStr">
        <is>
          <t>Amount</t>
        </is>
      </c>
      <c r="T9" s="154">
        <f>IFERROR(INDEX('Import Profiles'!$A$6:$A$55,MATCH(ROW()-5,'Import Profiles'!$AA$6:$AA$55,0)),"")</f>
        <v/>
      </c>
      <c r="U9" s="154">
        <f>IFERROR(INDEX(Accounts!$A$6:$A$105,MATCH(ROW()-4,Accounts!$V$6:$V$105,0)),"")</f>
        <v/>
      </c>
      <c r="W9" s="11" t="inlineStr">
        <is>
          <t>Sample data</t>
        </is>
      </c>
      <c r="X9" s="65" t="inlineStr">
        <is>
          <t>Included</t>
        </is>
      </c>
    </row>
    <row r="10">
      <c r="A10" s="93" t="inlineStr">
        <is>
          <t>Retirement 401(k)</t>
        </is>
      </c>
      <c r="B10" s="93" t="inlineStr">
        <is>
          <t>Asset</t>
        </is>
      </c>
      <c r="C10" s="93" t="inlineStr">
        <is>
          <t>Retirement</t>
        </is>
      </c>
      <c r="D10" s="93" t="inlineStr">
        <is>
          <t>No</t>
        </is>
      </c>
      <c r="J10" s="93" t="inlineStr">
        <is>
          <t>Month name (Jan 15, 2026)</t>
        </is>
      </c>
      <c r="L10" s="93" t="n">
        <v>4</v>
      </c>
      <c r="O10" s="93" t="n">
        <v>40</v>
      </c>
      <c r="R10" s="90">
        <f>EDATE(R9,-1)</f>
        <v/>
      </c>
      <c r="S10" s="154" t="inlineStr">
        <is>
          <t>Type</t>
        </is>
      </c>
      <c r="T10" s="154">
        <f>IFERROR(INDEX('Import Profiles'!$A$6:$A$55,MATCH(ROW()-5,'Import Profiles'!$AA$6:$AA$55,0)),"")</f>
        <v/>
      </c>
      <c r="U10" s="154">
        <f>IFERROR(INDEX(Accounts!$A$6:$A$105,MATCH(ROW()-4,Accounts!$V$6:$V$105,0)),"")</f>
        <v/>
      </c>
      <c r="W10" s="11" t="inlineStr">
        <is>
          <t>Last transaction date</t>
        </is>
      </c>
      <c r="X10" s="156">
        <f>IF(COUNT(Transactions!$A:$A)=0,"",MAX(Transactions!$A:$A))</f>
        <v/>
      </c>
    </row>
    <row r="11">
      <c r="A11" s="93" t="inlineStr">
        <is>
          <t>IRA</t>
        </is>
      </c>
      <c r="B11" s="93" t="inlineStr">
        <is>
          <t>Asset</t>
        </is>
      </c>
      <c r="C11" s="93" t="inlineStr">
        <is>
          <t>Retirement</t>
        </is>
      </c>
      <c r="D11" s="93" t="inlineStr">
        <is>
          <t>No</t>
        </is>
      </c>
      <c r="L11" s="93" t="n">
        <v>5</v>
      </c>
      <c r="R11" s="90">
        <f>EDATE(R10,-1)</f>
        <v/>
      </c>
      <c r="S11" s="154" t="inlineStr">
        <is>
          <t>Balance</t>
        </is>
      </c>
      <c r="T11" s="154">
        <f>IFERROR(INDEX('Import Profiles'!$A$6:$A$55,MATCH(ROW()-5,'Import Profiles'!$AA$6:$AA$55,0)),"")</f>
        <v/>
      </c>
      <c r="U11" s="154">
        <f>IFERROR(INDEX(Accounts!$A$6:$A$105,MATCH(ROW()-4,Accounts!$V$6:$V$105,0)),"")</f>
        <v/>
      </c>
      <c r="W11" t="inlineStr">
        <is>
          <t>Net worth 12 months ago</t>
        </is>
      </c>
      <c r="X11" s="157">
        <f>IF(COUNT('Net Worth'!$E$6:$E$65)=0,0,IFERROR(INDEX('Net Worth'!$H$6:$H$65,MATCH(EDATE(RptMonth,-12),'Net Worth'!$E$6:$E$65,0)),INDEX('Net Worth'!$H$6:$H$65,MATCH(MIN('Net Worth'!$E$6:$E$65),'Net Worth'!$E$6:$E$65,0))))</f>
        <v/>
      </c>
    </row>
    <row r="12">
      <c r="A12" s="93" t="inlineStr">
        <is>
          <t>HSA</t>
        </is>
      </c>
      <c r="B12" s="93" t="inlineStr">
        <is>
          <t>Asset</t>
        </is>
      </c>
      <c r="C12" s="93" t="inlineStr">
        <is>
          <t>Investments</t>
        </is>
      </c>
      <c r="D12" s="93" t="inlineStr">
        <is>
          <t>No</t>
        </is>
      </c>
      <c r="L12" s="93" t="n">
        <v>6</v>
      </c>
      <c r="R12" s="90">
        <f>EDATE(R11,-1)</f>
        <v/>
      </c>
      <c r="S12" s="154" t="inlineStr">
        <is>
          <t>Check or Slip #</t>
        </is>
      </c>
      <c r="T12" s="154">
        <f>IFERROR(INDEX('Import Profiles'!$A$6:$A$55,MATCH(ROW()-5,'Import Profiles'!$AA$6:$AA$55,0)),"")</f>
        <v/>
      </c>
      <c r="U12" s="154">
        <f>IFERROR(INDEX(Accounts!$A$6:$A$105,MATCH(ROW()-4,Accounts!$V$6:$V$105,0)),"")</f>
        <v/>
      </c>
    </row>
    <row r="13">
      <c r="A13" s="93" t="inlineStr">
        <is>
          <t>Real Estate</t>
        </is>
      </c>
      <c r="B13" s="93" t="inlineStr">
        <is>
          <t>Asset</t>
        </is>
      </c>
      <c r="C13" s="93" t="inlineStr">
        <is>
          <t>Property</t>
        </is>
      </c>
      <c r="D13" s="93" t="inlineStr">
        <is>
          <t>No</t>
        </is>
      </c>
      <c r="L13" s="93" t="n">
        <v>7</v>
      </c>
      <c r="R13" s="90">
        <f>EDATE(R12,-1)</f>
        <v/>
      </c>
      <c r="S13" s="154" t="n"/>
      <c r="T13" s="154">
        <f>IFERROR(INDEX('Import Profiles'!$A$6:$A$55,MATCH(ROW()-5,'Import Profiles'!$AA$6:$AA$55,0)),"")</f>
        <v/>
      </c>
      <c r="U13" s="154">
        <f>IFERROR(INDEX(Accounts!$A$6:$A$105,MATCH(ROW()-4,Accounts!$V$6:$V$105,0)),"")</f>
        <v/>
      </c>
    </row>
    <row r="14">
      <c r="A14" s="93" t="inlineStr">
        <is>
          <t>Vehicle</t>
        </is>
      </c>
      <c r="B14" s="93" t="inlineStr">
        <is>
          <t>Asset</t>
        </is>
      </c>
      <c r="C14" s="93" t="inlineStr">
        <is>
          <t>Property</t>
        </is>
      </c>
      <c r="D14" s="93" t="inlineStr">
        <is>
          <t>No</t>
        </is>
      </c>
      <c r="L14" s="93" t="n">
        <v>8</v>
      </c>
      <c r="R14" s="90">
        <f>EDATE(R13,-1)</f>
        <v/>
      </c>
      <c r="S14" s="154" t="n"/>
      <c r="T14" s="154">
        <f>IFERROR(INDEX('Import Profiles'!$A$6:$A$55,MATCH(ROW()-5,'Import Profiles'!$AA$6:$AA$55,0)),"")</f>
        <v/>
      </c>
      <c r="U14" s="154">
        <f>IFERROR(INDEX(Accounts!$A$6:$A$105,MATCH(ROW()-4,Accounts!$V$6:$V$105,0)),"")</f>
        <v/>
      </c>
    </row>
    <row r="15">
      <c r="A15" s="93" t="inlineStr">
        <is>
          <t>Other Asset</t>
        </is>
      </c>
      <c r="B15" s="93" t="inlineStr">
        <is>
          <t>Asset</t>
        </is>
      </c>
      <c r="C15" s="93" t="inlineStr">
        <is>
          <t>Other Assets</t>
        </is>
      </c>
      <c r="D15" s="93" t="inlineStr">
        <is>
          <t>No</t>
        </is>
      </c>
      <c r="L15" s="93" t="n">
        <v>9</v>
      </c>
      <c r="R15" s="90">
        <f>EDATE(R14,-1)</f>
        <v/>
      </c>
      <c r="S15" s="154" t="n"/>
      <c r="T15" s="154">
        <f>IFERROR(INDEX('Import Profiles'!$A$6:$A$55,MATCH(ROW()-5,'Import Profiles'!$AA$6:$AA$55,0)),"")</f>
        <v/>
      </c>
      <c r="U15" s="154">
        <f>IFERROR(INDEX(Accounts!$A$6:$A$105,MATCH(ROW()-4,Accounts!$V$6:$V$105,0)),"")</f>
        <v/>
      </c>
    </row>
    <row r="16">
      <c r="A16" s="93" t="inlineStr">
        <is>
          <t>Credit Card</t>
        </is>
      </c>
      <c r="B16" s="93" t="inlineStr">
        <is>
          <t>Liability</t>
        </is>
      </c>
      <c r="C16" s="93" t="inlineStr">
        <is>
          <t>Credit Cards</t>
        </is>
      </c>
      <c r="D16" s="93" t="inlineStr">
        <is>
          <t>No</t>
        </is>
      </c>
      <c r="L16" s="93" t="n">
        <v>10</v>
      </c>
      <c r="R16" s="90">
        <f>EDATE(R15,-1)</f>
        <v/>
      </c>
      <c r="S16" s="154" t="n"/>
      <c r="T16" s="154">
        <f>IFERROR(INDEX('Import Profiles'!$A$6:$A$55,MATCH(ROW()-5,'Import Profiles'!$AA$6:$AA$55,0)),"")</f>
        <v/>
      </c>
      <c r="U16" s="154">
        <f>IFERROR(INDEX(Accounts!$A$6:$A$105,MATCH(ROW()-4,Accounts!$V$6:$V$105,0)),"")</f>
        <v/>
      </c>
    </row>
    <row r="17">
      <c r="A17" s="93" t="inlineStr">
        <is>
          <t>Mortgage</t>
        </is>
      </c>
      <c r="B17" s="93" t="inlineStr">
        <is>
          <t>Liability</t>
        </is>
      </c>
      <c r="C17" s="93" t="inlineStr">
        <is>
          <t>Mortgage</t>
        </is>
      </c>
      <c r="D17" s="93" t="inlineStr">
        <is>
          <t>No</t>
        </is>
      </c>
      <c r="R17" s="90">
        <f>EDATE(R16,-1)</f>
        <v/>
      </c>
      <c r="S17" s="154" t="n"/>
      <c r="T17" s="154">
        <f>IFERROR(INDEX('Import Profiles'!$A$6:$A$55,MATCH(ROW()-5,'Import Profiles'!$AA$6:$AA$55,0)),"")</f>
        <v/>
      </c>
      <c r="U17" s="154">
        <f>IFERROR(INDEX(Accounts!$A$6:$A$105,MATCH(ROW()-4,Accounts!$V$6:$V$105,0)),"")</f>
        <v/>
      </c>
    </row>
    <row r="18">
      <c r="A18" s="93" t="inlineStr">
        <is>
          <t>Auto Loan</t>
        </is>
      </c>
      <c r="B18" s="93" t="inlineStr">
        <is>
          <t>Liability</t>
        </is>
      </c>
      <c r="C18" s="93" t="inlineStr">
        <is>
          <t>Loans</t>
        </is>
      </c>
      <c r="D18" s="93" t="inlineStr">
        <is>
          <t>No</t>
        </is>
      </c>
      <c r="R18" s="90">
        <f>EDATE(R17,-1)</f>
        <v/>
      </c>
      <c r="S18" s="154" t="n"/>
      <c r="T18" s="154">
        <f>IFERROR(INDEX('Import Profiles'!$A$6:$A$55,MATCH(ROW()-5,'Import Profiles'!$AA$6:$AA$55,0)),"")</f>
        <v/>
      </c>
      <c r="U18" s="154">
        <f>IFERROR(INDEX(Accounts!$A$6:$A$105,MATCH(ROW()-4,Accounts!$V$6:$V$105,0)),"")</f>
        <v/>
      </c>
    </row>
    <row r="19">
      <c r="A19" s="93" t="inlineStr">
        <is>
          <t>Student Loan</t>
        </is>
      </c>
      <c r="B19" s="93" t="inlineStr">
        <is>
          <t>Liability</t>
        </is>
      </c>
      <c r="C19" s="93" t="inlineStr">
        <is>
          <t>Loans</t>
        </is>
      </c>
      <c r="D19" s="93" t="inlineStr">
        <is>
          <t>No</t>
        </is>
      </c>
      <c r="R19" s="90">
        <f>EDATE(R18,-1)</f>
        <v/>
      </c>
      <c r="S19" s="154" t="n"/>
      <c r="T19" s="154">
        <f>IFERROR(INDEX('Import Profiles'!$A$6:$A$55,MATCH(ROW()-5,'Import Profiles'!$AA$6:$AA$55,0)),"")</f>
        <v/>
      </c>
      <c r="U19" s="154">
        <f>IFERROR(INDEX(Accounts!$A$6:$A$105,MATCH(ROW()-4,Accounts!$V$6:$V$105,0)),"")</f>
        <v/>
      </c>
    </row>
    <row r="20">
      <c r="A20" s="93" t="inlineStr">
        <is>
          <t>Personal Loan</t>
        </is>
      </c>
      <c r="B20" s="93" t="inlineStr">
        <is>
          <t>Liability</t>
        </is>
      </c>
      <c r="C20" s="93" t="inlineStr">
        <is>
          <t>Loans</t>
        </is>
      </c>
      <c r="D20" s="93" t="inlineStr">
        <is>
          <t>No</t>
        </is>
      </c>
      <c r="R20" s="90">
        <f>EDATE(R19,-1)</f>
        <v/>
      </c>
      <c r="S20" s="154" t="n"/>
      <c r="T20" s="154">
        <f>IFERROR(INDEX('Import Profiles'!$A$6:$A$55,MATCH(ROW()-5,'Import Profiles'!$AA$6:$AA$55,0)),"")</f>
        <v/>
      </c>
      <c r="U20" s="154">
        <f>IFERROR(INDEX(Accounts!$A$6:$A$105,MATCH(ROW()-4,Accounts!$V$6:$V$105,0)),"")</f>
        <v/>
      </c>
    </row>
    <row r="21">
      <c r="A21" s="93" t="inlineStr">
        <is>
          <t>Line of Credit</t>
        </is>
      </c>
      <c r="B21" s="93" t="inlineStr">
        <is>
          <t>Liability</t>
        </is>
      </c>
      <c r="C21" s="93" t="inlineStr">
        <is>
          <t>Loans</t>
        </is>
      </c>
      <c r="D21" s="93" t="inlineStr">
        <is>
          <t>No</t>
        </is>
      </c>
      <c r="R21" s="90">
        <f>EDATE(R20,-1)</f>
        <v/>
      </c>
      <c r="S21" s="154" t="n"/>
      <c r="T21" s="154">
        <f>IFERROR(INDEX('Import Profiles'!$A$6:$A$55,MATCH(ROW()-5,'Import Profiles'!$AA$6:$AA$55,0)),"")</f>
        <v/>
      </c>
      <c r="U21" s="154">
        <f>IFERROR(INDEX(Accounts!$A$6:$A$105,MATCH(ROW()-4,Accounts!$V$6:$V$105,0)),"")</f>
        <v/>
      </c>
    </row>
    <row r="22">
      <c r="A22" s="93" t="inlineStr">
        <is>
          <t>Other Liability</t>
        </is>
      </c>
      <c r="B22" s="93" t="inlineStr">
        <is>
          <t>Liability</t>
        </is>
      </c>
      <c r="C22" s="93" t="inlineStr">
        <is>
          <t>Other Debts</t>
        </is>
      </c>
      <c r="D22" s="93" t="inlineStr">
        <is>
          <t>No</t>
        </is>
      </c>
      <c r="R22" s="90">
        <f>EDATE(R21,-1)</f>
        <v/>
      </c>
      <c r="S22" s="154" t="n"/>
      <c r="T22" s="154">
        <f>IFERROR(INDEX('Import Profiles'!$A$6:$A$55,MATCH(ROW()-5,'Import Profiles'!$AA$6:$AA$55,0)),"")</f>
        <v/>
      </c>
      <c r="U22" s="154">
        <f>IFERROR(INDEX(Accounts!$A$6:$A$105,MATCH(ROW()-4,Accounts!$V$6:$V$105,0)),"")</f>
        <v/>
      </c>
    </row>
    <row r="23">
      <c r="A23" s="93" t="n"/>
      <c r="B23" s="93" t="n"/>
      <c r="C23" s="93" t="n"/>
      <c r="D23" s="93" t="n"/>
      <c r="R23" s="90">
        <f>EDATE(R22,-1)</f>
        <v/>
      </c>
      <c r="S23" s="154" t="n"/>
      <c r="T23" s="154">
        <f>IFERROR(INDEX('Import Profiles'!$A$6:$A$55,MATCH(ROW()-5,'Import Profiles'!$AA$6:$AA$55,0)),"")</f>
        <v/>
      </c>
      <c r="U23" s="154">
        <f>IFERROR(INDEX(Accounts!$A$6:$A$105,MATCH(ROW()-4,Accounts!$V$6:$V$105,0)),"")</f>
        <v/>
      </c>
    </row>
    <row r="24">
      <c r="A24" s="93" t="n"/>
      <c r="B24" s="93" t="n"/>
      <c r="C24" s="93" t="n"/>
      <c r="D24" s="93" t="n"/>
      <c r="R24" s="90">
        <f>EDATE(R23,-1)</f>
        <v/>
      </c>
      <c r="S24" s="154" t="n"/>
      <c r="T24" s="154">
        <f>IFERROR(INDEX('Import Profiles'!$A$6:$A$55,MATCH(ROW()-5,'Import Profiles'!$AA$6:$AA$55,0)),"")</f>
        <v/>
      </c>
      <c r="U24" s="154">
        <f>IFERROR(INDEX(Accounts!$A$6:$A$105,MATCH(ROW()-4,Accounts!$V$6:$V$105,0)),"")</f>
        <v/>
      </c>
    </row>
    <row r="25">
      <c r="R25" s="90">
        <f>EDATE(R24,-1)</f>
        <v/>
      </c>
      <c r="S25" s="154" t="n"/>
      <c r="T25" s="154">
        <f>IFERROR(INDEX('Import Profiles'!$A$6:$A$55,MATCH(ROW()-5,'Import Profiles'!$AA$6:$AA$55,0)),"")</f>
        <v/>
      </c>
      <c r="U25" s="154">
        <f>IFERROR(INDEX(Accounts!$A$6:$A$105,MATCH(ROW()-4,Accounts!$V$6:$V$105,0)),"")</f>
        <v/>
      </c>
    </row>
    <row r="26">
      <c r="R26" s="90">
        <f>EDATE(R25,-1)</f>
        <v/>
      </c>
      <c r="S26" s="154" t="n"/>
      <c r="T26" s="154">
        <f>IFERROR(INDEX('Import Profiles'!$A$6:$A$55,MATCH(ROW()-5,'Import Profiles'!$AA$6:$AA$55,0)),"")</f>
        <v/>
      </c>
      <c r="U26" s="154">
        <f>IFERROR(INDEX(Accounts!$A$6:$A$105,MATCH(ROW()-4,Accounts!$V$6:$V$105,0)),"")</f>
        <v/>
      </c>
    </row>
    <row r="27">
      <c r="R27" s="90">
        <f>EDATE(R26,-1)</f>
        <v/>
      </c>
      <c r="S27" s="154" t="n"/>
      <c r="T27" s="154">
        <f>IFERROR(INDEX('Import Profiles'!$A$6:$A$55,MATCH(ROW()-5,'Import Profiles'!$AA$6:$AA$55,0)),"")</f>
        <v/>
      </c>
      <c r="U27" s="154">
        <f>IFERROR(INDEX(Accounts!$A$6:$A$105,MATCH(ROW()-4,Accounts!$V$6:$V$105,0)),"")</f>
        <v/>
      </c>
    </row>
    <row r="28">
      <c r="R28" s="90">
        <f>EDATE(R27,-1)</f>
        <v/>
      </c>
      <c r="S28" s="154" t="n"/>
      <c r="T28" s="154">
        <f>IFERROR(INDEX('Import Profiles'!$A$6:$A$55,MATCH(ROW()-5,'Import Profiles'!$AA$6:$AA$55,0)),"")</f>
        <v/>
      </c>
      <c r="U28" s="154">
        <f>IFERROR(INDEX(Accounts!$A$6:$A$105,MATCH(ROW()-4,Accounts!$V$6:$V$105,0)),"")</f>
        <v/>
      </c>
    </row>
    <row r="29">
      <c r="R29" s="90">
        <f>EDATE(R28,-1)</f>
        <v/>
      </c>
      <c r="S29" s="154" t="n"/>
      <c r="T29" s="154">
        <f>IFERROR(INDEX('Import Profiles'!$A$6:$A$55,MATCH(ROW()-5,'Import Profiles'!$AA$6:$AA$55,0)),"")</f>
        <v/>
      </c>
      <c r="U29" s="154">
        <f>IFERROR(INDEX(Accounts!$A$6:$A$105,MATCH(ROW()-4,Accounts!$V$6:$V$105,0)),"")</f>
        <v/>
      </c>
    </row>
    <row r="30">
      <c r="S30" s="154" t="n"/>
      <c r="T30" s="154">
        <f>IFERROR(INDEX('Import Profiles'!$A$6:$A$55,MATCH(ROW()-5,'Import Profiles'!$AA$6:$AA$55,0)),"")</f>
        <v/>
      </c>
      <c r="U30" s="154">
        <f>IFERROR(INDEX(Accounts!$A$6:$A$105,MATCH(ROW()-4,Accounts!$V$6:$V$105,0)),"")</f>
        <v/>
      </c>
    </row>
    <row r="31">
      <c r="S31" s="154" t="n"/>
      <c r="T31" s="154">
        <f>IFERROR(INDEX('Import Profiles'!$A$6:$A$55,MATCH(ROW()-5,'Import Profiles'!$AA$6:$AA$55,0)),"")</f>
        <v/>
      </c>
      <c r="U31" s="154">
        <f>IFERROR(INDEX(Accounts!$A$6:$A$105,MATCH(ROW()-4,Accounts!$V$6:$V$105,0)),"")</f>
        <v/>
      </c>
    </row>
    <row r="32">
      <c r="S32" s="154" t="n"/>
      <c r="T32" s="154">
        <f>IFERROR(INDEX('Import Profiles'!$A$6:$A$55,MATCH(ROW()-5,'Import Profiles'!$AA$6:$AA$55,0)),"")</f>
        <v/>
      </c>
      <c r="U32" s="154">
        <f>IFERROR(INDEX(Accounts!$A$6:$A$105,MATCH(ROW()-4,Accounts!$V$6:$V$105,0)),"")</f>
        <v/>
      </c>
    </row>
    <row r="33">
      <c r="S33" s="154" t="n"/>
      <c r="T33" s="154">
        <f>IFERROR(INDEX('Import Profiles'!$A$6:$A$55,MATCH(ROW()-5,'Import Profiles'!$AA$6:$AA$55,0)),"")</f>
        <v/>
      </c>
      <c r="U33" s="154">
        <f>IFERROR(INDEX(Accounts!$A$6:$A$105,MATCH(ROW()-4,Accounts!$V$6:$V$105,0)),"")</f>
        <v/>
      </c>
    </row>
    <row r="34">
      <c r="S34" s="154" t="n"/>
      <c r="T34" s="154">
        <f>IFERROR(INDEX('Import Profiles'!$A$6:$A$55,MATCH(ROW()-5,'Import Profiles'!$AA$6:$AA$55,0)),"")</f>
        <v/>
      </c>
      <c r="U34" s="154">
        <f>IFERROR(INDEX(Accounts!$A$6:$A$105,MATCH(ROW()-4,Accounts!$V$6:$V$105,0)),"")</f>
        <v/>
      </c>
    </row>
    <row r="35">
      <c r="S35" s="154" t="n"/>
      <c r="T35" s="154">
        <f>IFERROR(INDEX('Import Profiles'!$A$6:$A$55,MATCH(ROW()-5,'Import Profiles'!$AA$6:$AA$55,0)),"")</f>
        <v/>
      </c>
      <c r="U35" s="154">
        <f>IFERROR(INDEX(Accounts!$A$6:$A$105,MATCH(ROW()-4,Accounts!$V$6:$V$105,0)),"")</f>
        <v/>
      </c>
    </row>
    <row r="36">
      <c r="S36" s="154" t="n"/>
      <c r="T36" s="154">
        <f>IFERROR(INDEX('Import Profiles'!$A$6:$A$55,MATCH(ROW()-5,'Import Profiles'!$AA$6:$AA$55,0)),"")</f>
        <v/>
      </c>
      <c r="U36" s="154">
        <f>IFERROR(INDEX(Accounts!$A$6:$A$105,MATCH(ROW()-4,Accounts!$V$6:$V$105,0)),"")</f>
        <v/>
      </c>
    </row>
    <row r="37">
      <c r="S37" s="154" t="n"/>
      <c r="T37" s="154">
        <f>IFERROR(INDEX('Import Profiles'!$A$6:$A$55,MATCH(ROW()-5,'Import Profiles'!$AA$6:$AA$55,0)),"")</f>
        <v/>
      </c>
      <c r="U37" s="154">
        <f>IFERROR(INDEX(Accounts!$A$6:$A$105,MATCH(ROW()-4,Accounts!$V$6:$V$105,0)),"")</f>
        <v/>
      </c>
    </row>
    <row r="38">
      <c r="S38" s="154" t="n"/>
      <c r="T38" s="154">
        <f>IFERROR(INDEX('Import Profiles'!$A$6:$A$55,MATCH(ROW()-5,'Import Profiles'!$AA$6:$AA$55,0)),"")</f>
        <v/>
      </c>
      <c r="U38" s="154">
        <f>IFERROR(INDEX(Accounts!$A$6:$A$105,MATCH(ROW()-4,Accounts!$V$6:$V$105,0)),"")</f>
        <v/>
      </c>
    </row>
    <row r="39">
      <c r="S39" s="154" t="n"/>
      <c r="T39" s="154">
        <f>IFERROR(INDEX('Import Profiles'!$A$6:$A$55,MATCH(ROW()-5,'Import Profiles'!$AA$6:$AA$55,0)),"")</f>
        <v/>
      </c>
      <c r="U39" s="154">
        <f>IFERROR(INDEX(Accounts!$A$6:$A$105,MATCH(ROW()-4,Accounts!$V$6:$V$105,0)),"")</f>
        <v/>
      </c>
    </row>
    <row r="40">
      <c r="S40" s="154" t="n"/>
      <c r="T40" s="154">
        <f>IFERROR(INDEX('Import Profiles'!$A$6:$A$55,MATCH(ROW()-5,'Import Profiles'!$AA$6:$AA$55,0)),"")</f>
        <v/>
      </c>
      <c r="U40" s="154">
        <f>IFERROR(INDEX(Accounts!$A$6:$A$105,MATCH(ROW()-4,Accounts!$V$6:$V$105,0)),"")</f>
        <v/>
      </c>
    </row>
    <row r="41">
      <c r="S41" s="154" t="n"/>
      <c r="T41" s="154">
        <f>IFERROR(INDEX('Import Profiles'!$A$6:$A$55,MATCH(ROW()-5,'Import Profiles'!$AA$6:$AA$55,0)),"")</f>
        <v/>
      </c>
      <c r="U41" s="154">
        <f>IFERROR(INDEX(Accounts!$A$6:$A$105,MATCH(ROW()-4,Accounts!$V$6:$V$105,0)),"")</f>
        <v/>
      </c>
    </row>
    <row r="42">
      <c r="S42" s="154" t="n"/>
      <c r="T42" s="154">
        <f>IFERROR(INDEX('Import Profiles'!$A$6:$A$55,MATCH(ROW()-5,'Import Profiles'!$AA$6:$AA$55,0)),"")</f>
        <v/>
      </c>
      <c r="U42" s="154">
        <f>IFERROR(INDEX(Accounts!$A$6:$A$105,MATCH(ROW()-4,Accounts!$V$6:$V$105,0)),"")</f>
        <v/>
      </c>
    </row>
    <row r="43">
      <c r="S43" s="154" t="n"/>
      <c r="T43" s="154">
        <f>IFERROR(INDEX('Import Profiles'!$A$6:$A$55,MATCH(ROW()-5,'Import Profiles'!$AA$6:$AA$55,0)),"")</f>
        <v/>
      </c>
      <c r="U43" s="154">
        <f>IFERROR(INDEX(Accounts!$A$6:$A$105,MATCH(ROW()-4,Accounts!$V$6:$V$105,0)),"")</f>
        <v/>
      </c>
    </row>
    <row r="44">
      <c r="S44" s="154" t="n"/>
      <c r="T44" s="154">
        <f>IFERROR(INDEX('Import Profiles'!$A$6:$A$55,MATCH(ROW()-5,'Import Profiles'!$AA$6:$AA$55,0)),"")</f>
        <v/>
      </c>
      <c r="U44" s="154">
        <f>IFERROR(INDEX(Accounts!$A$6:$A$105,MATCH(ROW()-4,Accounts!$V$6:$V$105,0)),"")</f>
        <v/>
      </c>
    </row>
    <row r="45">
      <c r="S45" s="154" t="n"/>
      <c r="T45" s="154">
        <f>IFERROR(INDEX('Import Profiles'!$A$6:$A$55,MATCH(ROW()-5,'Import Profiles'!$AA$6:$AA$55,0)),"")</f>
        <v/>
      </c>
      <c r="U45" s="154">
        <f>IFERROR(INDEX(Accounts!$A$6:$A$105,MATCH(ROW()-4,Accounts!$V$6:$V$105,0)),"")</f>
        <v/>
      </c>
    </row>
    <row r="46">
      <c r="S46" s="154" t="n"/>
      <c r="T46" s="154">
        <f>IFERROR(INDEX('Import Profiles'!$A$6:$A$55,MATCH(ROW()-5,'Import Profiles'!$AA$6:$AA$55,0)),"")</f>
        <v/>
      </c>
      <c r="U46" s="154">
        <f>IFERROR(INDEX(Accounts!$A$6:$A$105,MATCH(ROW()-4,Accounts!$V$6:$V$105,0)),"")</f>
        <v/>
      </c>
    </row>
    <row r="47">
      <c r="S47" s="154" t="n"/>
      <c r="T47" s="154">
        <f>IFERROR(INDEX('Import Profiles'!$A$6:$A$55,MATCH(ROW()-5,'Import Profiles'!$AA$6:$AA$55,0)),"")</f>
        <v/>
      </c>
      <c r="U47" s="154">
        <f>IFERROR(INDEX(Accounts!$A$6:$A$105,MATCH(ROW()-4,Accounts!$V$6:$V$105,0)),"")</f>
        <v/>
      </c>
    </row>
    <row r="48">
      <c r="S48" s="154" t="n"/>
      <c r="T48" s="154">
        <f>IFERROR(INDEX('Import Profiles'!$A$6:$A$55,MATCH(ROW()-5,'Import Profiles'!$AA$6:$AA$55,0)),"")</f>
        <v/>
      </c>
      <c r="U48" s="154">
        <f>IFERROR(INDEX(Accounts!$A$6:$A$105,MATCH(ROW()-4,Accounts!$V$6:$V$105,0)),"")</f>
        <v/>
      </c>
    </row>
    <row r="49">
      <c r="S49" s="154" t="n"/>
      <c r="T49" s="154">
        <f>IFERROR(INDEX('Import Profiles'!$A$6:$A$55,MATCH(ROW()-5,'Import Profiles'!$AA$6:$AA$55,0)),"")</f>
        <v/>
      </c>
      <c r="U49" s="154">
        <f>IFERROR(INDEX(Accounts!$A$6:$A$105,MATCH(ROW()-4,Accounts!$V$6:$V$105,0)),"")</f>
        <v/>
      </c>
    </row>
    <row r="50">
      <c r="S50" s="154" t="n"/>
      <c r="T50" s="154">
        <f>IFERROR(INDEX('Import Profiles'!$A$6:$A$55,MATCH(ROW()-5,'Import Profiles'!$AA$6:$AA$55,0)),"")</f>
        <v/>
      </c>
      <c r="U50" s="154">
        <f>IFERROR(INDEX(Accounts!$A$6:$A$105,MATCH(ROW()-4,Accounts!$V$6:$V$105,0)),"")</f>
        <v/>
      </c>
    </row>
    <row r="51">
      <c r="S51" s="154" t="n"/>
      <c r="T51" s="154">
        <f>IFERROR(INDEX('Import Profiles'!$A$6:$A$55,MATCH(ROW()-5,'Import Profiles'!$AA$6:$AA$55,0)),"")</f>
        <v/>
      </c>
      <c r="U51" s="154">
        <f>IFERROR(INDEX(Accounts!$A$6:$A$105,MATCH(ROW()-4,Accounts!$V$6:$V$105,0)),"")</f>
        <v/>
      </c>
    </row>
    <row r="52">
      <c r="S52" s="154" t="n"/>
      <c r="T52" s="154">
        <f>IFERROR(INDEX('Import Profiles'!$A$6:$A$55,MATCH(ROW()-5,'Import Profiles'!$AA$6:$AA$55,0)),"")</f>
        <v/>
      </c>
      <c r="U52" s="154">
        <f>IFERROR(INDEX(Accounts!$A$6:$A$105,MATCH(ROW()-4,Accounts!$V$6:$V$105,0)),"")</f>
        <v/>
      </c>
    </row>
    <row r="53">
      <c r="S53" s="154" t="n"/>
      <c r="T53" s="154">
        <f>IFERROR(INDEX('Import Profiles'!$A$6:$A$55,MATCH(ROW()-5,'Import Profiles'!$AA$6:$AA$55,0)),"")</f>
        <v/>
      </c>
      <c r="U53" s="154">
        <f>IFERROR(INDEX(Accounts!$A$6:$A$105,MATCH(ROW()-4,Accounts!$V$6:$V$105,0)),"")</f>
        <v/>
      </c>
    </row>
    <row r="54">
      <c r="S54" s="154" t="n"/>
      <c r="T54" s="154">
        <f>IFERROR(INDEX('Import Profiles'!$A$6:$A$55,MATCH(ROW()-5,'Import Profiles'!$AA$6:$AA$55,0)),"")</f>
        <v/>
      </c>
      <c r="U54" s="154">
        <f>IFERROR(INDEX(Accounts!$A$6:$A$105,MATCH(ROW()-4,Accounts!$V$6:$V$105,0)),"")</f>
        <v/>
      </c>
    </row>
    <row r="55">
      <c r="S55" s="154" t="n"/>
      <c r="T55" s="154">
        <f>IFERROR(INDEX('Import Profiles'!$A$6:$A$55,MATCH(ROW()-5,'Import Profiles'!$AA$6:$AA$55,0)),"")</f>
        <v/>
      </c>
      <c r="U55" s="154">
        <f>IFERROR(INDEX(Accounts!$A$6:$A$105,MATCH(ROW()-4,Accounts!$V$6:$V$105,0)),"")</f>
        <v/>
      </c>
    </row>
    <row r="56">
      <c r="S56" s="154" t="n"/>
      <c r="U56" s="154">
        <f>IFERROR(INDEX(Accounts!$A$6:$A$105,MATCH(ROW()-4,Accounts!$V$6:$V$105,0)),"")</f>
        <v/>
      </c>
    </row>
    <row r="57">
      <c r="S57" s="154" t="n"/>
      <c r="U57" s="154">
        <f>IFERROR(INDEX(Accounts!$A$6:$A$105,MATCH(ROW()-4,Accounts!$V$6:$V$105,0)),"")</f>
        <v/>
      </c>
    </row>
    <row r="58">
      <c r="S58" s="154" t="n"/>
      <c r="U58" s="154">
        <f>IFERROR(INDEX(Accounts!$A$6:$A$105,MATCH(ROW()-4,Accounts!$V$6:$V$105,0)),"")</f>
        <v/>
      </c>
    </row>
    <row r="59">
      <c r="S59" s="154" t="n"/>
      <c r="U59" s="154">
        <f>IFERROR(INDEX(Accounts!$A$6:$A$105,MATCH(ROW()-4,Accounts!$V$6:$V$105,0)),"")</f>
        <v/>
      </c>
    </row>
    <row r="60">
      <c r="S60" s="154" t="n"/>
      <c r="U60" s="154">
        <f>IFERROR(INDEX(Accounts!$A$6:$A$105,MATCH(ROW()-4,Accounts!$V$6:$V$105,0)),"")</f>
        <v/>
      </c>
    </row>
    <row r="61">
      <c r="S61" s="154" t="n"/>
      <c r="U61" s="154">
        <f>IFERROR(INDEX(Accounts!$A$6:$A$105,MATCH(ROW()-4,Accounts!$V$6:$V$105,0)),"")</f>
        <v/>
      </c>
    </row>
    <row r="62">
      <c r="S62" s="154" t="n"/>
      <c r="U62" s="154">
        <f>IFERROR(INDEX(Accounts!$A$6:$A$105,MATCH(ROW()-4,Accounts!$V$6:$V$105,0)),"")</f>
        <v/>
      </c>
    </row>
    <row r="63">
      <c r="S63" s="154" t="n"/>
      <c r="U63" s="154">
        <f>IFERROR(INDEX(Accounts!$A$6:$A$105,MATCH(ROW()-4,Accounts!$V$6:$V$105,0)),"")</f>
        <v/>
      </c>
    </row>
    <row r="64">
      <c r="S64" s="154" t="n"/>
      <c r="U64" s="154">
        <f>IFERROR(INDEX(Accounts!$A$6:$A$105,MATCH(ROW()-4,Accounts!$V$6:$V$105,0)),"")</f>
        <v/>
      </c>
    </row>
    <row r="65">
      <c r="U65" s="154">
        <f>IFERROR(INDEX(Accounts!$A$6:$A$105,MATCH(ROW()-4,Accounts!$V$6:$V$105,0)),"")</f>
        <v/>
      </c>
    </row>
    <row r="66">
      <c r="U66" s="154">
        <f>IFERROR(INDEX(Accounts!$A$6:$A$105,MATCH(ROW()-4,Accounts!$V$6:$V$105,0)),"")</f>
        <v/>
      </c>
    </row>
    <row r="67">
      <c r="U67" s="154">
        <f>IFERROR(INDEX(Accounts!$A$6:$A$105,MATCH(ROW()-4,Accounts!$V$6:$V$105,0)),"")</f>
        <v/>
      </c>
    </row>
    <row r="68">
      <c r="U68" s="154">
        <f>IFERROR(INDEX(Accounts!$A$6:$A$105,MATCH(ROW()-4,Accounts!$V$6:$V$105,0)),"")</f>
        <v/>
      </c>
    </row>
    <row r="69">
      <c r="U69" s="154">
        <f>IFERROR(INDEX(Accounts!$A$6:$A$105,MATCH(ROW()-4,Accounts!$V$6:$V$105,0)),"")</f>
        <v/>
      </c>
    </row>
    <row r="70">
      <c r="U70" s="154">
        <f>IFERROR(INDEX(Accounts!$A$6:$A$105,MATCH(ROW()-4,Accounts!$V$6:$V$105,0)),"")</f>
        <v/>
      </c>
    </row>
    <row r="71">
      <c r="U71" s="154">
        <f>IFERROR(INDEX(Accounts!$A$6:$A$105,MATCH(ROW()-4,Accounts!$V$6:$V$105,0)),"")</f>
        <v/>
      </c>
    </row>
    <row r="72">
      <c r="U72" s="154">
        <f>IFERROR(INDEX(Accounts!$A$6:$A$105,MATCH(ROW()-4,Accounts!$V$6:$V$105,0)),"")</f>
        <v/>
      </c>
    </row>
    <row r="73">
      <c r="U73" s="154">
        <f>IFERROR(INDEX(Accounts!$A$6:$A$105,MATCH(ROW()-4,Accounts!$V$6:$V$105,0)),"")</f>
        <v/>
      </c>
    </row>
    <row r="74">
      <c r="U74" s="154">
        <f>IFERROR(INDEX(Accounts!$A$6:$A$105,MATCH(ROW()-4,Accounts!$V$6:$V$105,0)),"")</f>
        <v/>
      </c>
    </row>
    <row r="75">
      <c r="U75" s="154">
        <f>IFERROR(INDEX(Accounts!$A$6:$A$105,MATCH(ROW()-4,Accounts!$V$6:$V$105,0)),"")</f>
        <v/>
      </c>
    </row>
    <row r="76">
      <c r="U76" s="154">
        <f>IFERROR(INDEX(Accounts!$A$6:$A$105,MATCH(ROW()-4,Accounts!$V$6:$V$105,0)),"")</f>
        <v/>
      </c>
    </row>
    <row r="77">
      <c r="U77" s="154">
        <f>IFERROR(INDEX(Accounts!$A$6:$A$105,MATCH(ROW()-4,Accounts!$V$6:$V$105,0)),"")</f>
        <v/>
      </c>
    </row>
    <row r="78">
      <c r="U78" s="154">
        <f>IFERROR(INDEX(Accounts!$A$6:$A$105,MATCH(ROW()-4,Accounts!$V$6:$V$105,0)),"")</f>
        <v/>
      </c>
    </row>
    <row r="79">
      <c r="U79" s="154">
        <f>IFERROR(INDEX(Accounts!$A$6:$A$105,MATCH(ROW()-4,Accounts!$V$6:$V$105,0)),"")</f>
        <v/>
      </c>
    </row>
    <row r="80">
      <c r="U80" s="154">
        <f>IFERROR(INDEX(Accounts!$A$6:$A$105,MATCH(ROW()-4,Accounts!$V$6:$V$105,0)),"")</f>
        <v/>
      </c>
    </row>
    <row r="81">
      <c r="U81" s="154">
        <f>IFERROR(INDEX(Accounts!$A$6:$A$105,MATCH(ROW()-4,Accounts!$V$6:$V$105,0)),"")</f>
        <v/>
      </c>
    </row>
    <row r="82">
      <c r="U82" s="154">
        <f>IFERROR(INDEX(Accounts!$A$6:$A$105,MATCH(ROW()-4,Accounts!$V$6:$V$105,0)),"")</f>
        <v/>
      </c>
    </row>
    <row r="83">
      <c r="U83" s="154">
        <f>IFERROR(INDEX(Accounts!$A$6:$A$105,MATCH(ROW()-4,Accounts!$V$6:$V$105,0)),"")</f>
        <v/>
      </c>
    </row>
    <row r="84">
      <c r="U84" s="154">
        <f>IFERROR(INDEX(Accounts!$A$6:$A$105,MATCH(ROW()-4,Accounts!$V$6:$V$105,0)),"")</f>
        <v/>
      </c>
    </row>
    <row r="85">
      <c r="U85" s="154">
        <f>IFERROR(INDEX(Accounts!$A$6:$A$105,MATCH(ROW()-4,Accounts!$V$6:$V$105,0)),"")</f>
        <v/>
      </c>
    </row>
    <row r="86">
      <c r="U86" s="154">
        <f>IFERROR(INDEX(Accounts!$A$6:$A$105,MATCH(ROW()-4,Accounts!$V$6:$V$105,0)),"")</f>
        <v/>
      </c>
    </row>
    <row r="87">
      <c r="U87" s="154">
        <f>IFERROR(INDEX(Accounts!$A$6:$A$105,MATCH(ROW()-4,Accounts!$V$6:$V$105,0)),"")</f>
        <v/>
      </c>
    </row>
    <row r="88">
      <c r="U88" s="154">
        <f>IFERROR(INDEX(Accounts!$A$6:$A$105,MATCH(ROW()-4,Accounts!$V$6:$V$105,0)),"")</f>
        <v/>
      </c>
    </row>
    <row r="89">
      <c r="U89" s="154">
        <f>IFERROR(INDEX(Accounts!$A$6:$A$105,MATCH(ROW()-4,Accounts!$V$6:$V$105,0)),"")</f>
        <v/>
      </c>
    </row>
    <row r="90">
      <c r="U90" s="154">
        <f>IFERROR(INDEX(Accounts!$A$6:$A$105,MATCH(ROW()-4,Accounts!$V$6:$V$105,0)),"")</f>
        <v/>
      </c>
    </row>
    <row r="91">
      <c r="U91" s="154">
        <f>IFERROR(INDEX(Accounts!$A$6:$A$105,MATCH(ROW()-4,Accounts!$V$6:$V$105,0)),"")</f>
        <v/>
      </c>
    </row>
    <row r="92">
      <c r="U92" s="154">
        <f>IFERROR(INDEX(Accounts!$A$6:$A$105,MATCH(ROW()-4,Accounts!$V$6:$V$105,0)),"")</f>
        <v/>
      </c>
    </row>
    <row r="93">
      <c r="U93" s="154">
        <f>IFERROR(INDEX(Accounts!$A$6:$A$105,MATCH(ROW()-4,Accounts!$V$6:$V$105,0)),"")</f>
        <v/>
      </c>
    </row>
    <row r="94">
      <c r="U94" s="154">
        <f>IFERROR(INDEX(Accounts!$A$6:$A$105,MATCH(ROW()-4,Accounts!$V$6:$V$105,0)),"")</f>
        <v/>
      </c>
    </row>
    <row r="95">
      <c r="U95" s="154">
        <f>IFERROR(INDEX(Accounts!$A$6:$A$105,MATCH(ROW()-4,Accounts!$V$6:$V$105,0)),"")</f>
        <v/>
      </c>
    </row>
    <row r="96">
      <c r="U96" s="154">
        <f>IFERROR(INDEX(Accounts!$A$6:$A$105,MATCH(ROW()-4,Accounts!$V$6:$V$105,0)),"")</f>
        <v/>
      </c>
    </row>
    <row r="97">
      <c r="U97" s="154">
        <f>IFERROR(INDEX(Accounts!$A$6:$A$105,MATCH(ROW()-4,Accounts!$V$6:$V$105,0)),"")</f>
        <v/>
      </c>
    </row>
    <row r="98">
      <c r="U98" s="154">
        <f>IFERROR(INDEX(Accounts!$A$6:$A$105,MATCH(ROW()-4,Accounts!$V$6:$V$105,0)),"")</f>
        <v/>
      </c>
    </row>
    <row r="99">
      <c r="U99" s="154">
        <f>IFERROR(INDEX(Accounts!$A$6:$A$105,MATCH(ROW()-4,Accounts!$V$6:$V$105,0)),"")</f>
        <v/>
      </c>
    </row>
    <row r="100">
      <c r="U100" s="154">
        <f>IFERROR(INDEX(Accounts!$A$6:$A$105,MATCH(ROW()-4,Accounts!$V$6:$V$105,0)),"")</f>
        <v/>
      </c>
    </row>
    <row r="101">
      <c r="U101" s="154">
        <f>IFERROR(INDEX(Accounts!$A$6:$A$105,MATCH(ROW()-4,Accounts!$V$6:$V$105,0)),"")</f>
        <v/>
      </c>
    </row>
    <row r="102">
      <c r="U102" s="154">
        <f>IFERROR(INDEX(Accounts!$A$6:$A$105,MATCH(ROW()-4,Accounts!$V$6:$V$105,0)),"")</f>
        <v/>
      </c>
    </row>
    <row r="103">
      <c r="U103" s="154">
        <f>IFERROR(INDEX(Accounts!$A$6:$A$105,MATCH(ROW()-4,Accounts!$V$6:$V$105,0)),"")</f>
        <v/>
      </c>
    </row>
    <row r="104">
      <c r="U104" s="154">
        <f>IFERROR(INDEX(Accounts!$A$6:$A$105,MATCH(ROW()-4,Accounts!$V$6:$V$105,0)),"")</f>
        <v/>
      </c>
    </row>
  </sheetData>
  <pageMargins left="0.4" right="0.4" top="0.5" bottom="0.6" header="0.5" footer="0.5"/>
  <pageSetup orientation="landscape" paperSize="1" fitToHeight="0" fitToWidth="1"/>
  <headerFooter>
    <oddHeader/>
    <oddFooter>&amp;L&amp;A&amp;RPage &amp;P of &amp;N</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ArumSoft Learning</dc:creator>
  <dc:title xmlns:dc="http://purl.org/dc/elements/1.1/">Personal Finance Workbook</dc:title>
  <dcterms:created xmlns:dcterms="http://purl.org/dc/terms/" xmlns:xsi="http://www.w3.org/2001/XMLSchema-instance" xsi:type="dcterms:W3CDTF">2026-10-17T05:07:42Z</dcterms:created>
  <dcterms:modified xmlns:dcterms="http://purl.org/dc/terms/" xmlns:xsi="http://www.w3.org/2001/XMLSchema-instance" xsi:type="dcterms:W3CDTF">2026-10-17T05:07:50Z</dcterms:modified>
</cp:coreProperties>
</file>